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defaultThemeVersion="166925"/>
  <mc:AlternateContent xmlns:mc="http://schemas.openxmlformats.org/markup-compatibility/2006">
    <mc:Choice Requires="x15">
      <x15ac:absPath xmlns:x15ac="http://schemas.microsoft.com/office/spreadsheetml/2010/11/ac" url="/Users/andrewruttinger/Documents/Cornell/Clancy Group/Papers/CCU_TEA/E&amp;ES/Revisions2/"/>
    </mc:Choice>
  </mc:AlternateContent>
  <xr:revisionPtr revIDLastSave="0" documentId="13_ncr:1_{CE2BAA56-C924-6943-A713-99F01CB2ABF4}" xr6:coauthVersionLast="47" xr6:coauthVersionMax="47" xr10:uidLastSave="{00000000-0000-0000-0000-000000000000}"/>
  <bookViews>
    <workbookView xWindow="0" yWindow="460" windowWidth="25600" windowHeight="14640" xr2:uid="{07A0035E-8557-5743-9949-99CD4CA7A279}"/>
  </bookViews>
  <sheets>
    <sheet name="Summary Table" sheetId="4" r:id="rId1"/>
    <sheet name="Carbon Flow" sheetId="9" r:id="rId2"/>
    <sheet name="Economics" sheetId="2" r:id="rId3"/>
    <sheet name="Design Calculations" sheetId="6" r:id="rId4"/>
    <sheet name="Process Emissions" sheetId="12" r:id="rId5"/>
    <sheet name="ASPEN Material Balance Example" sheetId="10" r:id="rId6"/>
    <sheet name="Scenarios Data" sheetId="7" r:id="rId7"/>
    <sheet name="Market Variable Data" sheetId="11" r:id="rId8"/>
    <sheet name="Constants &amp; Conversions" sheetId="5" r:id="rId9"/>
  </sheets>
  <definedNames>
    <definedName name="solver_eng" localSheetId="3" hidden="1">1</definedName>
    <definedName name="solver_lin" localSheetId="3" hidden="1">2</definedName>
    <definedName name="solver_neg" localSheetId="3" hidden="1">1</definedName>
    <definedName name="solver_num" localSheetId="3" hidden="1">0</definedName>
    <definedName name="solver_opt" localSheetId="3" hidden="1">'Design Calculations'!$C$190</definedName>
    <definedName name="solver_typ" localSheetId="3" hidden="1">1</definedName>
    <definedName name="solver_val" localSheetId="3" hidden="1">0</definedName>
    <definedName name="solver_ver" localSheetId="3"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3" i="2" l="1"/>
  <c r="M93" i="2"/>
  <c r="J94" i="2"/>
  <c r="H23" i="12"/>
  <c r="J24" i="11"/>
  <c r="J81" i="11"/>
  <c r="J80" i="11"/>
  <c r="J79" i="11"/>
  <c r="J78" i="11"/>
  <c r="J77" i="11"/>
  <c r="J76" i="11"/>
  <c r="J75" i="11"/>
  <c r="J74" i="11"/>
  <c r="J73" i="11"/>
  <c r="J72" i="11"/>
  <c r="J70" i="11"/>
  <c r="J69" i="11"/>
  <c r="J68" i="11"/>
  <c r="J67" i="11"/>
  <c r="J66" i="11"/>
  <c r="J65" i="11"/>
  <c r="J64" i="11"/>
  <c r="J63" i="11"/>
  <c r="J62" i="11"/>
  <c r="J61" i="11"/>
  <c r="J60" i="11"/>
  <c r="J59" i="11"/>
  <c r="J58" i="11"/>
  <c r="J57" i="11"/>
  <c r="J55" i="11"/>
  <c r="J54" i="11"/>
  <c r="J53" i="11"/>
  <c r="J52" i="11"/>
  <c r="J51" i="11"/>
  <c r="J50" i="11"/>
  <c r="J49" i="11"/>
  <c r="J46" i="11"/>
  <c r="J48" i="11"/>
  <c r="J45" i="11"/>
  <c r="J44" i="11"/>
  <c r="J43" i="11"/>
  <c r="J42" i="11"/>
  <c r="J41" i="11"/>
  <c r="J40" i="11"/>
  <c r="J71" i="11"/>
  <c r="J39" i="11"/>
  <c r="J38" i="11"/>
  <c r="J37" i="11"/>
  <c r="J36" i="11"/>
  <c r="J35" i="11"/>
  <c r="J34" i="11"/>
  <c r="J33" i="11"/>
  <c r="J32" i="11"/>
  <c r="J31" i="11"/>
  <c r="J30" i="11"/>
  <c r="J29" i="11"/>
  <c r="J28" i="11"/>
  <c r="J27" i="11"/>
  <c r="J26" i="11"/>
  <c r="J25" i="11"/>
  <c r="J23" i="11"/>
  <c r="J22" i="11"/>
  <c r="J21" i="11"/>
  <c r="J20" i="11"/>
  <c r="J19" i="11"/>
  <c r="J18" i="11"/>
  <c r="J17" i="11"/>
  <c r="AB44" i="10"/>
  <c r="AA44" i="10"/>
  <c r="Z76" i="10"/>
  <c r="C83" i="4" l="1"/>
  <c r="AS22" i="7"/>
  <c r="I234" i="6" s="1"/>
  <c r="AR22" i="7"/>
  <c r="C82" i="4" s="1"/>
  <c r="I128" i="6"/>
  <c r="I127" i="6"/>
  <c r="I126" i="6"/>
  <c r="C128" i="6"/>
  <c r="C127" i="6"/>
  <c r="C126" i="6"/>
  <c r="C100" i="6"/>
  <c r="C97" i="6"/>
  <c r="C17" i="11"/>
  <c r="C18" i="11"/>
  <c r="D48" i="12"/>
  <c r="D50" i="12" s="1"/>
  <c r="C234" i="6" l="1"/>
  <c r="J23" i="12"/>
  <c r="B10" i="12"/>
  <c r="C99" i="6"/>
  <c r="C346" i="6"/>
  <c r="C347" i="6" s="1"/>
  <c r="AY96" i="2" s="1"/>
  <c r="AW35" i="2"/>
  <c r="G41" i="2"/>
  <c r="C337" i="6" s="1"/>
  <c r="E41" i="2"/>
  <c r="C274" i="6"/>
  <c r="AY36" i="2" s="1"/>
  <c r="C25" i="12" l="1"/>
  <c r="L23" i="12"/>
  <c r="E25" i="12" s="1"/>
  <c r="G42" i="2"/>
  <c r="G109" i="2"/>
  <c r="C338" i="6"/>
  <c r="G108" i="2" s="1"/>
  <c r="I233" i="6"/>
  <c r="C233" i="6"/>
  <c r="AY95" i="2" l="1"/>
  <c r="C130" i="2" l="1"/>
  <c r="H64" i="4" l="1"/>
  <c r="H66" i="4" s="1"/>
  <c r="G88" i="2" l="1"/>
  <c r="BE23" i="2"/>
  <c r="BR41" i="2"/>
  <c r="H55" i="4" l="1"/>
  <c r="BY28" i="2" l="1"/>
  <c r="BY27" i="2"/>
  <c r="BY26" i="2"/>
  <c r="BY25" i="2"/>
  <c r="BY24" i="2"/>
  <c r="BY23" i="2"/>
  <c r="BE45" i="2"/>
  <c r="BE44" i="2"/>
  <c r="BE43" i="2"/>
  <c r="BE42" i="2"/>
  <c r="BE41" i="2"/>
  <c r="BE40" i="2"/>
  <c r="BE39" i="2"/>
  <c r="BE38" i="2"/>
  <c r="BE37" i="2"/>
  <c r="BE36" i="2"/>
  <c r="BE35" i="2"/>
  <c r="BE34" i="2"/>
  <c r="BE33" i="2"/>
  <c r="BE32" i="2"/>
  <c r="BE31" i="2"/>
  <c r="BE30" i="2"/>
  <c r="BE29" i="2"/>
  <c r="BE28" i="2"/>
  <c r="BE27" i="2"/>
  <c r="BE26" i="2"/>
  <c r="BE25" i="2"/>
  <c r="BE24" i="2"/>
  <c r="AI29" i="2"/>
  <c r="AI28" i="2"/>
  <c r="AI27" i="2"/>
  <c r="AI26" i="2"/>
  <c r="AI25" i="2"/>
  <c r="AI24" i="2"/>
  <c r="AI23" i="2"/>
  <c r="M23" i="2"/>
  <c r="J56" i="11" l="1"/>
  <c r="J47" i="11"/>
  <c r="C151" i="2"/>
  <c r="BR39" i="2"/>
  <c r="BR38" i="2"/>
  <c r="D77" i="2"/>
  <c r="AD28" i="2"/>
  <c r="AF28" i="2" s="1"/>
  <c r="AA29" i="2"/>
  <c r="Z29" i="2"/>
  <c r="I57" i="9" l="1"/>
  <c r="E57" i="9" s="1"/>
  <c r="G57" i="9" l="1"/>
  <c r="F57" i="9" s="1"/>
  <c r="BV27" i="2" l="1"/>
  <c r="BV26" i="2"/>
  <c r="BR62" i="2"/>
  <c r="D20" i="5" l="1"/>
  <c r="D19" i="5"/>
  <c r="BR64" i="2"/>
  <c r="BR63" i="2"/>
  <c r="BV25" i="2"/>
  <c r="BV24" i="2"/>
  <c r="BV23" i="2"/>
  <c r="BR150" i="2"/>
  <c r="BT150" i="2" s="1"/>
  <c r="BR149" i="2"/>
  <c r="BT149" i="2" s="1"/>
  <c r="BW149" i="2" s="1"/>
  <c r="BX149" i="2" s="1"/>
  <c r="BR148" i="2"/>
  <c r="BT148" i="2" s="1"/>
  <c r="BW148" i="2" s="1"/>
  <c r="BX148" i="2" s="1"/>
  <c r="BR147" i="2"/>
  <c r="BT147" i="2" s="1"/>
  <c r="BW147" i="2" s="1"/>
  <c r="BX147" i="2" s="1"/>
  <c r="BR146" i="2"/>
  <c r="BT146" i="2" s="1"/>
  <c r="BW146" i="2" s="1"/>
  <c r="BX146" i="2" s="1"/>
  <c r="BR145" i="2"/>
  <c r="BT145" i="2" s="1"/>
  <c r="BW145" i="2" s="1"/>
  <c r="BX145" i="2" s="1"/>
  <c r="BR144" i="2"/>
  <c r="BT144" i="2" s="1"/>
  <c r="BW144" i="2" s="1"/>
  <c r="BX144" i="2" s="1"/>
  <c r="BR143" i="2"/>
  <c r="BT143" i="2" s="1"/>
  <c r="BW143" i="2" s="1"/>
  <c r="BX143" i="2" s="1"/>
  <c r="BR142" i="2"/>
  <c r="BT142" i="2" s="1"/>
  <c r="BW142" i="2" s="1"/>
  <c r="BX142" i="2" s="1"/>
  <c r="BR141" i="2"/>
  <c r="BT141" i="2" s="1"/>
  <c r="BW141" i="2" s="1"/>
  <c r="BX141" i="2" s="1"/>
  <c r="BR140" i="2"/>
  <c r="BT140" i="2" s="1"/>
  <c r="BW140" i="2" s="1"/>
  <c r="BX140" i="2" s="1"/>
  <c r="BR139" i="2"/>
  <c r="BT139" i="2" s="1"/>
  <c r="BW139" i="2" s="1"/>
  <c r="BX139" i="2" s="1"/>
  <c r="BR138" i="2"/>
  <c r="BT138" i="2" s="1"/>
  <c r="BW138" i="2" s="1"/>
  <c r="BX138" i="2" s="1"/>
  <c r="BR137" i="2"/>
  <c r="BT137" i="2" s="1"/>
  <c r="BW137" i="2" s="1"/>
  <c r="BX137" i="2" s="1"/>
  <c r="BR136" i="2"/>
  <c r="BT136" i="2" s="1"/>
  <c r="BW136" i="2" s="1"/>
  <c r="BX136" i="2" s="1"/>
  <c r="BR135" i="2"/>
  <c r="BT135" i="2" s="1"/>
  <c r="BW135" i="2" s="1"/>
  <c r="BX135" i="2" s="1"/>
  <c r="BR134" i="2"/>
  <c r="BT134" i="2" s="1"/>
  <c r="BW134" i="2" s="1"/>
  <c r="BX134" i="2" s="1"/>
  <c r="BR133" i="2"/>
  <c r="BT133" i="2" s="1"/>
  <c r="BW133" i="2" s="1"/>
  <c r="BX133" i="2" s="1"/>
  <c r="BR132" i="2"/>
  <c r="BT132" i="2" s="1"/>
  <c r="BW132" i="2" s="1"/>
  <c r="BX132" i="2" s="1"/>
  <c r="BR131" i="2"/>
  <c r="BT131" i="2" s="1"/>
  <c r="BW131" i="2" s="1"/>
  <c r="BX131" i="2" s="1"/>
  <c r="BR129" i="2"/>
  <c r="BR128" i="2"/>
  <c r="BR127" i="2"/>
  <c r="BR126" i="2"/>
  <c r="BR125" i="2"/>
  <c r="BR124" i="2"/>
  <c r="BR123" i="2"/>
  <c r="BR122" i="2"/>
  <c r="BR121" i="2"/>
  <c r="BR120" i="2"/>
  <c r="BR119" i="2"/>
  <c r="BR118" i="2"/>
  <c r="BR117" i="2"/>
  <c r="BR116" i="2"/>
  <c r="BR115" i="2"/>
  <c r="BR114" i="2"/>
  <c r="BR113" i="2"/>
  <c r="BR112" i="2"/>
  <c r="BR111" i="2"/>
  <c r="BR110" i="2"/>
  <c r="BR109" i="2"/>
  <c r="BR108" i="2"/>
  <c r="BR107" i="2"/>
  <c r="BR106" i="2"/>
  <c r="BR105" i="2"/>
  <c r="BR104" i="2"/>
  <c r="BR103" i="2"/>
  <c r="BR102" i="2"/>
  <c r="BR101" i="2"/>
  <c r="BQ96" i="2"/>
  <c r="BQ95" i="2"/>
  <c r="BU75" i="2"/>
  <c r="BQ75" i="2"/>
  <c r="BT53" i="2" l="1"/>
  <c r="BT41" i="2"/>
  <c r="BY134" i="2"/>
  <c r="BY138" i="2"/>
  <c r="BY132" i="2"/>
  <c r="BY136" i="2"/>
  <c r="BY140" i="2"/>
  <c r="BY144" i="2"/>
  <c r="BY148" i="2"/>
  <c r="BY133" i="2"/>
  <c r="BY137" i="2"/>
  <c r="BY141" i="2"/>
  <c r="BY145" i="2"/>
  <c r="BY149" i="2"/>
  <c r="BY142" i="2"/>
  <c r="BY146" i="2"/>
  <c r="BY131" i="2"/>
  <c r="BY135" i="2"/>
  <c r="BY139" i="2"/>
  <c r="BY143" i="2"/>
  <c r="BY147" i="2"/>
  <c r="BE102" i="2" l="1"/>
  <c r="BE94" i="2"/>
  <c r="BE92" i="2"/>
  <c r="M115" i="2"/>
  <c r="M107" i="2"/>
  <c r="M105" i="2"/>
  <c r="BB89" i="2"/>
  <c r="AV55" i="2"/>
  <c r="AV54" i="2"/>
  <c r="AV192" i="2"/>
  <c r="AX192" i="2" s="1"/>
  <c r="AV191" i="2"/>
  <c r="AX191" i="2" s="1"/>
  <c r="AX190" i="2"/>
  <c r="AV190" i="2"/>
  <c r="AV189" i="2"/>
  <c r="AX189" i="2" s="1"/>
  <c r="AV188" i="2"/>
  <c r="AX188" i="2" s="1"/>
  <c r="AV187" i="2"/>
  <c r="AX187" i="2" s="1"/>
  <c r="AV186" i="2"/>
  <c r="AX186" i="2" s="1"/>
  <c r="AV185" i="2"/>
  <c r="AX185" i="2" s="1"/>
  <c r="AV184" i="2"/>
  <c r="AX184" i="2" s="1"/>
  <c r="AV183" i="2"/>
  <c r="AX183" i="2" s="1"/>
  <c r="AV182" i="2"/>
  <c r="AX182" i="2" s="1"/>
  <c r="AV181" i="2"/>
  <c r="AX181" i="2" s="1"/>
  <c r="AV180" i="2"/>
  <c r="AX180" i="2" s="1"/>
  <c r="AV179" i="2"/>
  <c r="AX179" i="2" s="1"/>
  <c r="AV178" i="2"/>
  <c r="AX178" i="2" s="1"/>
  <c r="AV177" i="2"/>
  <c r="AX177" i="2" s="1"/>
  <c r="AV176" i="2"/>
  <c r="AX176" i="2" s="1"/>
  <c r="AV175" i="2"/>
  <c r="AX175" i="2" s="1"/>
  <c r="AV174" i="2"/>
  <c r="AX174" i="2" s="1"/>
  <c r="AV173" i="2"/>
  <c r="AX173" i="2" s="1"/>
  <c r="AV171" i="2"/>
  <c r="AV170" i="2"/>
  <c r="AV169" i="2"/>
  <c r="AV168" i="2"/>
  <c r="AV167" i="2"/>
  <c r="AV166" i="2"/>
  <c r="AV165" i="2"/>
  <c r="AV164" i="2"/>
  <c r="AV163" i="2"/>
  <c r="AV162" i="2"/>
  <c r="AV161" i="2"/>
  <c r="AV160" i="2"/>
  <c r="AV159" i="2"/>
  <c r="AV158" i="2"/>
  <c r="AV157" i="2"/>
  <c r="AV156" i="2"/>
  <c r="AV155" i="2"/>
  <c r="AV154" i="2"/>
  <c r="AV153" i="2"/>
  <c r="AV152" i="2"/>
  <c r="AV151" i="2"/>
  <c r="AV150" i="2"/>
  <c r="AV149" i="2"/>
  <c r="AV148" i="2"/>
  <c r="AV147" i="2"/>
  <c r="AV146" i="2"/>
  <c r="AV145" i="2"/>
  <c r="AV144" i="2"/>
  <c r="AV143" i="2"/>
  <c r="AU138" i="2"/>
  <c r="AU137" i="2"/>
  <c r="AY117" i="2"/>
  <c r="AU117" i="2"/>
  <c r="AY105" i="2"/>
  <c r="BB103" i="2"/>
  <c r="BB102" i="2"/>
  <c r="AY100" i="2"/>
  <c r="BB99" i="2"/>
  <c r="AY99" i="2"/>
  <c r="BB97" i="2"/>
  <c r="AY93" i="2"/>
  <c r="AY91" i="2"/>
  <c r="AY90" i="2"/>
  <c r="AY89" i="2"/>
  <c r="BE81" i="2"/>
  <c r="BB81" i="2"/>
  <c r="AY81" i="2"/>
  <c r="AV71" i="2"/>
  <c r="AV70" i="2"/>
  <c r="AY45" i="2"/>
  <c r="AW45" i="2"/>
  <c r="AZ44" i="2"/>
  <c r="AV104" i="2" s="1"/>
  <c r="AY44" i="2"/>
  <c r="AZ43" i="2"/>
  <c r="AV103" i="2" s="1"/>
  <c r="AY43" i="2"/>
  <c r="AZ42" i="2"/>
  <c r="AV102" i="2" s="1"/>
  <c r="AY42" i="2"/>
  <c r="AZ41" i="2"/>
  <c r="AV101" i="2" s="1"/>
  <c r="AY41" i="2"/>
  <c r="AY39" i="2"/>
  <c r="AW39" i="2"/>
  <c r="AY38" i="2"/>
  <c r="AZ37" i="2"/>
  <c r="AV97" i="2" s="1"/>
  <c r="AY37" i="2"/>
  <c r="AZ36" i="2"/>
  <c r="AY35" i="2"/>
  <c r="AY34" i="2"/>
  <c r="AZ34" i="2" s="1"/>
  <c r="AZ33" i="2"/>
  <c r="AV93" i="2" s="1"/>
  <c r="AY33" i="2"/>
  <c r="AZ32" i="2"/>
  <c r="AV92" i="2" s="1"/>
  <c r="AY32" i="2"/>
  <c r="AY31" i="2"/>
  <c r="AW31" i="2"/>
  <c r="AY30" i="2"/>
  <c r="AZ30" i="2" s="1"/>
  <c r="AW29" i="2"/>
  <c r="AZ25" i="2"/>
  <c r="AV85" i="2" s="1"/>
  <c r="AZ24" i="2"/>
  <c r="AV84" i="2" s="1"/>
  <c r="AZ23" i="2"/>
  <c r="AV83" i="2" s="1"/>
  <c r="Z52" i="2"/>
  <c r="Z51" i="2"/>
  <c r="Z157" i="2"/>
  <c r="AB157" i="2" s="1"/>
  <c r="Z156" i="2"/>
  <c r="AB156" i="2" s="1"/>
  <c r="AB155" i="2"/>
  <c r="Z155" i="2"/>
  <c r="Z154" i="2"/>
  <c r="AB154" i="2" s="1"/>
  <c r="Z153" i="2"/>
  <c r="AB153" i="2" s="1"/>
  <c r="Z152" i="2"/>
  <c r="AB152" i="2" s="1"/>
  <c r="Z151" i="2"/>
  <c r="AB151" i="2" s="1"/>
  <c r="Z150" i="2"/>
  <c r="AB150" i="2" s="1"/>
  <c r="Z149" i="2"/>
  <c r="AB149" i="2" s="1"/>
  <c r="Z148" i="2"/>
  <c r="AB148" i="2" s="1"/>
  <c r="Z147" i="2"/>
  <c r="AB147" i="2" s="1"/>
  <c r="Z146" i="2"/>
  <c r="AB146" i="2" s="1"/>
  <c r="Z145" i="2"/>
  <c r="AB145" i="2" s="1"/>
  <c r="Z144" i="2"/>
  <c r="AB144" i="2" s="1"/>
  <c r="Z143" i="2"/>
  <c r="AB143" i="2" s="1"/>
  <c r="Z142" i="2"/>
  <c r="AB142" i="2" s="1"/>
  <c r="Z141" i="2"/>
  <c r="AB141" i="2" s="1"/>
  <c r="Z140" i="2"/>
  <c r="AB140" i="2" s="1"/>
  <c r="Z139" i="2"/>
  <c r="AB139" i="2" s="1"/>
  <c r="Z138" i="2"/>
  <c r="AB138" i="2" s="1"/>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Y103" i="2"/>
  <c r="Y102" i="2"/>
  <c r="AC82" i="2"/>
  <c r="Y82" i="2"/>
  <c r="AI62" i="2"/>
  <c r="AF62" i="2"/>
  <c r="AC62" i="2"/>
  <c r="Z38" i="2"/>
  <c r="AD25" i="2"/>
  <c r="Z66" i="2" s="1"/>
  <c r="AA25" i="2"/>
  <c r="AD24" i="2"/>
  <c r="Z65" i="2" s="1"/>
  <c r="AD23" i="2"/>
  <c r="Z64" i="2" s="1"/>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88" i="2"/>
  <c r="AV94" i="2" l="1"/>
  <c r="AW94" i="2" s="1"/>
  <c r="BB34" i="2"/>
  <c r="AV96" i="2"/>
  <c r="AW96" i="2" s="1"/>
  <c r="BB36" i="2"/>
  <c r="AW92" i="2"/>
  <c r="BB37" i="2"/>
  <c r="BB41" i="2"/>
  <c r="BB42" i="2"/>
  <c r="BB25" i="2"/>
  <c r="AW97" i="2"/>
  <c r="BI41" i="2"/>
  <c r="BJ41" i="2" s="1"/>
  <c r="BL41" i="2" s="1"/>
  <c r="AW103" i="2"/>
  <c r="AZ45" i="2"/>
  <c r="AV105" i="2" s="1"/>
  <c r="AW105" i="2" s="1"/>
  <c r="AV90" i="2"/>
  <c r="AW90" i="2" s="1"/>
  <c r="BB30" i="2"/>
  <c r="BB23" i="2"/>
  <c r="BI32" i="2"/>
  <c r="BJ32" i="2" s="1"/>
  <c r="BL32" i="2" s="1"/>
  <c r="BI43" i="2"/>
  <c r="BJ43" i="2" s="1"/>
  <c r="BL43" i="2" s="1"/>
  <c r="AY98" i="2"/>
  <c r="AW101" i="2"/>
  <c r="BJ101" i="2" s="1"/>
  <c r="BK101" i="2" s="1"/>
  <c r="BB24" i="2"/>
  <c r="BI30" i="2"/>
  <c r="BJ30" i="2" s="1"/>
  <c r="BL30" i="2" s="1"/>
  <c r="BB33" i="2"/>
  <c r="BI37" i="2"/>
  <c r="BJ37" i="2" s="1"/>
  <c r="BL37" i="2" s="1"/>
  <c r="AZ38" i="2"/>
  <c r="AZ39" i="2"/>
  <c r="BI39" i="2" s="1"/>
  <c r="BJ39" i="2" s="1"/>
  <c r="BL39" i="2" s="1"/>
  <c r="AW102" i="2"/>
  <c r="BI42" i="2"/>
  <c r="BJ42" i="2" s="1"/>
  <c r="BL42" i="2" s="1"/>
  <c r="BB44" i="2"/>
  <c r="AZ31" i="2"/>
  <c r="BB32" i="2"/>
  <c r="BI34" i="2"/>
  <c r="BJ34" i="2" s="1"/>
  <c r="BL34" i="2" s="1"/>
  <c r="AZ35" i="2"/>
  <c r="BI36" i="2"/>
  <c r="BJ36" i="2" s="1"/>
  <c r="BL36" i="2" s="1"/>
  <c r="BB43" i="2"/>
  <c r="BI87" i="2"/>
  <c r="BI86" i="2"/>
  <c r="AW93" i="2"/>
  <c r="BI33" i="2"/>
  <c r="BJ33" i="2" s="1"/>
  <c r="BL33" i="2" s="1"/>
  <c r="AW104" i="2"/>
  <c r="BJ104" i="2" s="1"/>
  <c r="BK104" i="2" s="1"/>
  <c r="BI44" i="2"/>
  <c r="BJ44" i="2" s="1"/>
  <c r="BL44" i="2" s="1"/>
  <c r="AF23" i="2"/>
  <c r="AF24" i="2"/>
  <c r="AF25" i="2"/>
  <c r="Z69" i="2"/>
  <c r="H102" i="4"/>
  <c r="H101" i="4"/>
  <c r="I100" i="4"/>
  <c r="G104" i="4"/>
  <c r="G103" i="4"/>
  <c r="G102" i="4"/>
  <c r="I101" i="4"/>
  <c r="I102" i="4"/>
  <c r="D101" i="4"/>
  <c r="D102" i="4"/>
  <c r="D103" i="4"/>
  <c r="D104" i="4"/>
  <c r="J145" i="6"/>
  <c r="D145" i="6"/>
  <c r="D147" i="6" s="1"/>
  <c r="BB45" i="2" l="1"/>
  <c r="BI45" i="2"/>
  <c r="BJ45" i="2" s="1"/>
  <c r="BL45" i="2" s="1"/>
  <c r="AV95" i="2"/>
  <c r="BB35" i="2"/>
  <c r="AV91" i="2"/>
  <c r="BB31" i="2"/>
  <c r="AV98" i="2"/>
  <c r="AW98" i="2" s="1"/>
  <c r="BB38" i="2"/>
  <c r="BI31" i="2"/>
  <c r="BJ31" i="2" s="1"/>
  <c r="BL31" i="2" s="1"/>
  <c r="BI35" i="2"/>
  <c r="BJ35" i="2" s="1"/>
  <c r="BL35" i="2" s="1"/>
  <c r="AV99" i="2"/>
  <c r="BB39" i="2"/>
  <c r="BI38" i="2"/>
  <c r="BJ38" i="2" s="1"/>
  <c r="BL38" i="2" s="1"/>
  <c r="I87" i="6"/>
  <c r="BJ99" i="2" l="1"/>
  <c r="BK99" i="2" s="1"/>
  <c r="AW99" i="2"/>
  <c r="AW95" i="2"/>
  <c r="AW91" i="2"/>
  <c r="K247" i="6"/>
  <c r="K246" i="6"/>
  <c r="K245" i="6"/>
  <c r="K244" i="6"/>
  <c r="K243" i="6"/>
  <c r="D186" i="2" l="1"/>
  <c r="D187" i="2"/>
  <c r="F187" i="2" s="1"/>
  <c r="F186" i="2"/>
  <c r="D188" i="2"/>
  <c r="F188" i="2" s="1"/>
  <c r="D189" i="2"/>
  <c r="F189" i="2" s="1"/>
  <c r="D190" i="2"/>
  <c r="F190" i="2" s="1"/>
  <c r="D191" i="2"/>
  <c r="F191" i="2" s="1"/>
  <c r="D192" i="2"/>
  <c r="F192" i="2" s="1"/>
  <c r="D193" i="2"/>
  <c r="F193" i="2" s="1"/>
  <c r="D194" i="2"/>
  <c r="F194" i="2" s="1"/>
  <c r="D195" i="2"/>
  <c r="D196" i="2"/>
  <c r="F196" i="2" s="1"/>
  <c r="D197" i="2"/>
  <c r="F197" i="2" s="1"/>
  <c r="D198" i="2"/>
  <c r="F198" i="2" s="1"/>
  <c r="D199" i="2"/>
  <c r="F199" i="2" s="1"/>
  <c r="D200" i="2"/>
  <c r="F200" i="2" s="1"/>
  <c r="D201" i="2"/>
  <c r="F201" i="2" s="1"/>
  <c r="D202" i="2"/>
  <c r="F202" i="2" s="1"/>
  <c r="D203" i="2"/>
  <c r="F203" i="2" s="1"/>
  <c r="D204" i="2"/>
  <c r="F204" i="2" s="1"/>
  <c r="D205" i="2"/>
  <c r="F205" i="2" s="1"/>
  <c r="D161" i="2"/>
  <c r="D156" i="2"/>
  <c r="D158" i="2"/>
  <c r="D159" i="2"/>
  <c r="D160" i="2"/>
  <c r="D162" i="2"/>
  <c r="D163" i="2"/>
  <c r="D164" i="2"/>
  <c r="D165" i="2"/>
  <c r="D166" i="2"/>
  <c r="D167" i="2"/>
  <c r="D168" i="2"/>
  <c r="D169" i="2"/>
  <c r="D170" i="2"/>
  <c r="D171" i="2"/>
  <c r="D172" i="2"/>
  <c r="D173" i="2"/>
  <c r="D174" i="2"/>
  <c r="D175" i="2"/>
  <c r="D176" i="2"/>
  <c r="D177" i="2"/>
  <c r="D178" i="2"/>
  <c r="D179" i="2"/>
  <c r="D180" i="2"/>
  <c r="D181" i="2"/>
  <c r="D182" i="2"/>
  <c r="D183" i="2"/>
  <c r="D184" i="2"/>
  <c r="D157" i="2"/>
  <c r="F195" i="2" l="1"/>
  <c r="I187" i="6"/>
  <c r="C187" i="6"/>
  <c r="B8" i="6" l="1"/>
  <c r="B10" i="2"/>
  <c r="B11" i="9"/>
  <c r="H23" i="2"/>
  <c r="J23" i="2" s="1"/>
  <c r="H24" i="2"/>
  <c r="J24" i="2" s="1"/>
  <c r="E25" i="2"/>
  <c r="H25" i="2"/>
  <c r="J25" i="2" s="1"/>
  <c r="C108" i="10"/>
  <c r="D76" i="10"/>
  <c r="E76" i="10"/>
  <c r="F76" i="10"/>
  <c r="G76" i="10"/>
  <c r="H76" i="10"/>
  <c r="I76" i="10"/>
  <c r="J76" i="10"/>
  <c r="K76" i="10"/>
  <c r="L76" i="10"/>
  <c r="M76" i="10"/>
  <c r="N76" i="10"/>
  <c r="O76" i="10"/>
  <c r="P76" i="10"/>
  <c r="Q76" i="10"/>
  <c r="R76" i="10"/>
  <c r="S76" i="10"/>
  <c r="T76" i="10"/>
  <c r="U76" i="10"/>
  <c r="V76" i="10"/>
  <c r="W76" i="10"/>
  <c r="X76" i="10"/>
  <c r="Y76" i="10"/>
  <c r="AA76" i="10"/>
  <c r="AB76" i="10"/>
  <c r="C76" i="10"/>
  <c r="D44" i="10"/>
  <c r="E44" i="10"/>
  <c r="F44" i="10"/>
  <c r="G44" i="10"/>
  <c r="H44" i="10"/>
  <c r="I44" i="10"/>
  <c r="J44" i="10"/>
  <c r="K44" i="10"/>
  <c r="L44" i="10"/>
  <c r="M44" i="10"/>
  <c r="N44" i="10"/>
  <c r="O44" i="10"/>
  <c r="P44" i="10"/>
  <c r="Q44" i="10"/>
  <c r="R44" i="10"/>
  <c r="S44" i="10"/>
  <c r="T44" i="10"/>
  <c r="U44" i="10"/>
  <c r="V44" i="10"/>
  <c r="W44" i="10"/>
  <c r="X44" i="10"/>
  <c r="Y44" i="10"/>
  <c r="Z44" i="10"/>
  <c r="AC44" i="10"/>
  <c r="C44" i="10"/>
  <c r="J110" i="2" l="1"/>
  <c r="J116" i="2"/>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AI108" i="10"/>
  <c r="AJ108" i="10"/>
  <c r="AK108" i="10"/>
  <c r="AL108" i="10"/>
  <c r="AM108" i="10"/>
  <c r="AN108" i="10"/>
  <c r="AO108" i="10"/>
  <c r="AP108" i="10"/>
  <c r="AQ108" i="10"/>
  <c r="AR108" i="10"/>
  <c r="AS108" i="10"/>
  <c r="AT108" i="10"/>
  <c r="AU108" i="10"/>
  <c r="AV108" i="10"/>
  <c r="AW108" i="10"/>
  <c r="AX108" i="10"/>
  <c r="AY108" i="10"/>
  <c r="AZ108" i="10"/>
  <c r="BA108" i="10"/>
  <c r="BB108" i="10"/>
  <c r="BC108" i="10"/>
  <c r="BD108" i="10"/>
  <c r="BE108" i="10"/>
  <c r="BF108" i="10"/>
  <c r="BG108" i="10"/>
  <c r="BH108" i="10"/>
  <c r="K108" i="10"/>
  <c r="J108" i="10"/>
  <c r="I108" i="10"/>
  <c r="H108" i="10"/>
  <c r="G108" i="10"/>
  <c r="F108" i="10"/>
  <c r="E108" i="10"/>
  <c r="D108" i="10"/>
  <c r="L22" i="7"/>
  <c r="AN22" i="7" s="1"/>
  <c r="M22" i="7"/>
  <c r="C89" i="4" s="1"/>
  <c r="K22" i="7"/>
  <c r="D25" i="6" s="1"/>
  <c r="J22" i="7"/>
  <c r="D24" i="6" s="1"/>
  <c r="I22" i="7"/>
  <c r="D23" i="6" s="1"/>
  <c r="H22" i="7"/>
  <c r="D22" i="6" s="1"/>
  <c r="G22" i="7"/>
  <c r="C81" i="4" s="1"/>
  <c r="F22" i="7"/>
  <c r="C80" i="4" s="1"/>
  <c r="E22" i="7"/>
  <c r="C227" i="6" s="1"/>
  <c r="D22" i="7"/>
  <c r="C78" i="4" s="1"/>
  <c r="C22" i="7"/>
  <c r="C77" i="4" s="1"/>
  <c r="J88" i="2"/>
  <c r="G44" i="2"/>
  <c r="G43" i="2"/>
  <c r="Q99" i="2"/>
  <c r="J115" i="2"/>
  <c r="J112" i="2"/>
  <c r="J102" i="2"/>
  <c r="G106" i="2"/>
  <c r="G118" i="2"/>
  <c r="G113" i="2"/>
  <c r="G112" i="2"/>
  <c r="G104" i="2"/>
  <c r="G103" i="2"/>
  <c r="G102" i="2"/>
  <c r="C33" i="6" l="1"/>
  <c r="AM22" i="7"/>
  <c r="I227" i="6"/>
  <c r="C79" i="4"/>
  <c r="C230" i="6"/>
  <c r="I230" i="6"/>
  <c r="C86" i="4"/>
  <c r="C87" i="4"/>
  <c r="C85" i="4"/>
  <c r="C84" i="4"/>
  <c r="I34" i="6"/>
  <c r="C34" i="6"/>
  <c r="I33" i="6"/>
  <c r="C88" i="4"/>
  <c r="Q100" i="2"/>
  <c r="Q98" i="2"/>
  <c r="D31" i="5"/>
  <c r="G47" i="2"/>
  <c r="G48" i="2"/>
  <c r="H48" i="2" s="1"/>
  <c r="G51" i="2"/>
  <c r="H51" i="2" s="1"/>
  <c r="G50" i="2"/>
  <c r="C355" i="6" s="1"/>
  <c r="C356" i="6" s="1"/>
  <c r="G49" i="2"/>
  <c r="G45" i="2"/>
  <c r="H45" i="2" s="1"/>
  <c r="C264" i="6"/>
  <c r="C265" i="6" s="1"/>
  <c r="G111" i="2"/>
  <c r="H42" i="2"/>
  <c r="H41" i="2"/>
  <c r="Q41" i="2" s="1"/>
  <c r="G40" i="2"/>
  <c r="H40" i="2" s="1"/>
  <c r="Q40" i="2" s="1"/>
  <c r="G36" i="2"/>
  <c r="H36" i="2" s="1"/>
  <c r="Q36" i="2" s="1"/>
  <c r="G39" i="2"/>
  <c r="G38" i="2"/>
  <c r="G37" i="2"/>
  <c r="H37" i="2" s="1"/>
  <c r="H38" i="2"/>
  <c r="H39" i="2"/>
  <c r="H43" i="2"/>
  <c r="H47" i="2"/>
  <c r="H49" i="2"/>
  <c r="H50" i="2"/>
  <c r="H28" i="2"/>
  <c r="H29" i="2"/>
  <c r="H30" i="2"/>
  <c r="H33" i="2"/>
  <c r="C41" i="6" l="1"/>
  <c r="D42" i="6" s="1"/>
  <c r="G46" i="2"/>
  <c r="H46" i="2" s="1"/>
  <c r="Q46" i="2" s="1"/>
  <c r="AY40" i="2"/>
  <c r="C90" i="4"/>
  <c r="C58" i="6"/>
  <c r="C91" i="4"/>
  <c r="C59" i="6"/>
  <c r="D61" i="2"/>
  <c r="AV56" i="2"/>
  <c r="Z39" i="2"/>
  <c r="AY104" i="2"/>
  <c r="G117" i="2"/>
  <c r="Q49" i="2"/>
  <c r="H44" i="2"/>
  <c r="Q44" i="2" s="1"/>
  <c r="Q47" i="2"/>
  <c r="C364" i="6"/>
  <c r="C365" i="6" s="1"/>
  <c r="Q50" i="2"/>
  <c r="C316" i="6"/>
  <c r="C317" i="6" s="1"/>
  <c r="C318" i="6" s="1"/>
  <c r="C322" i="6" s="1"/>
  <c r="C328" i="6" s="1"/>
  <c r="C329" i="6" s="1"/>
  <c r="Q39" i="2"/>
  <c r="Q48" i="2"/>
  <c r="Q43" i="2"/>
  <c r="Q38" i="2"/>
  <c r="AZ40" i="2" l="1"/>
  <c r="BI40" i="2" s="1"/>
  <c r="AY101" i="2"/>
  <c r="AY94" i="2"/>
  <c r="G107" i="2"/>
  <c r="G114" i="2"/>
  <c r="C150" i="2"/>
  <c r="E51" i="2"/>
  <c r="Q51" i="2" s="1"/>
  <c r="E37" i="2"/>
  <c r="Q37" i="2" s="1"/>
  <c r="Q42" i="2"/>
  <c r="D78" i="2"/>
  <c r="D60" i="2"/>
  <c r="D24" i="5"/>
  <c r="D18" i="5"/>
  <c r="D17" i="5"/>
  <c r="C55" i="6"/>
  <c r="BJ40" i="2" l="1"/>
  <c r="BL40" i="2" s="1"/>
  <c r="AV100" i="2"/>
  <c r="AW100" i="2" s="1"/>
  <c r="BB40" i="2"/>
  <c r="AX59" i="2"/>
  <c r="F64" i="2"/>
  <c r="F36" i="12" s="1"/>
  <c r="H36" i="12" s="1"/>
  <c r="J36" i="12" s="1"/>
  <c r="N107" i="2"/>
  <c r="BF94" i="2"/>
  <c r="BF92" i="2"/>
  <c r="BF102" i="2"/>
  <c r="BC99" i="2"/>
  <c r="AX70" i="2"/>
  <c r="AY70" i="2" s="1"/>
  <c r="AX58" i="2"/>
  <c r="AY58" i="2" s="1"/>
  <c r="F68" i="2"/>
  <c r="G68" i="2" s="1"/>
  <c r="AX60" i="2"/>
  <c r="AY60" i="2" s="1"/>
  <c r="AX57" i="2"/>
  <c r="AY57" i="2" s="1"/>
  <c r="AB42" i="2"/>
  <c r="AC42" i="2" s="1"/>
  <c r="AX71" i="2"/>
  <c r="AY71" i="2" s="1"/>
  <c r="AX61" i="2"/>
  <c r="AY61" i="2" s="1"/>
  <c r="BC97" i="2"/>
  <c r="BC102" i="2"/>
  <c r="BC103" i="2"/>
  <c r="AZ105" i="2"/>
  <c r="AZ96" i="2"/>
  <c r="AZ98" i="2"/>
  <c r="AZ93" i="2"/>
  <c r="AZ90" i="2"/>
  <c r="AZ91" i="2"/>
  <c r="AZ95" i="2"/>
  <c r="AZ99" i="2"/>
  <c r="AZ104" i="2"/>
  <c r="AZ94" i="2"/>
  <c r="AZ101" i="2"/>
  <c r="F65" i="2"/>
  <c r="H111" i="2"/>
  <c r="H107" i="2"/>
  <c r="F78" i="2"/>
  <c r="G78" i="2" s="1"/>
  <c r="F63" i="2"/>
  <c r="F77" i="2"/>
  <c r="F62" i="2"/>
  <c r="E250" i="6"/>
  <c r="E249" i="6"/>
  <c r="E248" i="6"/>
  <c r="K250" i="6"/>
  <c r="K249" i="6"/>
  <c r="K248" i="6"/>
  <c r="E247" i="6"/>
  <c r="E246" i="6"/>
  <c r="E245" i="6"/>
  <c r="E244" i="6"/>
  <c r="E243" i="6"/>
  <c r="I200" i="6"/>
  <c r="C200" i="6"/>
  <c r="N175" i="6"/>
  <c r="M175" i="6"/>
  <c r="I176" i="6"/>
  <c r="C176" i="6"/>
  <c r="I188" i="6"/>
  <c r="C188" i="6"/>
  <c r="J85" i="6"/>
  <c r="C87" i="6"/>
  <c r="J147" i="6"/>
  <c r="J140" i="6"/>
  <c r="J142" i="6" s="1"/>
  <c r="J143" i="6" s="1"/>
  <c r="D140" i="6"/>
  <c r="D142" i="6" s="1"/>
  <c r="D143" i="6" s="1"/>
  <c r="O145" i="6"/>
  <c r="O142" i="6"/>
  <c r="O140" i="6"/>
  <c r="J71" i="6"/>
  <c r="P71" i="6" s="1"/>
  <c r="I71" i="6"/>
  <c r="P67" i="6"/>
  <c r="P73" i="6"/>
  <c r="P70" i="6"/>
  <c r="P69" i="6"/>
  <c r="P68" i="6"/>
  <c r="O77" i="6"/>
  <c r="O67" i="6"/>
  <c r="I72" i="6"/>
  <c r="K72" i="6" s="1"/>
  <c r="E74" i="6"/>
  <c r="D74" i="6" s="1"/>
  <c r="I74" i="6" s="1"/>
  <c r="O74" i="6" s="1"/>
  <c r="C66" i="6"/>
  <c r="O66" i="6" s="1"/>
  <c r="D67" i="6"/>
  <c r="E67" i="6" s="1"/>
  <c r="J66" i="6"/>
  <c r="J74" i="6" s="1"/>
  <c r="P74" i="6" s="1"/>
  <c r="I36" i="6"/>
  <c r="I40" i="6"/>
  <c r="J42" i="6" s="1"/>
  <c r="C71" i="6" l="1"/>
  <c r="O72" i="6" s="1"/>
  <c r="G62" i="2"/>
  <c r="F34" i="12"/>
  <c r="H34" i="12" s="1"/>
  <c r="J34" i="12" s="1"/>
  <c r="G63" i="2"/>
  <c r="F35" i="12"/>
  <c r="H35" i="12" s="1"/>
  <c r="J35" i="12" s="1"/>
  <c r="G65" i="2"/>
  <c r="F37" i="12"/>
  <c r="H37" i="12" s="1"/>
  <c r="J37" i="12" s="1"/>
  <c r="D49" i="6"/>
  <c r="H78" i="4" s="1"/>
  <c r="C38" i="6"/>
  <c r="F77" i="6" s="1"/>
  <c r="AZ100" i="2"/>
  <c r="BW38" i="2"/>
  <c r="BX38" i="2" s="1"/>
  <c r="BW39" i="2"/>
  <c r="BX39" i="2" s="1"/>
  <c r="E251" i="6"/>
  <c r="H90" i="4" s="1"/>
  <c r="K251" i="6"/>
  <c r="G77" i="2"/>
  <c r="AU109" i="2"/>
  <c r="P72" i="6"/>
  <c r="Q72" i="6" s="1"/>
  <c r="L72" i="6"/>
  <c r="D87" i="6"/>
  <c r="E87" i="6" s="1"/>
  <c r="D85" i="6"/>
  <c r="Q67" i="6"/>
  <c r="I67" i="6"/>
  <c r="K67" i="6" s="1"/>
  <c r="K71" i="6"/>
  <c r="L71" i="6" s="1"/>
  <c r="F72" i="6"/>
  <c r="F68" i="6"/>
  <c r="O71" i="6"/>
  <c r="Q71" i="6" s="1"/>
  <c r="K74" i="6"/>
  <c r="J87" i="6" s="1"/>
  <c r="K87" i="6" s="1"/>
  <c r="Q74" i="6"/>
  <c r="F67" i="6"/>
  <c r="P66" i="6"/>
  <c r="Q66" i="6" s="1"/>
  <c r="F66" i="6"/>
  <c r="E66" i="6" s="1"/>
  <c r="D86" i="6" s="1"/>
  <c r="L73" i="6"/>
  <c r="F69" i="6"/>
  <c r="I39" i="6"/>
  <c r="D48" i="6"/>
  <c r="I38" i="6"/>
  <c r="C36" i="6"/>
  <c r="F73" i="6" s="1"/>
  <c r="D16" i="5"/>
  <c r="E45" i="2"/>
  <c r="Q45" i="2" s="1"/>
  <c r="E35" i="2"/>
  <c r="E71" i="6" l="1"/>
  <c r="F71" i="6" s="1"/>
  <c r="H77" i="4"/>
  <c r="C85" i="6"/>
  <c r="E85" i="6" s="1"/>
  <c r="I85" i="6"/>
  <c r="K85" i="6" s="1"/>
  <c r="C86" i="6"/>
  <c r="E86" i="6" s="1"/>
  <c r="I86" i="6"/>
  <c r="E23" i="2"/>
  <c r="AA23" i="2"/>
  <c r="AA24" i="2"/>
  <c r="H94" i="4"/>
  <c r="E24" i="2"/>
  <c r="H47" i="9"/>
  <c r="J47" i="9" s="1"/>
  <c r="T26" i="9"/>
  <c r="BU26" i="2"/>
  <c r="CC26" i="2" s="1"/>
  <c r="CD26" i="2" s="1"/>
  <c r="BU27" i="2"/>
  <c r="CC27" i="2" s="1"/>
  <c r="CD27" i="2" s="1"/>
  <c r="CF27" i="2" s="1"/>
  <c r="BU28" i="2"/>
  <c r="CC28" i="2" s="1"/>
  <c r="CD28" i="2" s="1"/>
  <c r="CF28" i="2" s="1"/>
  <c r="BU23" i="2"/>
  <c r="BU25" i="2"/>
  <c r="CC25" i="2" s="1"/>
  <c r="CD25" i="2" s="1"/>
  <c r="CF25" i="2" s="1"/>
  <c r="Q25" i="9"/>
  <c r="Y25" i="9" s="1"/>
  <c r="BU24" i="2"/>
  <c r="CC24" i="2" s="1"/>
  <c r="CD24" i="2" s="1"/>
  <c r="CF24" i="2" s="1"/>
  <c r="E46" i="9"/>
  <c r="P23" i="9"/>
  <c r="D44" i="9"/>
  <c r="P24" i="9"/>
  <c r="D45" i="9"/>
  <c r="E77" i="6"/>
  <c r="D77" i="6" s="1"/>
  <c r="I35" i="6"/>
  <c r="E68" i="6"/>
  <c r="C68" i="6" s="1"/>
  <c r="F70" i="6"/>
  <c r="E72" i="6"/>
  <c r="C72" i="6"/>
  <c r="E69" i="6"/>
  <c r="C69" i="6" s="1"/>
  <c r="C39" i="6"/>
  <c r="F75" i="6" s="1"/>
  <c r="I73" i="6"/>
  <c r="K73" i="6"/>
  <c r="G130" i="2"/>
  <c r="D90" i="2"/>
  <c r="D91" i="2"/>
  <c r="D95" i="2"/>
  <c r="D96" i="2"/>
  <c r="D97" i="2"/>
  <c r="D100" i="2"/>
  <c r="D103" i="2"/>
  <c r="D104" i="2"/>
  <c r="D105" i="2"/>
  <c r="D106" i="2"/>
  <c r="D107" i="2"/>
  <c r="E107" i="2" s="1"/>
  <c r="D108" i="2"/>
  <c r="D109" i="2"/>
  <c r="D110" i="2"/>
  <c r="D111" i="2"/>
  <c r="E111" i="2" s="1"/>
  <c r="D113" i="2"/>
  <c r="D114" i="2"/>
  <c r="D115" i="2"/>
  <c r="D116" i="2"/>
  <c r="D117" i="2"/>
  <c r="D118" i="2"/>
  <c r="D92" i="2"/>
  <c r="C111" i="6" l="1"/>
  <c r="C75" i="6"/>
  <c r="T25" i="9"/>
  <c r="E103" i="4" s="1"/>
  <c r="S25" i="9"/>
  <c r="J46" i="9"/>
  <c r="H46" i="9"/>
  <c r="G46" i="9"/>
  <c r="BU53" i="2"/>
  <c r="BV53" i="2" s="1"/>
  <c r="BU52" i="2"/>
  <c r="BV52" i="2" s="1"/>
  <c r="BW52" i="2" s="1"/>
  <c r="BU62" i="2"/>
  <c r="BV62" i="2" s="1"/>
  <c r="BU64" i="2"/>
  <c r="BV64" i="2" s="1"/>
  <c r="BQ68" i="2" s="1"/>
  <c r="CC23" i="2"/>
  <c r="CD23" i="2" s="1"/>
  <c r="CF23" i="2" s="1"/>
  <c r="BV41" i="2"/>
  <c r="BW41" i="2" s="1"/>
  <c r="BX41" i="2" s="1"/>
  <c r="BU63" i="2"/>
  <c r="BV63" i="2" s="1"/>
  <c r="BQ67" i="2" s="1"/>
  <c r="BU51" i="2"/>
  <c r="BV51" i="2" s="1"/>
  <c r="BW51" i="2" s="1"/>
  <c r="BV42" i="2"/>
  <c r="BV40" i="2"/>
  <c r="M47" i="9"/>
  <c r="L47" i="9"/>
  <c r="R22" i="9"/>
  <c r="F43" i="9"/>
  <c r="Y26" i="9"/>
  <c r="E104" i="4"/>
  <c r="Z25" i="9"/>
  <c r="H103" i="4" s="1"/>
  <c r="AB25" i="9"/>
  <c r="E106" i="2"/>
  <c r="H106" i="2" s="1"/>
  <c r="E114" i="2"/>
  <c r="E118" i="2"/>
  <c r="H118" i="2" s="1"/>
  <c r="E110" i="2"/>
  <c r="K110" i="2" s="1"/>
  <c r="E116" i="2"/>
  <c r="K116" i="2" s="1"/>
  <c r="E109" i="2"/>
  <c r="H109" i="2" s="1"/>
  <c r="E105" i="2"/>
  <c r="N105" i="2" s="1"/>
  <c r="E103" i="2"/>
  <c r="H103" i="2" s="1"/>
  <c r="E115" i="2"/>
  <c r="K115" i="2" s="1"/>
  <c r="E117" i="2"/>
  <c r="E113" i="2"/>
  <c r="H113" i="2" s="1"/>
  <c r="E108" i="2"/>
  <c r="H108" i="2" s="1"/>
  <c r="E104" i="2"/>
  <c r="H104" i="2" s="1"/>
  <c r="E88" i="6"/>
  <c r="C35" i="6"/>
  <c r="E75" i="6"/>
  <c r="E70" i="6"/>
  <c r="C70" i="6" s="1"/>
  <c r="E73" i="6"/>
  <c r="C73" i="6" s="1"/>
  <c r="O73" i="6" s="1"/>
  <c r="AY59" i="2" s="1"/>
  <c r="D112" i="2"/>
  <c r="R112" i="2" s="1"/>
  <c r="J49" i="2"/>
  <c r="J41" i="2"/>
  <c r="J37" i="2"/>
  <c r="J36" i="2"/>
  <c r="J28" i="2"/>
  <c r="J45" i="2"/>
  <c r="J51" i="2"/>
  <c r="J48" i="2"/>
  <c r="J44" i="2"/>
  <c r="J47" i="2"/>
  <c r="J43" i="2"/>
  <c r="J39" i="2"/>
  <c r="J30" i="2"/>
  <c r="J50" i="2"/>
  <c r="J46" i="2"/>
  <c r="J42" i="2"/>
  <c r="J38" i="2"/>
  <c r="J33" i="2"/>
  <c r="J29" i="2"/>
  <c r="J40" i="2"/>
  <c r="F76" i="6" l="1"/>
  <c r="C76" i="6" s="1"/>
  <c r="C95" i="6"/>
  <c r="O143" i="6" s="1"/>
  <c r="O146" i="6" s="1"/>
  <c r="C129" i="6"/>
  <c r="C130" i="6" s="1"/>
  <c r="BQ66" i="2"/>
  <c r="N47" i="9"/>
  <c r="BW40" i="2"/>
  <c r="BX40" i="2"/>
  <c r="N46" i="9"/>
  <c r="L46" i="9"/>
  <c r="BX42" i="2"/>
  <c r="BW42" i="2"/>
  <c r="Z26" i="9"/>
  <c r="H104" i="4" s="1"/>
  <c r="BJ86" i="2"/>
  <c r="BK86" i="2" s="1"/>
  <c r="N115" i="2"/>
  <c r="H79" i="4"/>
  <c r="AA26" i="9"/>
  <c r="H114" i="2"/>
  <c r="R114" i="2"/>
  <c r="S114" i="2" s="1"/>
  <c r="AA25" i="9"/>
  <c r="I103" i="4" s="1"/>
  <c r="H117" i="2"/>
  <c r="R117" i="2"/>
  <c r="S117" i="2" s="1"/>
  <c r="E112" i="2"/>
  <c r="H112" i="2" s="1"/>
  <c r="R98" i="2"/>
  <c r="S98" i="2" s="1"/>
  <c r="G64" i="2"/>
  <c r="Q73" i="6"/>
  <c r="D75" i="6"/>
  <c r="R37" i="2"/>
  <c r="T37" i="2" s="1"/>
  <c r="R48" i="2"/>
  <c r="T48" i="2" s="1"/>
  <c r="R46" i="2"/>
  <c r="T46" i="2" s="1"/>
  <c r="R41" i="2"/>
  <c r="T41" i="2" s="1"/>
  <c r="R50" i="2"/>
  <c r="T50" i="2" s="1"/>
  <c r="R51" i="2"/>
  <c r="T51" i="2" s="1"/>
  <c r="R43" i="2"/>
  <c r="T43" i="2" s="1"/>
  <c r="R40" i="2"/>
  <c r="T40" i="2" s="1"/>
  <c r="R36" i="2"/>
  <c r="T36" i="2" s="1"/>
  <c r="R45" i="2"/>
  <c r="T45" i="2" s="1"/>
  <c r="R49" i="2"/>
  <c r="T49" i="2" s="1"/>
  <c r="R47" i="2"/>
  <c r="T47" i="2" s="1"/>
  <c r="R44" i="2"/>
  <c r="T44" i="2" s="1"/>
  <c r="R42" i="2"/>
  <c r="T42" i="2" s="1"/>
  <c r="R39" i="2"/>
  <c r="T39" i="2" s="1"/>
  <c r="R38" i="2"/>
  <c r="T38" i="2" s="1"/>
  <c r="E76" i="6" l="1"/>
  <c r="C131" i="6"/>
  <c r="D153" i="6"/>
  <c r="BR164" i="2"/>
  <c r="M46" i="9"/>
  <c r="BQ44" i="2"/>
  <c r="AB26" i="9"/>
  <c r="F104" i="4" s="1"/>
  <c r="F103" i="4"/>
  <c r="K112" i="2"/>
  <c r="S112" i="2"/>
  <c r="M174" i="6"/>
  <c r="D76" i="6"/>
  <c r="D148" i="6" s="1"/>
  <c r="I104" i="4" l="1"/>
  <c r="C78" i="6"/>
  <c r="D149" i="6" l="1"/>
  <c r="D78" i="6"/>
  <c r="D150" i="6" l="1"/>
  <c r="D152" i="6" l="1"/>
  <c r="D154" i="6" s="1"/>
  <c r="D156" i="6" s="1"/>
  <c r="D157" i="6" s="1"/>
  <c r="D158" i="6" l="1"/>
  <c r="D66" i="6" l="1"/>
  <c r="I66" i="6" s="1"/>
  <c r="K66" i="6" s="1"/>
  <c r="I111" i="6" s="1"/>
  <c r="J86" i="6" l="1"/>
  <c r="K86" i="6" s="1"/>
  <c r="L66" i="6"/>
  <c r="L69" i="6"/>
  <c r="G45" i="9" s="1"/>
  <c r="C45" i="9" s="1"/>
  <c r="L68" i="6"/>
  <c r="G44" i="9" s="1"/>
  <c r="C44" i="9" s="1"/>
  <c r="L75" i="6"/>
  <c r="K75" i="6" s="1"/>
  <c r="L77" i="6"/>
  <c r="L76" i="6"/>
  <c r="I76" i="6" s="1"/>
  <c r="U22" i="9" l="1"/>
  <c r="I43" i="9"/>
  <c r="K43" i="9" s="1"/>
  <c r="S24" i="9"/>
  <c r="O24" i="9" s="1"/>
  <c r="S23" i="9"/>
  <c r="O23" i="9" s="1"/>
  <c r="K77" i="6"/>
  <c r="J77" i="6" s="1"/>
  <c r="P77" i="6" s="1"/>
  <c r="K68" i="6"/>
  <c r="I68" i="6" s="1"/>
  <c r="K88" i="6"/>
  <c r="K76" i="6"/>
  <c r="K69" i="6"/>
  <c r="I69" i="6" s="1"/>
  <c r="L70" i="6"/>
  <c r="K70" i="6" s="1"/>
  <c r="I70" i="6" s="1"/>
  <c r="T22" i="7" l="1"/>
  <c r="U22" i="7" s="1"/>
  <c r="V22" i="7"/>
  <c r="G95" i="2" s="1"/>
  <c r="Q77" i="6"/>
  <c r="O70" i="6"/>
  <c r="AX55" i="2" s="1"/>
  <c r="AY55" i="2" s="1"/>
  <c r="I75" i="6"/>
  <c r="I129" i="6" s="1"/>
  <c r="I130" i="6" s="1"/>
  <c r="O68" i="6"/>
  <c r="BJ87" i="2"/>
  <c r="BK87" i="2" s="1"/>
  <c r="M24" i="9"/>
  <c r="F102" i="4"/>
  <c r="F101" i="4"/>
  <c r="H23" i="9"/>
  <c r="E100" i="4"/>
  <c r="R99" i="2"/>
  <c r="S99" i="2" s="1"/>
  <c r="H80" i="4"/>
  <c r="O69" i="6"/>
  <c r="J76" i="6"/>
  <c r="J148" i="6" s="1"/>
  <c r="O76" i="6"/>
  <c r="D52" i="7" l="1"/>
  <c r="C52" i="7"/>
  <c r="L24" i="9"/>
  <c r="K24" i="9" s="1"/>
  <c r="Q70" i="6"/>
  <c r="C96" i="6"/>
  <c r="S35" i="9"/>
  <c r="M35" i="9" s="1"/>
  <c r="L35" i="9" s="1"/>
  <c r="K35" i="9" s="1"/>
  <c r="AB52" i="2"/>
  <c r="AC52" i="2" s="1"/>
  <c r="AX54" i="2"/>
  <c r="AY54" i="2" s="1"/>
  <c r="E33" i="9"/>
  <c r="C226" i="6"/>
  <c r="AB51" i="2"/>
  <c r="AC51" i="2" s="1"/>
  <c r="Q68" i="6"/>
  <c r="R34" i="9"/>
  <c r="H34" i="9" s="1"/>
  <c r="E22" i="9"/>
  <c r="AY83" i="2"/>
  <c r="G28" i="2"/>
  <c r="D28" i="2"/>
  <c r="AV23" i="2"/>
  <c r="AY23" i="2"/>
  <c r="AX56" i="2"/>
  <c r="AY56" i="2" s="1"/>
  <c r="Q69" i="6"/>
  <c r="I226" i="6"/>
  <c r="I78" i="6"/>
  <c r="O78" i="6" s="1"/>
  <c r="Z22" i="7" s="1"/>
  <c r="P76" i="6"/>
  <c r="J75" i="6"/>
  <c r="P75" i="6" s="1"/>
  <c r="O75" i="6"/>
  <c r="AF22" i="7" l="1"/>
  <c r="AG22" i="7"/>
  <c r="W22" i="7"/>
  <c r="X22" i="7" s="1"/>
  <c r="P22" i="7"/>
  <c r="E37" i="7"/>
  <c r="E102" i="4"/>
  <c r="J22" i="9"/>
  <c r="K22" i="9" s="1"/>
  <c r="Q76" i="6"/>
  <c r="C232" i="6"/>
  <c r="H88" i="4" s="1"/>
  <c r="I232" i="6"/>
  <c r="J33" i="9"/>
  <c r="O144" i="6"/>
  <c r="I112" i="6"/>
  <c r="I113" i="6" s="1"/>
  <c r="F33" i="9"/>
  <c r="C231" i="6"/>
  <c r="AC64" i="2" s="1"/>
  <c r="AD64" i="2" s="1"/>
  <c r="AU63" i="2"/>
  <c r="F22" i="9"/>
  <c r="E95" i="2"/>
  <c r="H95" i="2" s="1"/>
  <c r="AW83" i="2"/>
  <c r="AZ83" i="2" s="1"/>
  <c r="E28" i="2"/>
  <c r="Q28" i="2" s="1"/>
  <c r="R28" i="2" s="1"/>
  <c r="T28" i="2" s="1"/>
  <c r="AW23" i="2"/>
  <c r="BI23" i="2" s="1"/>
  <c r="BJ23" i="2" s="1"/>
  <c r="BL23" i="2" s="1"/>
  <c r="AY29" i="2"/>
  <c r="I231" i="6"/>
  <c r="J149" i="6"/>
  <c r="J150" i="6" s="1"/>
  <c r="Q75" i="6"/>
  <c r="J78" i="6"/>
  <c r="F37" i="7" l="1"/>
  <c r="L37" i="7"/>
  <c r="AC26" i="2"/>
  <c r="N37" i="7"/>
  <c r="AC27" i="2" s="1"/>
  <c r="D22" i="9"/>
  <c r="S22" i="7" s="1"/>
  <c r="Q22" i="7"/>
  <c r="AK22" i="7"/>
  <c r="I23" i="9" s="1"/>
  <c r="K33" i="9"/>
  <c r="C235" i="6"/>
  <c r="C236" i="6" s="1"/>
  <c r="AB40" i="2" s="1"/>
  <c r="AC40" i="2" s="1"/>
  <c r="AC23" i="2"/>
  <c r="AA64" i="2" s="1"/>
  <c r="G23" i="2"/>
  <c r="E90" i="2" s="1"/>
  <c r="D33" i="9"/>
  <c r="H37" i="7" s="1"/>
  <c r="AF67" i="2" s="1"/>
  <c r="O147" i="6"/>
  <c r="J153" i="6" s="1"/>
  <c r="N174" i="6"/>
  <c r="I131" i="6"/>
  <c r="V22" i="9"/>
  <c r="O22" i="7" s="1"/>
  <c r="G26" i="2"/>
  <c r="D26" i="2" s="1"/>
  <c r="G90" i="2"/>
  <c r="H87" i="4"/>
  <c r="F100" i="4"/>
  <c r="AY28" i="2"/>
  <c r="AZ28" i="2" s="1"/>
  <c r="BI28" i="2" s="1"/>
  <c r="BJ28" i="2" s="1"/>
  <c r="BL28" i="2" s="1"/>
  <c r="AY25" i="2"/>
  <c r="AV25" i="2"/>
  <c r="AY24" i="2"/>
  <c r="AV24" i="2"/>
  <c r="AZ29" i="2"/>
  <c r="G24" i="2"/>
  <c r="AC24" i="2"/>
  <c r="AM24" i="2" s="1"/>
  <c r="AC65" i="2"/>
  <c r="AD65" i="2" s="1"/>
  <c r="G91" i="2"/>
  <c r="H91" i="2" s="1"/>
  <c r="H91" i="4"/>
  <c r="H92" i="4"/>
  <c r="G35" i="2"/>
  <c r="G34" i="2"/>
  <c r="D29" i="2"/>
  <c r="G29" i="2"/>
  <c r="D30" i="2"/>
  <c r="G30" i="2"/>
  <c r="Y22" i="7"/>
  <c r="AA22" i="7"/>
  <c r="AB22" i="7"/>
  <c r="I235" i="6"/>
  <c r="I236" i="6" s="1"/>
  <c r="J152" i="6"/>
  <c r="P78" i="6"/>
  <c r="Z26" i="2" l="1"/>
  <c r="D37" i="7"/>
  <c r="G284" i="6" s="1"/>
  <c r="G285" i="6" s="1"/>
  <c r="AC66" i="2" s="1"/>
  <c r="AD66" i="2" s="1"/>
  <c r="Z168" i="2" s="1"/>
  <c r="AA26" i="2"/>
  <c r="AD26" i="2"/>
  <c r="AF26" i="2" s="1"/>
  <c r="AC22" i="7"/>
  <c r="AE22" i="7" s="1"/>
  <c r="R100" i="2" s="1"/>
  <c r="S100" i="2" s="1"/>
  <c r="C376" i="6"/>
  <c r="C377" i="6" s="1"/>
  <c r="G37" i="7" s="1"/>
  <c r="AI67" i="2" s="1"/>
  <c r="AO22" i="7"/>
  <c r="G27" i="2" s="1"/>
  <c r="AQ22" i="7"/>
  <c r="AP22" i="7"/>
  <c r="AI22" i="7"/>
  <c r="J37" i="7"/>
  <c r="AM23" i="2"/>
  <c r="AN23" i="2" s="1"/>
  <c r="AP23" i="2" s="1"/>
  <c r="AM64" i="2" s="1"/>
  <c r="AO64" i="2" s="1"/>
  <c r="O33" i="9"/>
  <c r="P33" i="9" s="1"/>
  <c r="C33" i="9" s="1"/>
  <c r="X22" i="9"/>
  <c r="Q23" i="2"/>
  <c r="R23" i="2" s="1"/>
  <c r="T23" i="2" s="1"/>
  <c r="Q90" i="2" s="1"/>
  <c r="S90" i="2" s="1"/>
  <c r="F66" i="2"/>
  <c r="G66" i="2" s="1"/>
  <c r="H89" i="4"/>
  <c r="H90" i="2"/>
  <c r="W22" i="9"/>
  <c r="G100" i="4" s="1"/>
  <c r="G101" i="4"/>
  <c r="H26" i="2"/>
  <c r="D93" i="2" s="1"/>
  <c r="E93" i="2" s="1"/>
  <c r="E26" i="2"/>
  <c r="Z27" i="2"/>
  <c r="AD27" i="2"/>
  <c r="G23" i="9"/>
  <c r="E23" i="9"/>
  <c r="J154" i="6"/>
  <c r="J156" i="6" s="1"/>
  <c r="J157" i="6" s="1"/>
  <c r="E30" i="2"/>
  <c r="Q30" i="2" s="1"/>
  <c r="R30" i="2" s="1"/>
  <c r="T30" i="2" s="1"/>
  <c r="AW25" i="2"/>
  <c r="BI25" i="2" s="1"/>
  <c r="BJ25" i="2" s="1"/>
  <c r="BL25" i="2" s="1"/>
  <c r="E29" i="2"/>
  <c r="Q29" i="2" s="1"/>
  <c r="R29" i="2" s="1"/>
  <c r="T29" i="2" s="1"/>
  <c r="AW24" i="2"/>
  <c r="BI24" i="2" s="1"/>
  <c r="BJ24" i="2" s="1"/>
  <c r="BL24" i="2" s="1"/>
  <c r="J97" i="2"/>
  <c r="BB85" i="2"/>
  <c r="AV89" i="2"/>
  <c r="BB29" i="2"/>
  <c r="AW84" i="2"/>
  <c r="G96" i="2"/>
  <c r="AY84" i="2"/>
  <c r="BI29" i="2"/>
  <c r="BJ29" i="2" s="1"/>
  <c r="BL29" i="2" s="1"/>
  <c r="AU202" i="2" s="1"/>
  <c r="AV88" i="2"/>
  <c r="AW88" i="2" s="1"/>
  <c r="BB28" i="2"/>
  <c r="AW85" i="2"/>
  <c r="H93" i="4"/>
  <c r="AB41" i="2"/>
  <c r="AC41" i="2" s="1"/>
  <c r="AA65" i="2"/>
  <c r="AN24" i="2"/>
  <c r="AP24" i="2" s="1"/>
  <c r="E96" i="2"/>
  <c r="H34" i="2"/>
  <c r="C294" i="6" s="1"/>
  <c r="C295" i="6" s="1"/>
  <c r="C296" i="6" s="1"/>
  <c r="C300" i="6" s="1"/>
  <c r="C306" i="6" s="1"/>
  <c r="C307" i="6" s="1"/>
  <c r="E97" i="2"/>
  <c r="H35" i="2"/>
  <c r="Q35" i="2" s="1"/>
  <c r="R35" i="2" s="1"/>
  <c r="T35" i="2" s="1"/>
  <c r="Q24" i="2"/>
  <c r="R24" i="2" s="1"/>
  <c r="T24" i="2" s="1"/>
  <c r="E91" i="2"/>
  <c r="F67" i="2"/>
  <c r="AM26" i="2" l="1"/>
  <c r="AN26" i="2" s="1"/>
  <c r="K37" i="7"/>
  <c r="I37" i="7"/>
  <c r="AB38" i="2" s="1"/>
  <c r="AC38" i="2" s="1"/>
  <c r="C37" i="7"/>
  <c r="AC25" i="2" s="1"/>
  <c r="AM25" i="2" s="1"/>
  <c r="AN25" i="2" s="1"/>
  <c r="AP25" i="2" s="1"/>
  <c r="Y168" i="2" s="1"/>
  <c r="G33" i="2"/>
  <c r="AD22" i="7"/>
  <c r="E33" i="2" s="1"/>
  <c r="D33" i="2"/>
  <c r="Z67" i="2"/>
  <c r="AA67" i="2" s="1"/>
  <c r="H100" i="4"/>
  <c r="AJ22" i="7"/>
  <c r="R22" i="7"/>
  <c r="N22" i="7"/>
  <c r="G25" i="2" s="1"/>
  <c r="Y166" i="2"/>
  <c r="Q33" i="9"/>
  <c r="C214" i="2"/>
  <c r="BQ159" i="2" s="1"/>
  <c r="F38" i="12"/>
  <c r="H38" i="12" s="1"/>
  <c r="J38" i="12" s="1"/>
  <c r="G67" i="2"/>
  <c r="F39" i="12"/>
  <c r="H39" i="12" s="1"/>
  <c r="J39" i="12" s="1"/>
  <c r="C284" i="6"/>
  <c r="C285" i="6" s="1"/>
  <c r="G92" i="2" s="1"/>
  <c r="C22" i="9"/>
  <c r="J26" i="2"/>
  <c r="Q26" i="2"/>
  <c r="R26" i="2" s="1"/>
  <c r="D27" i="2"/>
  <c r="E27" i="2"/>
  <c r="Z68" i="2"/>
  <c r="AA68" i="2" s="1"/>
  <c r="AF27" i="2"/>
  <c r="H27" i="2"/>
  <c r="F23" i="9"/>
  <c r="C165" i="6"/>
  <c r="J158" i="6"/>
  <c r="CF26" i="2"/>
  <c r="BR83" i="2" s="1"/>
  <c r="AY88" i="2"/>
  <c r="AZ88" i="2" s="1"/>
  <c r="BC85" i="2"/>
  <c r="H96" i="2"/>
  <c r="K97" i="2"/>
  <c r="AZ84" i="2"/>
  <c r="BJ89" i="2"/>
  <c r="BK89" i="2" s="1"/>
  <c r="AW89" i="2"/>
  <c r="AZ89" i="2" s="1"/>
  <c r="AM65" i="2"/>
  <c r="AO65" i="2" s="1"/>
  <c r="Y75" i="2" s="1"/>
  <c r="G101" i="2"/>
  <c r="H101" i="2" s="1"/>
  <c r="J35" i="2"/>
  <c r="D102" i="2"/>
  <c r="Q34" i="2"/>
  <c r="R34" i="2" s="1"/>
  <c r="T34" i="2" s="1"/>
  <c r="C218" i="2" s="1"/>
  <c r="BQ163" i="2" s="1"/>
  <c r="D101" i="2"/>
  <c r="E101" i="2" s="1"/>
  <c r="J34" i="2"/>
  <c r="Q91" i="2"/>
  <c r="S91" i="2" s="1"/>
  <c r="AA66" i="2" l="1"/>
  <c r="AB53" i="2"/>
  <c r="E100" i="2"/>
  <c r="Q33" i="2"/>
  <c r="R33" i="2" s="1"/>
  <c r="T33" i="2" s="1"/>
  <c r="AL22" i="7"/>
  <c r="F61" i="2" s="1"/>
  <c r="M37" i="7"/>
  <c r="Q37" i="7" s="1"/>
  <c r="T37" i="7" s="1"/>
  <c r="AH22" i="7"/>
  <c r="F60" i="2" s="1"/>
  <c r="H92" i="2"/>
  <c r="D216" i="2" s="1"/>
  <c r="BR161" i="2" s="1"/>
  <c r="F48" i="12"/>
  <c r="H48" i="12" s="1"/>
  <c r="J48" i="12" s="1"/>
  <c r="I175" i="6"/>
  <c r="I177" i="6" s="1"/>
  <c r="I179" i="6" s="1"/>
  <c r="I180" i="6" s="1"/>
  <c r="N176" i="6" s="1"/>
  <c r="D100" i="4"/>
  <c r="E101" i="4"/>
  <c r="Q27" i="2"/>
  <c r="R27" i="2" s="1"/>
  <c r="AV201" i="2"/>
  <c r="D217" i="2"/>
  <c r="BR162" i="2" s="1"/>
  <c r="BQ164" i="2"/>
  <c r="J27" i="2"/>
  <c r="D94" i="2"/>
  <c r="E94" i="2" s="1"/>
  <c r="BQ31" i="2"/>
  <c r="BR75" i="2"/>
  <c r="BV75" i="2" s="1"/>
  <c r="AU110" i="2"/>
  <c r="BC89" i="2"/>
  <c r="AU108" i="2" s="1"/>
  <c r="AU107" i="2"/>
  <c r="E92" i="2"/>
  <c r="Q25" i="2"/>
  <c r="R25" i="2" s="1"/>
  <c r="T25" i="2" s="1"/>
  <c r="R102" i="2"/>
  <c r="S102" i="2" s="1"/>
  <c r="C123" i="2" s="1"/>
  <c r="E102" i="2"/>
  <c r="H102" i="2" s="1"/>
  <c r="G60" i="2" l="1"/>
  <c r="AX72" i="2"/>
  <c r="AB39" i="2"/>
  <c r="AC39" i="2" s="1"/>
  <c r="Y44" i="2" s="1"/>
  <c r="R37" i="7"/>
  <c r="AA28" i="2" s="1"/>
  <c r="S37" i="7"/>
  <c r="AI69" i="2" s="1"/>
  <c r="U37" i="7"/>
  <c r="AC70" i="2" s="1"/>
  <c r="AD70" i="2" s="1"/>
  <c r="Y72" i="2" s="1"/>
  <c r="AC29" i="2"/>
  <c r="AD29" i="2" s="1"/>
  <c r="F33" i="12"/>
  <c r="H33" i="12" s="1"/>
  <c r="G61" i="2"/>
  <c r="D214" i="2" s="1"/>
  <c r="BR159" i="2" s="1"/>
  <c r="F79" i="2"/>
  <c r="F32" i="12" s="1"/>
  <c r="C68" i="12" s="1"/>
  <c r="AC28" i="2"/>
  <c r="Z28" i="2"/>
  <c r="C120" i="2"/>
  <c r="H84" i="4"/>
  <c r="G32" i="2"/>
  <c r="H32" i="2" s="1"/>
  <c r="Q32" i="2" s="1"/>
  <c r="R32" i="2" s="1"/>
  <c r="T32" i="2" s="1"/>
  <c r="AY27" i="2"/>
  <c r="AZ27" i="2" s="1"/>
  <c r="C216" i="2"/>
  <c r="BQ161" i="2" s="1"/>
  <c r="AV202" i="2"/>
  <c r="BR79" i="2"/>
  <c r="BR80" i="2"/>
  <c r="BR78" i="2"/>
  <c r="Z82" i="2"/>
  <c r="AD82" i="2" s="1"/>
  <c r="K102" i="2"/>
  <c r="J33" i="12" l="1"/>
  <c r="Z166" i="2"/>
  <c r="H32" i="12"/>
  <c r="C69" i="12"/>
  <c r="C70" i="2"/>
  <c r="AA69" i="2"/>
  <c r="AJ69" i="2" s="1"/>
  <c r="AM28" i="2"/>
  <c r="AN28" i="2" s="1"/>
  <c r="AP28" i="2" s="1"/>
  <c r="AM29" i="2"/>
  <c r="AN29" i="2" s="1"/>
  <c r="AP29" i="2" s="1"/>
  <c r="Z70" i="2"/>
  <c r="AA70" i="2" s="1"/>
  <c r="AF29" i="2"/>
  <c r="D99" i="2"/>
  <c r="E99" i="2" s="1"/>
  <c r="J32" i="2"/>
  <c r="I197" i="6"/>
  <c r="I181" i="6"/>
  <c r="I183" i="6" s="1"/>
  <c r="H86" i="4" s="1"/>
  <c r="BI27" i="2"/>
  <c r="BJ27" i="2" s="1"/>
  <c r="BL27" i="2" s="1"/>
  <c r="BB27" i="2"/>
  <c r="AV87" i="2"/>
  <c r="AW87" i="2" s="1"/>
  <c r="D218" i="2"/>
  <c r="BR163" i="2" s="1"/>
  <c r="BQ85" i="2"/>
  <c r="Z87" i="2"/>
  <c r="Z86" i="2"/>
  <c r="Z85" i="2"/>
  <c r="C41" i="12" l="1"/>
  <c r="J32" i="12"/>
  <c r="E68" i="12" s="1"/>
  <c r="I185" i="6"/>
  <c r="I199" i="6" s="1"/>
  <c r="I201" i="6" s="1"/>
  <c r="I184" i="6"/>
  <c r="H85" i="4" s="1"/>
  <c r="I206" i="6"/>
  <c r="I211" i="6" s="1"/>
  <c r="E41" i="12" l="1"/>
  <c r="E69" i="12"/>
  <c r="I186" i="6"/>
  <c r="I189" i="6" s="1"/>
  <c r="C55" i="4" s="1"/>
  <c r="I190" i="6" s="1"/>
  <c r="I202" i="6"/>
  <c r="I203" i="6" s="1"/>
  <c r="I204" i="6" s="1"/>
  <c r="I209" i="6" s="1"/>
  <c r="I212" i="6" s="1"/>
  <c r="I213" i="6" s="1"/>
  <c r="Z53" i="2" l="1"/>
  <c r="AC53" i="2" s="1"/>
  <c r="Y55" i="2" s="1"/>
  <c r="AV72" i="2"/>
  <c r="AY72" i="2" s="1"/>
  <c r="AU74" i="2" s="1"/>
  <c r="BR53" i="2"/>
  <c r="BW53" i="2" s="1"/>
  <c r="BQ55" i="2" s="1"/>
  <c r="D79" i="2"/>
  <c r="G79" i="2" s="1"/>
  <c r="C81" i="2" s="1"/>
  <c r="C149" i="2" l="1"/>
  <c r="M26" i="4" s="1"/>
  <c r="AU136" i="2"/>
  <c r="M52" i="4" s="1"/>
  <c r="Y101" i="2"/>
  <c r="M39" i="4" s="1"/>
  <c r="BQ94" i="2" l="1"/>
  <c r="I186" i="2" l="1"/>
  <c r="J186" i="2" s="1"/>
  <c r="K186" i="2" s="1"/>
  <c r="L186" i="2" s="1"/>
  <c r="AE138" i="2"/>
  <c r="AF138" i="2" s="1"/>
  <c r="AG138" i="2" s="1"/>
  <c r="AH138" i="2" s="1"/>
  <c r="AE139" i="2" l="1"/>
  <c r="AF139" i="2" s="1"/>
  <c r="AG139" i="2" s="1"/>
  <c r="AH139" i="2" s="1"/>
  <c r="I187" i="2"/>
  <c r="J187" i="2" s="1"/>
  <c r="K187" i="2" s="1"/>
  <c r="L187" i="2" s="1"/>
  <c r="AE140" i="2" l="1"/>
  <c r="AF140" i="2" s="1"/>
  <c r="AG140" i="2" s="1"/>
  <c r="AH140" i="2" s="1"/>
  <c r="I188" i="2"/>
  <c r="J188" i="2" s="1"/>
  <c r="K188" i="2" s="1"/>
  <c r="L188" i="2" s="1"/>
  <c r="AE141" i="2" l="1"/>
  <c r="AF141" i="2" s="1"/>
  <c r="AG141" i="2" s="1"/>
  <c r="AH141" i="2" s="1"/>
  <c r="I189" i="2"/>
  <c r="J189" i="2" s="1"/>
  <c r="K189" i="2" s="1"/>
  <c r="L189" i="2" s="1"/>
  <c r="AE142" i="2" l="1"/>
  <c r="AF142" i="2" s="1"/>
  <c r="AG142" i="2" s="1"/>
  <c r="AH142" i="2" s="1"/>
  <c r="I190" i="2"/>
  <c r="J190" i="2" s="1"/>
  <c r="K190" i="2" s="1"/>
  <c r="L190" i="2" s="1"/>
  <c r="AE143" i="2" l="1"/>
  <c r="AF143" i="2" s="1"/>
  <c r="AG143" i="2" s="1"/>
  <c r="AH143" i="2" s="1"/>
  <c r="I191" i="2"/>
  <c r="J191" i="2" s="1"/>
  <c r="K191" i="2" s="1"/>
  <c r="L191" i="2" s="1"/>
  <c r="AE144" i="2" l="1"/>
  <c r="AF144" i="2" s="1"/>
  <c r="AG144" i="2" s="1"/>
  <c r="AH144" i="2" s="1"/>
  <c r="I192" i="2"/>
  <c r="J192" i="2" s="1"/>
  <c r="K192" i="2" s="1"/>
  <c r="L192" i="2" s="1"/>
  <c r="AE145" i="2" l="1"/>
  <c r="AF145" i="2" s="1"/>
  <c r="AG145" i="2" s="1"/>
  <c r="AH145" i="2" s="1"/>
  <c r="I193" i="2"/>
  <c r="J193" i="2" s="1"/>
  <c r="K193" i="2" s="1"/>
  <c r="L193" i="2" s="1"/>
  <c r="AE146" i="2" l="1"/>
  <c r="AF146" i="2" s="1"/>
  <c r="AG146" i="2" s="1"/>
  <c r="AH146" i="2" s="1"/>
  <c r="I194" i="2"/>
  <c r="J194" i="2" s="1"/>
  <c r="K194" i="2" s="1"/>
  <c r="L194" i="2" s="1"/>
  <c r="AE147" i="2" l="1"/>
  <c r="AF147" i="2" s="1"/>
  <c r="AG147" i="2" s="1"/>
  <c r="AH147" i="2" s="1"/>
  <c r="I195" i="2"/>
  <c r="J195" i="2" s="1"/>
  <c r="K195" i="2" s="1"/>
  <c r="L195" i="2" s="1"/>
  <c r="AE148" i="2" l="1"/>
  <c r="AF148" i="2" s="1"/>
  <c r="AG148" i="2" s="1"/>
  <c r="AH148" i="2" s="1"/>
  <c r="I196" i="2"/>
  <c r="J196" i="2" s="1"/>
  <c r="K196" i="2" s="1"/>
  <c r="L196" i="2" s="1"/>
  <c r="AE149" i="2" l="1"/>
  <c r="AF149" i="2" s="1"/>
  <c r="AG149" i="2" s="1"/>
  <c r="AH149" i="2" s="1"/>
  <c r="I197" i="2"/>
  <c r="J197" i="2" s="1"/>
  <c r="K197" i="2" s="1"/>
  <c r="L197" i="2" s="1"/>
  <c r="AE150" i="2" l="1"/>
  <c r="AF150" i="2" s="1"/>
  <c r="AG150" i="2" s="1"/>
  <c r="AH150" i="2" s="1"/>
  <c r="I198" i="2"/>
  <c r="J198" i="2" s="1"/>
  <c r="K198" i="2" s="1"/>
  <c r="L198" i="2" s="1"/>
  <c r="AE151" i="2" l="1"/>
  <c r="AF151" i="2" s="1"/>
  <c r="AG151" i="2" s="1"/>
  <c r="AH151" i="2" s="1"/>
  <c r="I199" i="2"/>
  <c r="J199" i="2" s="1"/>
  <c r="K199" i="2" s="1"/>
  <c r="L199" i="2" s="1"/>
  <c r="AE152" i="2" l="1"/>
  <c r="AF152" i="2" s="1"/>
  <c r="AG152" i="2" s="1"/>
  <c r="AH152" i="2" s="1"/>
  <c r="I200" i="2"/>
  <c r="J200" i="2" s="1"/>
  <c r="K200" i="2" s="1"/>
  <c r="L200" i="2" s="1"/>
  <c r="BA173" i="2" l="1"/>
  <c r="BB173" i="2" s="1"/>
  <c r="BC173" i="2" s="1"/>
  <c r="BD173" i="2" s="1"/>
  <c r="AE153" i="2"/>
  <c r="AF153" i="2" s="1"/>
  <c r="AG153" i="2" s="1"/>
  <c r="AH153" i="2" s="1"/>
  <c r="I201" i="2"/>
  <c r="J201" i="2" s="1"/>
  <c r="K201" i="2" s="1"/>
  <c r="L201" i="2" s="1"/>
  <c r="BA174" i="2" l="1"/>
  <c r="BB174" i="2" s="1"/>
  <c r="BC174" i="2" s="1"/>
  <c r="BD174" i="2" s="1"/>
  <c r="AE154" i="2"/>
  <c r="AF154" i="2" s="1"/>
  <c r="AG154" i="2" s="1"/>
  <c r="AH154" i="2" s="1"/>
  <c r="I202" i="2"/>
  <c r="J202" i="2" s="1"/>
  <c r="K202" i="2" s="1"/>
  <c r="L202" i="2" s="1"/>
  <c r="BA175" i="2" l="1"/>
  <c r="BB175" i="2" s="1"/>
  <c r="BC175" i="2" s="1"/>
  <c r="BD175" i="2" s="1"/>
  <c r="AE155" i="2"/>
  <c r="AF155" i="2" s="1"/>
  <c r="AG155" i="2" s="1"/>
  <c r="AH155" i="2" s="1"/>
  <c r="I203" i="2"/>
  <c r="J203" i="2" s="1"/>
  <c r="K203" i="2" s="1"/>
  <c r="L203" i="2" s="1"/>
  <c r="BA176" i="2" l="1"/>
  <c r="BB176" i="2" s="1"/>
  <c r="BC176" i="2" s="1"/>
  <c r="BD176" i="2" s="1"/>
  <c r="AE156" i="2"/>
  <c r="AF156" i="2" s="1"/>
  <c r="AG156" i="2" s="1"/>
  <c r="AH156" i="2" s="1"/>
  <c r="I204" i="2"/>
  <c r="J204" i="2" s="1"/>
  <c r="K204" i="2" s="1"/>
  <c r="L204" i="2" s="1"/>
  <c r="BA177" i="2" l="1"/>
  <c r="BB177" i="2" s="1"/>
  <c r="BC177" i="2" s="1"/>
  <c r="BD177" i="2" s="1"/>
  <c r="AH157" i="2"/>
  <c r="L205" i="2"/>
  <c r="BA178" i="2" l="1"/>
  <c r="BB178" i="2" s="1"/>
  <c r="BC178" i="2" s="1"/>
  <c r="BD178" i="2" s="1"/>
  <c r="BA179" i="2" l="1"/>
  <c r="BB179" i="2" s="1"/>
  <c r="BC179" i="2" s="1"/>
  <c r="BD179" i="2" s="1"/>
  <c r="BA180" i="2" l="1"/>
  <c r="BB180" i="2" s="1"/>
  <c r="BC180" i="2" s="1"/>
  <c r="BD180" i="2" s="1"/>
  <c r="BA181" i="2" l="1"/>
  <c r="BB181" i="2" s="1"/>
  <c r="BC181" i="2" s="1"/>
  <c r="BD181" i="2" s="1"/>
  <c r="BA182" i="2" l="1"/>
  <c r="BB182" i="2" s="1"/>
  <c r="BC182" i="2" s="1"/>
  <c r="BD182" i="2" s="1"/>
  <c r="BA183" i="2" l="1"/>
  <c r="BB183" i="2" s="1"/>
  <c r="BC183" i="2" s="1"/>
  <c r="BD183" i="2" s="1"/>
  <c r="BA184" i="2" l="1"/>
  <c r="BB184" i="2" s="1"/>
  <c r="BC184" i="2" s="1"/>
  <c r="BD184" i="2" s="1"/>
  <c r="BA185" i="2" l="1"/>
  <c r="BB185" i="2" s="1"/>
  <c r="BC185" i="2" s="1"/>
  <c r="BD185" i="2" s="1"/>
  <c r="BA186" i="2" l="1"/>
  <c r="BB186" i="2" s="1"/>
  <c r="BC186" i="2" s="1"/>
  <c r="BD186" i="2" s="1"/>
  <c r="BA187" i="2" l="1"/>
  <c r="BB187" i="2" s="1"/>
  <c r="BC187" i="2" s="1"/>
  <c r="BD187" i="2" s="1"/>
  <c r="BA188" i="2" l="1"/>
  <c r="BB188" i="2" s="1"/>
  <c r="BC188" i="2" s="1"/>
  <c r="BD188" i="2" s="1"/>
  <c r="BA189" i="2" l="1"/>
  <c r="BB189" i="2" s="1"/>
  <c r="BC189" i="2" s="1"/>
  <c r="BD189" i="2" s="1"/>
  <c r="BA190" i="2" l="1"/>
  <c r="BB190" i="2" s="1"/>
  <c r="BC190" i="2" s="1"/>
  <c r="BD190" i="2" s="1"/>
  <c r="BA191" i="2" l="1"/>
  <c r="BB191" i="2" s="1"/>
  <c r="BC191" i="2" s="1"/>
  <c r="BD191" i="2" s="1"/>
  <c r="BD192" i="2" l="1"/>
  <c r="BA192" i="2"/>
  <c r="BB192" i="2" s="1"/>
  <c r="BC192" i="2" s="1"/>
  <c r="I205" i="2"/>
  <c r="J205" i="2" s="1"/>
  <c r="K205" i="2" s="1"/>
  <c r="BZ132" i="2"/>
  <c r="BZ133" i="2"/>
  <c r="BZ134" i="2"/>
  <c r="BZ135" i="2"/>
  <c r="BZ136" i="2"/>
  <c r="BZ137" i="2"/>
  <c r="BZ138" i="2"/>
  <c r="BZ139" i="2"/>
  <c r="BZ140" i="2"/>
  <c r="BZ141" i="2"/>
  <c r="BZ142" i="2"/>
  <c r="BZ143" i="2"/>
  <c r="BZ144" i="2"/>
  <c r="BZ145" i="2"/>
  <c r="BZ146" i="2"/>
  <c r="BZ147" i="2"/>
  <c r="BZ148" i="2"/>
  <c r="BZ149" i="2"/>
  <c r="BZ131" i="2"/>
  <c r="BW150" i="2"/>
  <c r="BX150" i="2" s="1"/>
  <c r="BY150" i="2" s="1"/>
  <c r="BZ150" i="2"/>
  <c r="C112" i="6"/>
  <c r="C113" i="6" s="1"/>
  <c r="C114" i="6" l="1"/>
  <c r="C117" i="6" l="1"/>
  <c r="C118" i="6" s="1"/>
  <c r="C119" i="6" l="1"/>
  <c r="C164" i="6"/>
  <c r="C175" i="6" s="1"/>
  <c r="C177" i="6" s="1"/>
  <c r="C179" i="6" s="1"/>
  <c r="C180" i="6" s="1"/>
  <c r="M176" i="6" s="1"/>
  <c r="H81" i="4" l="1"/>
  <c r="C181" i="6"/>
  <c r="C183" i="6" s="1"/>
  <c r="AY26" i="2"/>
  <c r="G31" i="2"/>
  <c r="C206" i="6" l="1"/>
  <c r="C211" i="6" s="1"/>
  <c r="C184" i="6"/>
  <c r="H82" i="4" s="1"/>
  <c r="H83" i="4"/>
  <c r="AZ26" i="2"/>
  <c r="BI26" i="2" s="1"/>
  <c r="BJ26" i="2" s="1"/>
  <c r="BL26" i="2" s="1"/>
  <c r="C197" i="6"/>
  <c r="C185" i="6"/>
  <c r="H31" i="2"/>
  <c r="Q31" i="2" s="1"/>
  <c r="R31" i="2" s="1"/>
  <c r="T31" i="2" s="1"/>
  <c r="C217" i="2" l="1"/>
  <c r="BQ162" i="2" s="1"/>
  <c r="AU201" i="2"/>
  <c r="AV125" i="2"/>
  <c r="AU47" i="2"/>
  <c r="AU133" i="2" s="1"/>
  <c r="D98" i="2"/>
  <c r="E98" i="2" s="1"/>
  <c r="J31" i="2"/>
  <c r="D130" i="2" s="1"/>
  <c r="H130" i="2" s="1"/>
  <c r="C202" i="6"/>
  <c r="C203" i="6" s="1"/>
  <c r="C204" i="6" s="1"/>
  <c r="C186" i="6"/>
  <c r="C189" i="6" s="1"/>
  <c r="C54" i="4" s="1"/>
  <c r="C199" i="6"/>
  <c r="C201" i="6" s="1"/>
  <c r="BB26" i="2"/>
  <c r="AV117" i="2" s="1"/>
  <c r="AZ117" i="2" s="1"/>
  <c r="AV86" i="2"/>
  <c r="AW86" i="2" s="1"/>
  <c r="C209" i="6" l="1"/>
  <c r="C212" i="6" s="1"/>
  <c r="C213" i="6" s="1"/>
  <c r="C190" i="6"/>
  <c r="D134" i="2"/>
  <c r="D133" i="2"/>
  <c r="D135" i="2"/>
  <c r="M50" i="4"/>
  <c r="AU142" i="2"/>
  <c r="AV122" i="2"/>
  <c r="AV120" i="2"/>
  <c r="AV121" i="2"/>
  <c r="AU127" i="2" l="1"/>
  <c r="AU135" i="2" s="1"/>
  <c r="M51" i="4" s="1"/>
  <c r="AV142" i="2"/>
  <c r="AV172" i="2" s="1"/>
  <c r="AW151" i="2"/>
  <c r="AW147" i="2"/>
  <c r="AW146" i="2"/>
  <c r="AW148" i="2"/>
  <c r="AW143" i="2"/>
  <c r="AW152" i="2"/>
  <c r="AW145" i="2"/>
  <c r="AW150" i="2"/>
  <c r="AW149" i="2"/>
  <c r="AW144" i="2"/>
  <c r="AW153" i="2"/>
  <c r="AU134" i="2" l="1"/>
  <c r="BB142" i="2"/>
  <c r="BC142" i="2" s="1"/>
  <c r="BD142" i="2" s="1"/>
  <c r="AX145" i="2" l="1"/>
  <c r="AX163" i="2"/>
  <c r="AX165" i="2"/>
  <c r="AX164" i="2"/>
  <c r="AX153" i="2"/>
  <c r="AX170" i="2"/>
  <c r="AX167" i="2"/>
  <c r="AX171" i="2"/>
  <c r="AX159" i="2"/>
  <c r="AX150" i="2"/>
  <c r="AX155" i="2"/>
  <c r="AX143" i="2"/>
  <c r="BA143" i="2" s="1"/>
  <c r="BB143" i="2" s="1"/>
  <c r="BC143" i="2" s="1"/>
  <c r="BD143" i="2" s="1"/>
  <c r="AX148" i="2"/>
  <c r="AX166" i="2"/>
  <c r="AX172" i="2"/>
  <c r="AX168" i="2"/>
  <c r="AX169" i="2"/>
  <c r="AX147" i="2"/>
  <c r="AX146" i="2"/>
  <c r="M53" i="4"/>
  <c r="AX160" i="2"/>
  <c r="AX144" i="2"/>
  <c r="AX149" i="2"/>
  <c r="AX154" i="2"/>
  <c r="AX157" i="2"/>
  <c r="AX152" i="2"/>
  <c r="AX151" i="2"/>
  <c r="AX162" i="2"/>
  <c r="AX161" i="2"/>
  <c r="AX158" i="2"/>
  <c r="AX156" i="2"/>
  <c r="AY144" i="2" l="1"/>
  <c r="AZ144" i="2" s="1"/>
  <c r="BA144" i="2" s="1"/>
  <c r="BB144" i="2" s="1"/>
  <c r="BC144" i="2" s="1"/>
  <c r="BD144" i="2" s="1"/>
  <c r="AY145" i="2" l="1"/>
  <c r="AZ145" i="2" s="1"/>
  <c r="BA145" i="2" s="1"/>
  <c r="BB145" i="2" s="1"/>
  <c r="BC145" i="2" s="1"/>
  <c r="BD145" i="2" s="1"/>
  <c r="AY146" i="2" l="1"/>
  <c r="AZ146" i="2" l="1"/>
  <c r="BA146" i="2" s="1"/>
  <c r="BB146" i="2" s="1"/>
  <c r="BC146" i="2" s="1"/>
  <c r="BD146" i="2" s="1"/>
  <c r="AY147" i="2" l="1"/>
  <c r="AZ147" i="2" l="1"/>
  <c r="BA147" i="2" s="1"/>
  <c r="BB147" i="2" s="1"/>
  <c r="BC147" i="2" s="1"/>
  <c r="BD147" i="2" s="1"/>
  <c r="AY148" i="2" l="1"/>
  <c r="AZ148" i="2" l="1"/>
  <c r="BA148" i="2" s="1"/>
  <c r="BB148" i="2" s="1"/>
  <c r="BC148" i="2" s="1"/>
  <c r="BD148" i="2" s="1"/>
  <c r="AY149" i="2" l="1"/>
  <c r="AZ149" i="2" l="1"/>
  <c r="BA149" i="2" s="1"/>
  <c r="BB149" i="2" s="1"/>
  <c r="BC149" i="2" s="1"/>
  <c r="BD149" i="2" s="1"/>
  <c r="AY150" i="2" l="1"/>
  <c r="AZ150" i="2" l="1"/>
  <c r="BA150" i="2" s="1"/>
  <c r="BB150" i="2" s="1"/>
  <c r="BC150" i="2" s="1"/>
  <c r="BD150" i="2" s="1"/>
  <c r="AY151" i="2" l="1"/>
  <c r="AZ151" i="2" l="1"/>
  <c r="BA151" i="2" s="1"/>
  <c r="BB151" i="2" s="1"/>
  <c r="BC151" i="2" s="1"/>
  <c r="BD151" i="2" s="1"/>
  <c r="AY152" i="2" l="1"/>
  <c r="AZ152" i="2" l="1"/>
  <c r="BA152" i="2" s="1"/>
  <c r="BB152" i="2" s="1"/>
  <c r="BC152" i="2" s="1"/>
  <c r="BD152" i="2" s="1"/>
  <c r="AY153" i="2" l="1"/>
  <c r="AZ153" i="2" l="1"/>
  <c r="BA153" i="2" s="1"/>
  <c r="BB153" i="2" s="1"/>
  <c r="BC153" i="2" s="1"/>
  <c r="BD153" i="2" s="1"/>
  <c r="AY154" i="2" l="1"/>
  <c r="AZ154" i="2" l="1"/>
  <c r="BA154" i="2" s="1"/>
  <c r="BB154" i="2" s="1"/>
  <c r="BC154" i="2" s="1"/>
  <c r="BD154" i="2" s="1"/>
  <c r="AY155" i="2" l="1"/>
  <c r="AZ155" i="2" l="1"/>
  <c r="BA155" i="2" s="1"/>
  <c r="BB155" i="2" s="1"/>
  <c r="BC155" i="2" s="1"/>
  <c r="BD155" i="2" s="1"/>
  <c r="AY156" i="2" l="1"/>
  <c r="AZ156" i="2" l="1"/>
  <c r="BA156" i="2" s="1"/>
  <c r="BB156" i="2" s="1"/>
  <c r="BC156" i="2" s="1"/>
  <c r="BD156" i="2" s="1"/>
  <c r="AY157" i="2" l="1"/>
  <c r="AZ157" i="2" l="1"/>
  <c r="BA157" i="2" s="1"/>
  <c r="BB157" i="2" s="1"/>
  <c r="BC157" i="2" s="1"/>
  <c r="BD157" i="2" s="1"/>
  <c r="AY158" i="2" l="1"/>
  <c r="AZ158" i="2" l="1"/>
  <c r="BA158" i="2" s="1"/>
  <c r="BB158" i="2" s="1"/>
  <c r="BC158" i="2" s="1"/>
  <c r="BD158" i="2" s="1"/>
  <c r="AY159" i="2" l="1"/>
  <c r="AZ159" i="2" l="1"/>
  <c r="BA159" i="2" s="1"/>
  <c r="BB159" i="2" s="1"/>
  <c r="BC159" i="2" s="1"/>
  <c r="BD159" i="2" s="1"/>
  <c r="AY160" i="2" l="1"/>
  <c r="AZ160" i="2" l="1"/>
  <c r="BA160" i="2" s="1"/>
  <c r="BB160" i="2" s="1"/>
  <c r="BC160" i="2" s="1"/>
  <c r="BD160" i="2" s="1"/>
  <c r="AY161" i="2" l="1"/>
  <c r="AZ161" i="2" l="1"/>
  <c r="BA161" i="2" s="1"/>
  <c r="BB161" i="2" s="1"/>
  <c r="BC161" i="2" s="1"/>
  <c r="BD161" i="2" s="1"/>
  <c r="AY162" i="2" l="1"/>
  <c r="AZ162" i="2" l="1"/>
  <c r="BA162" i="2" s="1"/>
  <c r="BB162" i="2" s="1"/>
  <c r="BC162" i="2" s="1"/>
  <c r="BD162" i="2" s="1"/>
  <c r="AY163" i="2" l="1"/>
  <c r="AZ163" i="2" s="1"/>
  <c r="AY164" i="2" l="1"/>
  <c r="AZ164" i="2" s="1"/>
  <c r="BA164" i="2" s="1"/>
  <c r="BB164" i="2" s="1"/>
  <c r="BC164" i="2" s="1"/>
  <c r="BA163" i="2"/>
  <c r="BB163" i="2" s="1"/>
  <c r="BC163" i="2" s="1"/>
  <c r="BD163" i="2" s="1"/>
  <c r="BD164" i="2" l="1"/>
  <c r="AY165" i="2"/>
  <c r="AZ165" i="2" l="1"/>
  <c r="BA165" i="2" s="1"/>
  <c r="BB165" i="2" s="1"/>
  <c r="BC165" i="2" s="1"/>
  <c r="BD165" i="2" s="1"/>
  <c r="AY166" i="2" l="1"/>
  <c r="AZ166" i="2" l="1"/>
  <c r="BA166" i="2" s="1"/>
  <c r="BB166" i="2" s="1"/>
  <c r="BC166" i="2" s="1"/>
  <c r="BD166" i="2" s="1"/>
  <c r="AY167" i="2" l="1"/>
  <c r="AZ167" i="2" l="1"/>
  <c r="BA167" i="2" s="1"/>
  <c r="BB167" i="2" s="1"/>
  <c r="BC167" i="2" s="1"/>
  <c r="BD167" i="2" s="1"/>
  <c r="AY168" i="2" l="1"/>
  <c r="AZ168" i="2" l="1"/>
  <c r="BA168" i="2" s="1"/>
  <c r="BB168" i="2" s="1"/>
  <c r="BC168" i="2" s="1"/>
  <c r="BD168" i="2" s="1"/>
  <c r="AY169" i="2" l="1"/>
  <c r="AZ169" i="2" l="1"/>
  <c r="BA169" i="2" s="1"/>
  <c r="BB169" i="2" s="1"/>
  <c r="BC169" i="2" s="1"/>
  <c r="BD169" i="2" s="1"/>
  <c r="AY170" i="2" l="1"/>
  <c r="AZ170" i="2" l="1"/>
  <c r="BA170" i="2" s="1"/>
  <c r="BB170" i="2" s="1"/>
  <c r="BC170" i="2" s="1"/>
  <c r="BD170" i="2" s="1"/>
  <c r="AY171" i="2" l="1"/>
  <c r="AZ171" i="2" l="1"/>
  <c r="BA171" i="2" s="1"/>
  <c r="BB171" i="2" s="1"/>
  <c r="BC171" i="2" s="1"/>
  <c r="BD171" i="2" s="1"/>
  <c r="AY172" i="2" l="1"/>
  <c r="AZ172" i="2" l="1"/>
  <c r="BA172" i="2" s="1"/>
  <c r="BB172" i="2" s="1"/>
  <c r="BC172" i="2" s="1"/>
  <c r="BD172" i="2" s="1"/>
  <c r="AU194" i="2" s="1"/>
  <c r="M55" i="4" s="1"/>
  <c r="AY173" i="2" l="1"/>
  <c r="AZ173" i="2" s="1"/>
  <c r="AY174" i="2" s="1"/>
  <c r="AZ174" i="2" s="1"/>
  <c r="AY175" i="2" s="1"/>
  <c r="AZ175" i="2" s="1"/>
  <c r="AY176" i="2" s="1"/>
  <c r="AZ176" i="2" s="1"/>
  <c r="AY177" i="2" s="1"/>
  <c r="AZ177" i="2" s="1"/>
  <c r="AY178" i="2" s="1"/>
  <c r="AZ178" i="2" s="1"/>
  <c r="AY179" i="2" s="1"/>
  <c r="AZ179" i="2" s="1"/>
  <c r="AY180" i="2" s="1"/>
  <c r="AZ180" i="2" s="1"/>
  <c r="AY181" i="2" s="1"/>
  <c r="AZ181" i="2" s="1"/>
  <c r="AY182" i="2" s="1"/>
  <c r="AZ182" i="2" s="1"/>
  <c r="AY183" i="2" s="1"/>
  <c r="AZ183" i="2" s="1"/>
  <c r="AY184" i="2" s="1"/>
  <c r="AZ184" i="2" s="1"/>
  <c r="AY185" i="2" s="1"/>
  <c r="AZ185" i="2" s="1"/>
  <c r="AY186" i="2" s="1"/>
  <c r="AZ186" i="2" s="1"/>
  <c r="AY187" i="2" s="1"/>
  <c r="AZ187" i="2" s="1"/>
  <c r="AY188" i="2" s="1"/>
  <c r="AZ188" i="2" s="1"/>
  <c r="AY189" i="2" s="1"/>
  <c r="AZ189" i="2" s="1"/>
  <c r="AY190" i="2" s="1"/>
  <c r="AZ190" i="2" s="1"/>
  <c r="AY191" i="2" s="1"/>
  <c r="AZ191" i="2" s="1"/>
  <c r="AY192" i="2" s="1"/>
  <c r="AZ192" i="2" s="1"/>
  <c r="AE157" i="2" l="1"/>
  <c r="AF157" i="2" s="1"/>
  <c r="AG157" i="2" s="1"/>
  <c r="P37" i="7"/>
  <c r="AF68" i="2" s="1"/>
  <c r="I34" i="9"/>
  <c r="E34" i="9" s="1"/>
  <c r="O37" i="7"/>
  <c r="AA27" i="2" s="1"/>
  <c r="AM27" i="2" s="1"/>
  <c r="AN27" i="2" l="1"/>
  <c r="AP27" i="2" s="1"/>
  <c r="G34" i="9"/>
  <c r="F34" i="9" s="1"/>
  <c r="F49" i="12"/>
  <c r="H49" i="12" s="1"/>
  <c r="AG67" i="2"/>
  <c r="K93" i="2"/>
  <c r="T26" i="2"/>
  <c r="AP26" i="2"/>
  <c r="AG68" i="2"/>
  <c r="F50" i="12"/>
  <c r="H50" i="12" s="1"/>
  <c r="J50" i="12" s="1"/>
  <c r="T27" i="2"/>
  <c r="N93" i="2"/>
  <c r="C122" i="2" s="1"/>
  <c r="K94" i="2"/>
  <c r="AJ67" i="2"/>
  <c r="Y74" i="2" s="1"/>
  <c r="D138" i="2" l="1"/>
  <c r="C140" i="2" s="1"/>
  <c r="Y31" i="2"/>
  <c r="Y98" i="2" s="1"/>
  <c r="M37" i="4" s="1"/>
  <c r="D215" i="2"/>
  <c r="BR160" i="2" s="1"/>
  <c r="C215" i="2"/>
  <c r="BQ160" i="2" s="1"/>
  <c r="C121" i="2"/>
  <c r="Z167" i="2"/>
  <c r="J49" i="12"/>
  <c r="E52" i="12" s="1"/>
  <c r="E61" i="12" s="1"/>
  <c r="C52" i="12"/>
  <c r="Z90" i="2"/>
  <c r="Y92" i="2" s="1"/>
  <c r="C53" i="2"/>
  <c r="Y73" i="2"/>
  <c r="Y167" i="2"/>
  <c r="Y107" i="2" l="1"/>
  <c r="AA114" i="2" s="1"/>
  <c r="C147" i="2"/>
  <c r="F172" i="2" s="1"/>
  <c r="C148" i="2"/>
  <c r="BQ93" i="2" s="1"/>
  <c r="C146" i="2"/>
  <c r="M24" i="4"/>
  <c r="C61" i="12"/>
  <c r="C58" i="12"/>
  <c r="C59" i="12" s="1"/>
  <c r="Y99" i="2"/>
  <c r="Y100" i="2"/>
  <c r="M38" i="4" s="1"/>
  <c r="E58" i="12"/>
  <c r="AA110" i="2" l="1"/>
  <c r="Z107" i="2"/>
  <c r="Z137" i="2" s="1"/>
  <c r="AB137" i="2" s="1"/>
  <c r="AA115" i="2"/>
  <c r="AA118" i="2"/>
  <c r="AB118" i="2" s="1"/>
  <c r="AA112" i="2"/>
  <c r="AB112" i="2" s="1"/>
  <c r="AA109" i="2"/>
  <c r="AB109" i="2" s="1"/>
  <c r="AA113" i="2"/>
  <c r="AB113" i="2" s="1"/>
  <c r="AA117" i="2"/>
  <c r="AB117" i="2" s="1"/>
  <c r="AA108" i="2"/>
  <c r="AB108" i="2" s="1"/>
  <c r="AA116" i="2"/>
  <c r="AB116" i="2" s="1"/>
  <c r="AA111" i="2"/>
  <c r="AB111" i="2" s="1"/>
  <c r="M25" i="4"/>
  <c r="F181" i="2"/>
  <c r="BQ92" i="2"/>
  <c r="BT116" i="2" s="1"/>
  <c r="F169" i="2"/>
  <c r="F177" i="2"/>
  <c r="F173" i="2"/>
  <c r="F179" i="2"/>
  <c r="M27" i="4"/>
  <c r="F174" i="2"/>
  <c r="F175" i="2"/>
  <c r="F167" i="2"/>
  <c r="F183" i="2"/>
  <c r="F180" i="2"/>
  <c r="F182" i="2"/>
  <c r="F170" i="2"/>
  <c r="F168" i="2"/>
  <c r="F178" i="2"/>
  <c r="F171" i="2"/>
  <c r="F176" i="2"/>
  <c r="F184" i="2"/>
  <c r="M66" i="4"/>
  <c r="E62" i="12"/>
  <c r="C62" i="12"/>
  <c r="AB126" i="2"/>
  <c r="AB135" i="2"/>
  <c r="AB128" i="2"/>
  <c r="AB133" i="2"/>
  <c r="AB124" i="2"/>
  <c r="AB121" i="2"/>
  <c r="AB130" i="2"/>
  <c r="AB129" i="2"/>
  <c r="AB136" i="2"/>
  <c r="AB134" i="2"/>
  <c r="AB114" i="2"/>
  <c r="AB110" i="2"/>
  <c r="M40" i="4"/>
  <c r="AB125" i="2"/>
  <c r="AB132" i="2"/>
  <c r="AB127" i="2"/>
  <c r="AB122" i="2"/>
  <c r="AB123" i="2"/>
  <c r="AB131" i="2"/>
  <c r="AB119" i="2"/>
  <c r="AB115" i="2"/>
  <c r="AB120" i="2"/>
  <c r="E59" i="12"/>
  <c r="M65" i="4"/>
  <c r="C155" i="2"/>
  <c r="BQ91" i="2"/>
  <c r="BQ100" i="2" s="1"/>
  <c r="AF107" i="2" l="1"/>
  <c r="AG107" i="2" s="1"/>
  <c r="AH107" i="2" s="1"/>
  <c r="BT123" i="2"/>
  <c r="BT112" i="2"/>
  <c r="BT114" i="2"/>
  <c r="BT113" i="2"/>
  <c r="BT115" i="2"/>
  <c r="BT121" i="2"/>
  <c r="BT127" i="2"/>
  <c r="BT118" i="2"/>
  <c r="BT120" i="2"/>
  <c r="BT117" i="2"/>
  <c r="BT119" i="2"/>
  <c r="BT122" i="2"/>
  <c r="BT124" i="2"/>
  <c r="BT125" i="2"/>
  <c r="BT129" i="2"/>
  <c r="BT126" i="2"/>
  <c r="BT128" i="2"/>
  <c r="E156" i="2"/>
  <c r="F156" i="2" s="1"/>
  <c r="E158" i="2"/>
  <c r="F158" i="2" s="1"/>
  <c r="E160" i="2"/>
  <c r="F160" i="2" s="1"/>
  <c r="D155" i="2"/>
  <c r="D185" i="2" s="1"/>
  <c r="F185" i="2" s="1"/>
  <c r="E164" i="2"/>
  <c r="F164" i="2" s="1"/>
  <c r="E161" i="2"/>
  <c r="F161" i="2" s="1"/>
  <c r="E166" i="2"/>
  <c r="F166" i="2" s="1"/>
  <c r="E157" i="2"/>
  <c r="F157" i="2" s="1"/>
  <c r="E165" i="2"/>
  <c r="F165" i="2" s="1"/>
  <c r="E162" i="2"/>
  <c r="F162" i="2" s="1"/>
  <c r="E163" i="2"/>
  <c r="F163" i="2" s="1"/>
  <c r="E159" i="2"/>
  <c r="F159" i="2" s="1"/>
  <c r="BS111" i="2"/>
  <c r="BT111" i="2" s="1"/>
  <c r="BS105" i="2"/>
  <c r="BT105" i="2" s="1"/>
  <c r="BS103" i="2"/>
  <c r="BT103" i="2" s="1"/>
  <c r="BS108" i="2"/>
  <c r="BT108" i="2" s="1"/>
  <c r="BS110" i="2"/>
  <c r="BT110" i="2" s="1"/>
  <c r="BS104" i="2"/>
  <c r="BT104" i="2" s="1"/>
  <c r="BS106" i="2"/>
  <c r="BT106" i="2" s="1"/>
  <c r="BR100" i="2"/>
  <c r="BR130" i="2" s="1"/>
  <c r="BT130" i="2" s="1"/>
  <c r="BS101" i="2"/>
  <c r="BT101" i="2" s="1"/>
  <c r="BS109" i="2"/>
  <c r="BT109" i="2" s="1"/>
  <c r="BS107" i="2"/>
  <c r="BT107" i="2" s="1"/>
  <c r="BS102" i="2"/>
  <c r="BT102" i="2" s="1"/>
  <c r="AE108" i="2"/>
  <c r="AF108" i="2" s="1"/>
  <c r="AG108" i="2" s="1"/>
  <c r="AH108" i="2" s="1"/>
  <c r="AC109" i="2"/>
  <c r="AD109" i="2" l="1"/>
  <c r="AE109" i="2" s="1"/>
  <c r="AF109" i="2" s="1"/>
  <c r="AG109" i="2" s="1"/>
  <c r="AH109" i="2" s="1"/>
  <c r="J155" i="2"/>
  <c r="K155" i="2" s="1"/>
  <c r="L155" i="2" s="1"/>
  <c r="BX100" i="2"/>
  <c r="BY100" i="2" s="1"/>
  <c r="BZ100" i="2" s="1"/>
  <c r="BW101" i="2"/>
  <c r="BX101" i="2" s="1"/>
  <c r="BY101" i="2" s="1"/>
  <c r="BU102" i="2"/>
  <c r="BV102" i="2"/>
  <c r="BW102" i="2" s="1"/>
  <c r="BX102" i="2" s="1"/>
  <c r="BY102" i="2" s="1"/>
  <c r="I156" i="2"/>
  <c r="J156" i="2" s="1"/>
  <c r="K156" i="2" s="1"/>
  <c r="G157" i="2"/>
  <c r="H157" i="2" s="1"/>
  <c r="I157" i="2" s="1"/>
  <c r="J157" i="2" s="1"/>
  <c r="K157" i="2" s="1"/>
  <c r="AC110" i="2" l="1"/>
  <c r="L156" i="2"/>
  <c r="L157" i="2" s="1"/>
  <c r="BU103" i="2"/>
  <c r="BV103" i="2" s="1"/>
  <c r="BW103" i="2" s="1"/>
  <c r="BX103" i="2" s="1"/>
  <c r="BY103" i="2" s="1"/>
  <c r="G158" i="2"/>
  <c r="BZ101" i="2"/>
  <c r="BZ102" i="2" s="1"/>
  <c r="AD110" i="2" l="1"/>
  <c r="AE110" i="2" s="1"/>
  <c r="AF110" i="2" s="1"/>
  <c r="AG110" i="2" s="1"/>
  <c r="AH110" i="2" s="1"/>
  <c r="BZ103" i="2"/>
  <c r="BU104" i="2"/>
  <c r="BV104" i="2" s="1"/>
  <c r="BW104" i="2" s="1"/>
  <c r="BX104" i="2" s="1"/>
  <c r="BY104" i="2" s="1"/>
  <c r="H158" i="2"/>
  <c r="I158" i="2" s="1"/>
  <c r="J158" i="2" s="1"/>
  <c r="K158" i="2" s="1"/>
  <c r="L158" i="2" s="1"/>
  <c r="AC111" i="2" l="1"/>
  <c r="BZ104" i="2"/>
  <c r="G159" i="2"/>
  <c r="BU105" i="2"/>
  <c r="AD111" i="2" l="1"/>
  <c r="AE111" i="2" s="1"/>
  <c r="AF111" i="2" s="1"/>
  <c r="AG111" i="2" s="1"/>
  <c r="AH111" i="2" s="1"/>
  <c r="BV105" i="2"/>
  <c r="BW105" i="2" s="1"/>
  <c r="BX105" i="2" s="1"/>
  <c r="BY105" i="2" s="1"/>
  <c r="BZ105" i="2" s="1"/>
  <c r="H159" i="2"/>
  <c r="I159" i="2" s="1"/>
  <c r="J159" i="2" s="1"/>
  <c r="K159" i="2" s="1"/>
  <c r="L159" i="2" s="1"/>
  <c r="AC112" i="2" l="1"/>
  <c r="G160" i="2"/>
  <c r="BU106" i="2"/>
  <c r="AD112" i="2" l="1"/>
  <c r="AE112" i="2" s="1"/>
  <c r="AF112" i="2" s="1"/>
  <c r="AG112" i="2" s="1"/>
  <c r="AH112" i="2" s="1"/>
  <c r="BV106" i="2"/>
  <c r="BW106" i="2" s="1"/>
  <c r="BX106" i="2" s="1"/>
  <c r="BY106" i="2" s="1"/>
  <c r="BZ106" i="2" s="1"/>
  <c r="H160" i="2"/>
  <c r="I160" i="2" s="1"/>
  <c r="J160" i="2" s="1"/>
  <c r="K160" i="2" s="1"/>
  <c r="L160" i="2" s="1"/>
  <c r="AC113" i="2" l="1"/>
  <c r="AD113" i="2" s="1"/>
  <c r="AE113" i="2" s="1"/>
  <c r="AF113" i="2" s="1"/>
  <c r="AG113" i="2" s="1"/>
  <c r="AH113" i="2" s="1"/>
  <c r="G161" i="2"/>
  <c r="BU107" i="2"/>
  <c r="AC114" i="2" l="1"/>
  <c r="AD114" i="2" s="1"/>
  <c r="AE114" i="2" s="1"/>
  <c r="AF114" i="2" s="1"/>
  <c r="AG114" i="2" s="1"/>
  <c r="AH114" i="2" s="1"/>
  <c r="BV107" i="2"/>
  <c r="BW107" i="2" s="1"/>
  <c r="BX107" i="2" s="1"/>
  <c r="BY107" i="2" s="1"/>
  <c r="BZ107" i="2" s="1"/>
  <c r="H161" i="2"/>
  <c r="I161" i="2" s="1"/>
  <c r="J161" i="2" s="1"/>
  <c r="K161" i="2" s="1"/>
  <c r="L161" i="2" s="1"/>
  <c r="AC115" i="2" l="1"/>
  <c r="AD115" i="2" s="1"/>
  <c r="AE115" i="2" s="1"/>
  <c r="AF115" i="2" s="1"/>
  <c r="AG115" i="2" s="1"/>
  <c r="AH115" i="2" s="1"/>
  <c r="G162" i="2"/>
  <c r="BU108" i="2"/>
  <c r="AC116" i="2" l="1"/>
  <c r="AD116" i="2" s="1"/>
  <c r="AE116" i="2" s="1"/>
  <c r="AF116" i="2" s="1"/>
  <c r="AG116" i="2" s="1"/>
  <c r="AH116" i="2" s="1"/>
  <c r="BV108" i="2"/>
  <c r="BW108" i="2" s="1"/>
  <c r="BX108" i="2" s="1"/>
  <c r="BY108" i="2" s="1"/>
  <c r="BZ108" i="2" s="1"/>
  <c r="H162" i="2"/>
  <c r="I162" i="2" s="1"/>
  <c r="J162" i="2" s="1"/>
  <c r="K162" i="2" s="1"/>
  <c r="L162" i="2" s="1"/>
  <c r="AC117" i="2" l="1"/>
  <c r="AD117" i="2" s="1"/>
  <c r="AE117" i="2" s="1"/>
  <c r="AF117" i="2" s="1"/>
  <c r="AG117" i="2" s="1"/>
  <c r="AH117" i="2" s="1"/>
  <c r="G163" i="2"/>
  <c r="BU109" i="2"/>
  <c r="AC118" i="2" l="1"/>
  <c r="BV109" i="2"/>
  <c r="BW109" i="2" s="1"/>
  <c r="BX109" i="2" s="1"/>
  <c r="BY109" i="2" s="1"/>
  <c r="BZ109" i="2" s="1"/>
  <c r="H163" i="2"/>
  <c r="I163" i="2" s="1"/>
  <c r="J163" i="2" s="1"/>
  <c r="K163" i="2" s="1"/>
  <c r="L163" i="2" s="1"/>
  <c r="AD118" i="2" l="1"/>
  <c r="AE118" i="2" s="1"/>
  <c r="AF118" i="2" s="1"/>
  <c r="AG118" i="2" s="1"/>
  <c r="AH118" i="2" s="1"/>
  <c r="G164" i="2"/>
  <c r="BU110" i="2"/>
  <c r="AC119" i="2" l="1"/>
  <c r="BV110" i="2"/>
  <c r="BW110" i="2" s="1"/>
  <c r="BX110" i="2" s="1"/>
  <c r="BY110" i="2" s="1"/>
  <c r="BZ110" i="2" s="1"/>
  <c r="H164" i="2"/>
  <c r="I164" i="2" s="1"/>
  <c r="J164" i="2" s="1"/>
  <c r="K164" i="2" s="1"/>
  <c r="L164" i="2" s="1"/>
  <c r="AD119" i="2" l="1"/>
  <c r="AE119" i="2" s="1"/>
  <c r="AF119" i="2" s="1"/>
  <c r="AG119" i="2" s="1"/>
  <c r="AH119" i="2" s="1"/>
  <c r="G165" i="2"/>
  <c r="BU111" i="2"/>
  <c r="AC120" i="2" l="1"/>
  <c r="BV111" i="2"/>
  <c r="BW111" i="2" s="1"/>
  <c r="BX111" i="2" s="1"/>
  <c r="BY111" i="2" s="1"/>
  <c r="BZ111" i="2" s="1"/>
  <c r="H165" i="2"/>
  <c r="I165" i="2" s="1"/>
  <c r="J165" i="2" s="1"/>
  <c r="K165" i="2" s="1"/>
  <c r="L165" i="2" s="1"/>
  <c r="AD120" i="2" l="1"/>
  <c r="AE120" i="2" s="1"/>
  <c r="AF120" i="2" s="1"/>
  <c r="AG120" i="2" s="1"/>
  <c r="AH120" i="2" s="1"/>
  <c r="G166" i="2"/>
  <c r="BU112" i="2"/>
  <c r="AC121" i="2" l="1"/>
  <c r="BV112" i="2"/>
  <c r="BW112" i="2" s="1"/>
  <c r="BX112" i="2" s="1"/>
  <c r="BY112" i="2" s="1"/>
  <c r="BZ112" i="2" s="1"/>
  <c r="H166" i="2"/>
  <c r="I166" i="2" s="1"/>
  <c r="J166" i="2" s="1"/>
  <c r="K166" i="2" s="1"/>
  <c r="L166" i="2" s="1"/>
  <c r="AD121" i="2" l="1"/>
  <c r="AE121" i="2" s="1"/>
  <c r="AF121" i="2" s="1"/>
  <c r="AG121" i="2" s="1"/>
  <c r="AH121" i="2" s="1"/>
  <c r="G167" i="2"/>
  <c r="BU113" i="2"/>
  <c r="AC122" i="2" l="1"/>
  <c r="BV113" i="2"/>
  <c r="BW113" i="2" s="1"/>
  <c r="BX113" i="2" s="1"/>
  <c r="BY113" i="2" s="1"/>
  <c r="BZ113" i="2" s="1"/>
  <c r="H167" i="2"/>
  <c r="I167" i="2" s="1"/>
  <c r="J167" i="2" s="1"/>
  <c r="K167" i="2" s="1"/>
  <c r="L167" i="2" s="1"/>
  <c r="AD122" i="2" l="1"/>
  <c r="AE122" i="2" s="1"/>
  <c r="AF122" i="2" s="1"/>
  <c r="AG122" i="2" s="1"/>
  <c r="AH122" i="2" s="1"/>
  <c r="G168" i="2"/>
  <c r="BU114" i="2"/>
  <c r="AC123" i="2" l="1"/>
  <c r="H168" i="2"/>
  <c r="I168" i="2" s="1"/>
  <c r="J168" i="2" s="1"/>
  <c r="K168" i="2" s="1"/>
  <c r="L168" i="2" s="1"/>
  <c r="BV114" i="2"/>
  <c r="BW114" i="2" s="1"/>
  <c r="BX114" i="2" s="1"/>
  <c r="BY114" i="2" s="1"/>
  <c r="BZ114" i="2" s="1"/>
  <c r="AD123" i="2" l="1"/>
  <c r="AE123" i="2" s="1"/>
  <c r="AF123" i="2" s="1"/>
  <c r="AG123" i="2" s="1"/>
  <c r="AH123" i="2" s="1"/>
  <c r="BU115" i="2"/>
  <c r="G169" i="2"/>
  <c r="AC124" i="2" l="1"/>
  <c r="H169" i="2"/>
  <c r="I169" i="2" s="1"/>
  <c r="J169" i="2" s="1"/>
  <c r="K169" i="2" s="1"/>
  <c r="L169" i="2" s="1"/>
  <c r="BV115" i="2"/>
  <c r="BW115" i="2" s="1"/>
  <c r="BX115" i="2" s="1"/>
  <c r="BY115" i="2" s="1"/>
  <c r="BZ115" i="2" s="1"/>
  <c r="AD124" i="2" l="1"/>
  <c r="AE124" i="2" s="1"/>
  <c r="AF124" i="2" s="1"/>
  <c r="AG124" i="2" s="1"/>
  <c r="AH124" i="2" s="1"/>
  <c r="BU116" i="2"/>
  <c r="BV116" i="2" s="1"/>
  <c r="BW116" i="2" s="1"/>
  <c r="BX116" i="2" s="1"/>
  <c r="BY116" i="2" s="1"/>
  <c r="BZ116" i="2" s="1"/>
  <c r="G170" i="2"/>
  <c r="AC125" i="2" l="1"/>
  <c r="BU117" i="2"/>
  <c r="H170" i="2"/>
  <c r="I170" i="2" s="1"/>
  <c r="J170" i="2" s="1"/>
  <c r="K170" i="2" s="1"/>
  <c r="L170" i="2" s="1"/>
  <c r="AD125" i="2" l="1"/>
  <c r="AE125" i="2" s="1"/>
  <c r="AF125" i="2" s="1"/>
  <c r="AG125" i="2" s="1"/>
  <c r="AH125" i="2" s="1"/>
  <c r="G171" i="2"/>
  <c r="BV117" i="2"/>
  <c r="BW117" i="2" s="1"/>
  <c r="BX117" i="2" s="1"/>
  <c r="BY117" i="2" s="1"/>
  <c r="BZ117" i="2" s="1"/>
  <c r="AC126" i="2" l="1"/>
  <c r="H171" i="2"/>
  <c r="I171" i="2" s="1"/>
  <c r="J171" i="2" s="1"/>
  <c r="K171" i="2" s="1"/>
  <c r="L171" i="2" s="1"/>
  <c r="BU118" i="2"/>
  <c r="AD126" i="2" l="1"/>
  <c r="AE126" i="2" s="1"/>
  <c r="AF126" i="2" s="1"/>
  <c r="AG126" i="2" s="1"/>
  <c r="AH126" i="2" s="1"/>
  <c r="BV118" i="2"/>
  <c r="BW118" i="2" s="1"/>
  <c r="BX118" i="2" s="1"/>
  <c r="BY118" i="2" s="1"/>
  <c r="BZ118" i="2" s="1"/>
  <c r="G172" i="2"/>
  <c r="AC127" i="2" l="1"/>
  <c r="H172" i="2"/>
  <c r="I172" i="2" s="1"/>
  <c r="J172" i="2" s="1"/>
  <c r="K172" i="2" s="1"/>
  <c r="L172" i="2" s="1"/>
  <c r="BU119" i="2"/>
  <c r="AD127" i="2" l="1"/>
  <c r="AE127" i="2" s="1"/>
  <c r="AF127" i="2" s="1"/>
  <c r="AG127" i="2" s="1"/>
  <c r="AH127" i="2" s="1"/>
  <c r="BV119" i="2"/>
  <c r="BW119" i="2" s="1"/>
  <c r="BX119" i="2" s="1"/>
  <c r="BY119" i="2" s="1"/>
  <c r="BZ119" i="2" s="1"/>
  <c r="G173" i="2"/>
  <c r="AC128" i="2" l="1"/>
  <c r="H173" i="2"/>
  <c r="I173" i="2" s="1"/>
  <c r="J173" i="2" s="1"/>
  <c r="K173" i="2" s="1"/>
  <c r="L173" i="2" s="1"/>
  <c r="BU120" i="2"/>
  <c r="AD128" i="2" l="1"/>
  <c r="AE128" i="2" s="1"/>
  <c r="AF128" i="2" s="1"/>
  <c r="AG128" i="2" s="1"/>
  <c r="AH128" i="2" s="1"/>
  <c r="BV120" i="2"/>
  <c r="BW120" i="2" s="1"/>
  <c r="BX120" i="2" s="1"/>
  <c r="BY120" i="2" s="1"/>
  <c r="BZ120" i="2" s="1"/>
  <c r="G174" i="2"/>
  <c r="AC129" i="2" l="1"/>
  <c r="H174" i="2"/>
  <c r="I174" i="2" s="1"/>
  <c r="J174" i="2" s="1"/>
  <c r="K174" i="2" s="1"/>
  <c r="L174" i="2" s="1"/>
  <c r="BU121" i="2"/>
  <c r="AD129" i="2" l="1"/>
  <c r="AE129" i="2" s="1"/>
  <c r="AF129" i="2" s="1"/>
  <c r="AG129" i="2" s="1"/>
  <c r="AH129" i="2" s="1"/>
  <c r="BV121" i="2"/>
  <c r="BW121" i="2" s="1"/>
  <c r="BX121" i="2" s="1"/>
  <c r="BY121" i="2" s="1"/>
  <c r="BZ121" i="2" s="1"/>
  <c r="G175" i="2"/>
  <c r="AC130" i="2" l="1"/>
  <c r="H175" i="2"/>
  <c r="I175" i="2" s="1"/>
  <c r="J175" i="2" s="1"/>
  <c r="K175" i="2" s="1"/>
  <c r="L175" i="2" s="1"/>
  <c r="BU122" i="2"/>
  <c r="AD130" i="2" l="1"/>
  <c r="AE130" i="2" s="1"/>
  <c r="AF130" i="2" s="1"/>
  <c r="AG130" i="2" s="1"/>
  <c r="AH130" i="2" s="1"/>
  <c r="BV122" i="2"/>
  <c r="BW122" i="2" s="1"/>
  <c r="BX122" i="2" s="1"/>
  <c r="BY122" i="2" s="1"/>
  <c r="BZ122" i="2" s="1"/>
  <c r="G176" i="2"/>
  <c r="AC131" i="2" l="1"/>
  <c r="H176" i="2"/>
  <c r="I176" i="2" s="1"/>
  <c r="J176" i="2" s="1"/>
  <c r="K176" i="2" s="1"/>
  <c r="L176" i="2" s="1"/>
  <c r="BU123" i="2"/>
  <c r="AD131" i="2" l="1"/>
  <c r="AE131" i="2" s="1"/>
  <c r="AF131" i="2" s="1"/>
  <c r="AG131" i="2" s="1"/>
  <c r="AH131" i="2" s="1"/>
  <c r="BV123" i="2"/>
  <c r="BW123" i="2" s="1"/>
  <c r="BX123" i="2" s="1"/>
  <c r="BY123" i="2" s="1"/>
  <c r="BZ123" i="2" s="1"/>
  <c r="G177" i="2"/>
  <c r="AC132" i="2" l="1"/>
  <c r="H177" i="2"/>
  <c r="I177" i="2" s="1"/>
  <c r="J177" i="2" s="1"/>
  <c r="K177" i="2" s="1"/>
  <c r="L177" i="2" s="1"/>
  <c r="BU124" i="2"/>
  <c r="AD132" i="2" l="1"/>
  <c r="AE132" i="2" s="1"/>
  <c r="AF132" i="2" s="1"/>
  <c r="AG132" i="2" s="1"/>
  <c r="AH132" i="2" s="1"/>
  <c r="BV124" i="2"/>
  <c r="BW124" i="2" s="1"/>
  <c r="BX124" i="2" s="1"/>
  <c r="BY124" i="2" s="1"/>
  <c r="BZ124" i="2" s="1"/>
  <c r="G178" i="2"/>
  <c r="AC133" i="2" l="1"/>
  <c r="H178" i="2"/>
  <c r="I178" i="2" s="1"/>
  <c r="J178" i="2" s="1"/>
  <c r="K178" i="2" s="1"/>
  <c r="L178" i="2" s="1"/>
  <c r="BU125" i="2"/>
  <c r="AD133" i="2" l="1"/>
  <c r="AE133" i="2" s="1"/>
  <c r="AF133" i="2" s="1"/>
  <c r="AG133" i="2" s="1"/>
  <c r="AH133" i="2" s="1"/>
  <c r="BV125" i="2"/>
  <c r="BW125" i="2" s="1"/>
  <c r="BX125" i="2" s="1"/>
  <c r="BY125" i="2" s="1"/>
  <c r="BZ125" i="2" s="1"/>
  <c r="G179" i="2"/>
  <c r="AC134" i="2" l="1"/>
  <c r="H179" i="2"/>
  <c r="I179" i="2" s="1"/>
  <c r="J179" i="2" s="1"/>
  <c r="K179" i="2" s="1"/>
  <c r="L179" i="2" s="1"/>
  <c r="BU126" i="2"/>
  <c r="AD134" i="2" l="1"/>
  <c r="AE134" i="2" s="1"/>
  <c r="AF134" i="2" s="1"/>
  <c r="AG134" i="2" s="1"/>
  <c r="AH134" i="2" s="1"/>
  <c r="BV126" i="2"/>
  <c r="BW126" i="2" s="1"/>
  <c r="BX126" i="2" s="1"/>
  <c r="BY126" i="2" s="1"/>
  <c r="BZ126" i="2" s="1"/>
  <c r="G180" i="2"/>
  <c r="AC135" i="2" l="1"/>
  <c r="H180" i="2"/>
  <c r="I180" i="2" s="1"/>
  <c r="J180" i="2" s="1"/>
  <c r="K180" i="2" s="1"/>
  <c r="L180" i="2" s="1"/>
  <c r="BU127" i="2"/>
  <c r="AD135" i="2" l="1"/>
  <c r="AE135" i="2" s="1"/>
  <c r="AF135" i="2" s="1"/>
  <c r="AG135" i="2" s="1"/>
  <c r="AH135" i="2" s="1"/>
  <c r="BV127" i="2"/>
  <c r="BW127" i="2" s="1"/>
  <c r="BX127" i="2" s="1"/>
  <c r="BY127" i="2" s="1"/>
  <c r="BZ127" i="2" s="1"/>
  <c r="G181" i="2"/>
  <c r="AC136" i="2" l="1"/>
  <c r="H181" i="2"/>
  <c r="I181" i="2" s="1"/>
  <c r="J181" i="2" s="1"/>
  <c r="K181" i="2" s="1"/>
  <c r="L181" i="2" s="1"/>
  <c r="BU128" i="2"/>
  <c r="AD136" i="2" l="1"/>
  <c r="AE136" i="2" s="1"/>
  <c r="AF136" i="2" s="1"/>
  <c r="AG136" i="2" s="1"/>
  <c r="AH136" i="2" s="1"/>
  <c r="BV128" i="2"/>
  <c r="BW128" i="2" s="1"/>
  <c r="BX128" i="2" s="1"/>
  <c r="BY128" i="2" s="1"/>
  <c r="BZ128" i="2" s="1"/>
  <c r="G182" i="2"/>
  <c r="AC137" i="2" l="1"/>
  <c r="H182" i="2"/>
  <c r="I182" i="2" s="1"/>
  <c r="J182" i="2" s="1"/>
  <c r="K182" i="2" s="1"/>
  <c r="L182" i="2" s="1"/>
  <c r="BU129" i="2"/>
  <c r="AD137" i="2" l="1"/>
  <c r="AE137" i="2" s="1"/>
  <c r="AF137" i="2" s="1"/>
  <c r="AG137" i="2" s="1"/>
  <c r="AH137" i="2" s="1"/>
  <c r="Y159" i="2" s="1"/>
  <c r="M42" i="4" s="1"/>
  <c r="BV129" i="2"/>
  <c r="BW129" i="2" s="1"/>
  <c r="BX129" i="2" s="1"/>
  <c r="BY129" i="2" s="1"/>
  <c r="BZ129" i="2" s="1"/>
  <c r="G183" i="2"/>
  <c r="AC138" i="2" l="1"/>
  <c r="AD138" i="2" s="1"/>
  <c r="AC139" i="2" s="1"/>
  <c r="AD139" i="2" s="1"/>
  <c r="AC140" i="2" s="1"/>
  <c r="AD140" i="2" s="1"/>
  <c r="AC141" i="2" s="1"/>
  <c r="AD141" i="2" s="1"/>
  <c r="AC142" i="2" s="1"/>
  <c r="AD142" i="2" s="1"/>
  <c r="AC143" i="2" s="1"/>
  <c r="AD143" i="2" s="1"/>
  <c r="AC144" i="2" s="1"/>
  <c r="AD144" i="2" s="1"/>
  <c r="AC145" i="2" s="1"/>
  <c r="AD145" i="2" s="1"/>
  <c r="AC146" i="2" s="1"/>
  <c r="AD146" i="2" s="1"/>
  <c r="AC147" i="2" s="1"/>
  <c r="AD147" i="2" s="1"/>
  <c r="AC148" i="2" s="1"/>
  <c r="AD148" i="2" s="1"/>
  <c r="AC149" i="2" s="1"/>
  <c r="AD149" i="2" s="1"/>
  <c r="AC150" i="2" s="1"/>
  <c r="AD150" i="2" s="1"/>
  <c r="AC151" i="2" s="1"/>
  <c r="AD151" i="2" s="1"/>
  <c r="AC152" i="2" s="1"/>
  <c r="AD152" i="2" s="1"/>
  <c r="AC153" i="2" s="1"/>
  <c r="AD153" i="2" s="1"/>
  <c r="AC154" i="2" s="1"/>
  <c r="AD154" i="2" s="1"/>
  <c r="AC155" i="2" s="1"/>
  <c r="AD155" i="2" s="1"/>
  <c r="AC156" i="2" s="1"/>
  <c r="AD156" i="2" s="1"/>
  <c r="AC157" i="2" s="1"/>
  <c r="AD157" i="2" s="1"/>
  <c r="H183" i="2"/>
  <c r="I183" i="2" s="1"/>
  <c r="J183" i="2" s="1"/>
  <c r="K183" i="2" s="1"/>
  <c r="L183" i="2" s="1"/>
  <c r="BU130" i="2"/>
  <c r="BV130" i="2" l="1"/>
  <c r="BW130" i="2" s="1"/>
  <c r="BX130" i="2" s="1"/>
  <c r="BY130" i="2" s="1"/>
  <c r="BZ130" i="2" s="1"/>
  <c r="BQ152" i="2" s="1"/>
  <c r="M30" i="4" s="1"/>
  <c r="G184" i="2"/>
  <c r="BU131" i="2" l="1"/>
  <c r="BV131" i="2" s="1"/>
  <c r="BU132" i="2" s="1"/>
  <c r="BV132" i="2" s="1"/>
  <c r="BU133" i="2" s="1"/>
  <c r="BV133" i="2" s="1"/>
  <c r="BU134" i="2" s="1"/>
  <c r="BV134" i="2" s="1"/>
  <c r="BU135" i="2" s="1"/>
  <c r="BV135" i="2" s="1"/>
  <c r="BU136" i="2" s="1"/>
  <c r="BV136" i="2" s="1"/>
  <c r="BU137" i="2" s="1"/>
  <c r="BV137" i="2" s="1"/>
  <c r="BU138" i="2" s="1"/>
  <c r="BV138" i="2" s="1"/>
  <c r="BU139" i="2" s="1"/>
  <c r="BV139" i="2" s="1"/>
  <c r="BU140" i="2" s="1"/>
  <c r="BV140" i="2" s="1"/>
  <c r="BU141" i="2" s="1"/>
  <c r="BV141" i="2" s="1"/>
  <c r="BU142" i="2" s="1"/>
  <c r="BV142" i="2" s="1"/>
  <c r="BU143" i="2" s="1"/>
  <c r="BV143" i="2" s="1"/>
  <c r="BU144" i="2" s="1"/>
  <c r="BV144" i="2" s="1"/>
  <c r="BU145" i="2" s="1"/>
  <c r="BV145" i="2" s="1"/>
  <c r="BU146" i="2" s="1"/>
  <c r="BV146" i="2" s="1"/>
  <c r="BU147" i="2" s="1"/>
  <c r="BV147" i="2" s="1"/>
  <c r="BU148" i="2" s="1"/>
  <c r="H184" i="2"/>
  <c r="I184" i="2" s="1"/>
  <c r="J184" i="2" s="1"/>
  <c r="K184" i="2" s="1"/>
  <c r="L184" i="2" s="1"/>
  <c r="BV148" i="2" l="1"/>
  <c r="BU149" i="2" s="1"/>
  <c r="BV149" i="2" s="1"/>
  <c r="BU150" i="2" s="1"/>
  <c r="BV150" i="2" s="1"/>
  <c r="G185" i="2"/>
  <c r="H185" i="2" l="1"/>
  <c r="I185" i="2" s="1"/>
  <c r="J185" i="2" s="1"/>
  <c r="K185" i="2" s="1"/>
  <c r="L185" i="2" s="1"/>
  <c r="C207" i="2" s="1"/>
  <c r="M29" i="4" s="1"/>
  <c r="G186" i="2" l="1"/>
  <c r="H186" i="2" s="1"/>
  <c r="G187" i="2" s="1"/>
  <c r="H187" i="2" s="1"/>
  <c r="G188" i="2" s="1"/>
  <c r="H188" i="2" s="1"/>
  <c r="G189" i="2" s="1"/>
  <c r="H189" i="2" s="1"/>
  <c r="G190" i="2" s="1"/>
  <c r="H190" i="2" s="1"/>
  <c r="G191" i="2" s="1"/>
  <c r="H191" i="2" s="1"/>
  <c r="G192" i="2" s="1"/>
  <c r="H192" i="2" l="1"/>
  <c r="G193" i="2" s="1"/>
  <c r="H193" i="2" s="1"/>
  <c r="G194" i="2" s="1"/>
  <c r="H194" i="2" s="1"/>
  <c r="G195" i="2" s="1"/>
  <c r="H195" i="2" s="1"/>
  <c r="G196" i="2" s="1"/>
  <c r="H196" i="2" s="1"/>
  <c r="G197" i="2" s="1"/>
  <c r="H197" i="2" s="1"/>
  <c r="G198" i="2" s="1"/>
  <c r="H198" i="2" s="1"/>
  <c r="G199" i="2" s="1"/>
  <c r="H199" i="2" s="1"/>
  <c r="G200" i="2" s="1"/>
  <c r="H200" i="2" s="1"/>
  <c r="G201" i="2" s="1"/>
  <c r="H201" i="2" s="1"/>
  <c r="G202" i="2" s="1"/>
  <c r="H202" i="2" l="1"/>
  <c r="G203" i="2" s="1"/>
  <c r="H203" i="2" s="1"/>
  <c r="G204" i="2" s="1"/>
  <c r="H204" i="2" s="1"/>
  <c r="G205" i="2" s="1"/>
  <c r="H205" i="2" s="1"/>
</calcChain>
</file>

<file path=xl/sharedStrings.xml><?xml version="1.0" encoding="utf-8"?>
<sst xmlns="http://schemas.openxmlformats.org/spreadsheetml/2006/main" count="3205" uniqueCount="1181">
  <si>
    <t>Methanol Electrolyzer</t>
  </si>
  <si>
    <t>Formate Electrolyzer</t>
  </si>
  <si>
    <t>Pressure Swing Adsorption</t>
  </si>
  <si>
    <t>Bioreactor Inlet Liquid Pump</t>
  </si>
  <si>
    <t>Bioreactor Air Compressor</t>
  </si>
  <si>
    <t>Growth Reactor</t>
  </si>
  <si>
    <t>Accumulation Reactor</t>
  </si>
  <si>
    <t>Bioreactor Off Gas Condenser</t>
  </si>
  <si>
    <t>Neutralization Vessel</t>
  </si>
  <si>
    <t>Biomass Dryer Air Heater</t>
  </si>
  <si>
    <t>Acetone Pump</t>
  </si>
  <si>
    <t>Solvent Extraction Vessel</t>
  </si>
  <si>
    <t>Precipitation Vessel</t>
  </si>
  <si>
    <t>Acetone Distillation Column</t>
  </si>
  <si>
    <t>Nanofilter</t>
  </si>
  <si>
    <t>Reference Capacity</t>
  </si>
  <si>
    <t>Reference Year</t>
  </si>
  <si>
    <t>CE Index Reference Year</t>
  </si>
  <si>
    <t>CE Index 2019</t>
  </si>
  <si>
    <t>Model Capacity</t>
  </si>
  <si>
    <t>Capacity Upper Limit</t>
  </si>
  <si>
    <t>Equipment Reference Units</t>
  </si>
  <si>
    <t>Number of Units</t>
  </si>
  <si>
    <t>Operator Per Units</t>
  </si>
  <si>
    <t>Total Operators</t>
  </si>
  <si>
    <t>Scaling Factor</t>
  </si>
  <si>
    <t>Lang Factor</t>
  </si>
  <si>
    <t>Electrocatalysis Methanol Distillation</t>
  </si>
  <si>
    <t>Bireactor Air Cooler Heat Exchanger</t>
  </si>
  <si>
    <t>Biomass Decanter Centrifuge</t>
  </si>
  <si>
    <t>Biomass Horizontal Belt Dryer</t>
  </si>
  <si>
    <t>Growth Bubble Column Reactor</t>
  </si>
  <si>
    <t>Accumulation Bubble Column Reactor</t>
  </si>
  <si>
    <t>Biomass Disk Stack Centrifuge</t>
  </si>
  <si>
    <t>Acetone/PHB Heat Exchanger</t>
  </si>
  <si>
    <t>PHB Gravity Belt Thickener</t>
  </si>
  <si>
    <t>Microfilter</t>
  </si>
  <si>
    <t>Distillation Bottoms Heat Exchanger</t>
  </si>
  <si>
    <t>PHB Horizontal Belt Dryer</t>
  </si>
  <si>
    <t>kmol/h</t>
  </si>
  <si>
    <t>Reference Cost ($ USD)</t>
  </si>
  <si>
    <t>None</t>
  </si>
  <si>
    <t>Sources &amp; Notes</t>
  </si>
  <si>
    <t>m^3</t>
  </si>
  <si>
    <t>kg/h</t>
  </si>
  <si>
    <t>m^3/h</t>
  </si>
  <si>
    <t>Reference Units</t>
  </si>
  <si>
    <t>Capacity</t>
  </si>
  <si>
    <t>Purchased Cost ($M USD)</t>
  </si>
  <si>
    <t>Delivered Cost ($M USD)</t>
  </si>
  <si>
    <t>Installed Cost ($M USD)</t>
  </si>
  <si>
    <t>Carbon Dioxide</t>
  </si>
  <si>
    <t>Process Water</t>
  </si>
  <si>
    <t>Sulfuric Acid</t>
  </si>
  <si>
    <t>Sodium Hydroxide</t>
  </si>
  <si>
    <t>Ammonia</t>
  </si>
  <si>
    <t>Acetone</t>
  </si>
  <si>
    <t>Methanol Catalyst</t>
  </si>
  <si>
    <t>Formate Catalyst</t>
  </si>
  <si>
    <t>Biomass Credit</t>
  </si>
  <si>
    <t>PHB Credit</t>
  </si>
  <si>
    <t>Carbon Price Credit</t>
  </si>
  <si>
    <t>Reference Cost Per Unit ($ USD)</t>
  </si>
  <si>
    <t>$/tonne</t>
  </si>
  <si>
    <t>$/kg</t>
  </si>
  <si>
    <t>$/lb</t>
  </si>
  <si>
    <t>Equipment Operating Costs</t>
  </si>
  <si>
    <t>Electricity</t>
  </si>
  <si>
    <t>Water</t>
  </si>
  <si>
    <t>Steam</t>
  </si>
  <si>
    <t>Miscellaneous</t>
  </si>
  <si>
    <t>Operation Units</t>
  </si>
  <si>
    <t>Operation Price</t>
  </si>
  <si>
    <t>kWh</t>
  </si>
  <si>
    <t>kg</t>
  </si>
  <si>
    <t>Cost ($M USD/year)</t>
  </si>
  <si>
    <t>Description</t>
  </si>
  <si>
    <t>Refrigerant</t>
  </si>
  <si>
    <t>Usage Units</t>
  </si>
  <si>
    <t>Usage</t>
  </si>
  <si>
    <t>Filter Replacement</t>
  </si>
  <si>
    <t>Operating Labour</t>
  </si>
  <si>
    <t>Supervision</t>
  </si>
  <si>
    <t>Laboratory</t>
  </si>
  <si>
    <t>Overheads and Administration</t>
  </si>
  <si>
    <t>Solids Handling</t>
  </si>
  <si>
    <t>Maintenance</t>
  </si>
  <si>
    <t>$/h</t>
  </si>
  <si>
    <t>Labour Wage</t>
  </si>
  <si>
    <t>Labour Wage ($/h)</t>
  </si>
  <si>
    <t>Total Operators Per Shift</t>
  </si>
  <si>
    <t>Weeks Per Year</t>
  </si>
  <si>
    <t>Hours Per week Per Operator</t>
  </si>
  <si>
    <t>Operators Per Week Per Job</t>
  </si>
  <si>
    <t>Percent of Operating Labour</t>
  </si>
  <si>
    <t>Annual Wages ($M USD/year)</t>
  </si>
  <si>
    <t>Annual Costs ($M USD/year)</t>
  </si>
  <si>
    <t>Percent of Capital Costs</t>
  </si>
  <si>
    <t>Nominal Interest Rate</t>
  </si>
  <si>
    <t>Year</t>
  </si>
  <si>
    <t>Capital Expenses</t>
  </si>
  <si>
    <t>Working Capital</t>
  </si>
  <si>
    <t>Depreciation</t>
  </si>
  <si>
    <t>Net Profit</t>
  </si>
  <si>
    <t>Tax Carryover</t>
  </si>
  <si>
    <t>Tax Break</t>
  </si>
  <si>
    <t>Net Earning</t>
  </si>
  <si>
    <t>Discounted Cash Flow</t>
  </si>
  <si>
    <t xml:space="preserve">Cash Flow (Present Value) </t>
  </si>
  <si>
    <t>Cumulative Present Value</t>
  </si>
  <si>
    <t>MACRS 10 yr</t>
  </si>
  <si>
    <t>Biomass Gravity Belt Thickener</t>
  </si>
  <si>
    <t>$/unit</t>
  </si>
  <si>
    <t>Number Of Units</t>
  </si>
  <si>
    <t>gpm</t>
  </si>
  <si>
    <t>Converted From</t>
  </si>
  <si>
    <t>Converted To</t>
  </si>
  <si>
    <t>Factor</t>
  </si>
  <si>
    <t>Gallon</t>
  </si>
  <si>
    <t>Litre</t>
  </si>
  <si>
    <t>/Hour</t>
  </si>
  <si>
    <t>/Second</t>
  </si>
  <si>
    <t>/Minute</t>
  </si>
  <si>
    <t>/Operating Year</t>
  </si>
  <si>
    <t>kW</t>
  </si>
  <si>
    <t>kWh/Operating Year</t>
  </si>
  <si>
    <t>Cubic Metre</t>
  </si>
  <si>
    <t>hp</t>
  </si>
  <si>
    <t>m^2</t>
  </si>
  <si>
    <t>tonnes/h Water Evap.</t>
  </si>
  <si>
    <t>Delivery Included</t>
  </si>
  <si>
    <t>Yes</t>
  </si>
  <si>
    <t>No</t>
  </si>
  <si>
    <t>L/h</t>
  </si>
  <si>
    <t>3% of capital/year</t>
  </si>
  <si>
    <t>Conversions</t>
  </si>
  <si>
    <t>Molecular Weights</t>
  </si>
  <si>
    <t>Species</t>
  </si>
  <si>
    <t>HCOO</t>
  </si>
  <si>
    <t>NaHCOO</t>
  </si>
  <si>
    <t>Biomass</t>
  </si>
  <si>
    <t>PHB</t>
  </si>
  <si>
    <t>Constants</t>
  </si>
  <si>
    <t>R</t>
  </si>
  <si>
    <t>J/mol.K</t>
  </si>
  <si>
    <t>Universal Gas Constant</t>
  </si>
  <si>
    <t>Bioreactor Calculations</t>
  </si>
  <si>
    <t>Reaction Stoichiometry</t>
  </si>
  <si>
    <t>Growth</t>
  </si>
  <si>
    <t>Accumulation</t>
  </si>
  <si>
    <t>Heat of Reaction</t>
  </si>
  <si>
    <t>Heat of Combustion (kJ/mol)</t>
  </si>
  <si>
    <t>Stoichiometry</t>
  </si>
  <si>
    <t>Yx,form</t>
  </si>
  <si>
    <t>Yx.meth</t>
  </si>
  <si>
    <t>Yphb,form</t>
  </si>
  <si>
    <t>Yphb,meth</t>
  </si>
  <si>
    <t>Ygrowth</t>
  </si>
  <si>
    <t>Yaccumulation</t>
  </si>
  <si>
    <t>g biomass/g methanol</t>
  </si>
  <si>
    <t>g biomass /g formate</t>
  </si>
  <si>
    <t>g PHB/g methanol</t>
  </si>
  <si>
    <t>g PHB /g formate</t>
  </si>
  <si>
    <t>g biomass/g substrate</t>
  </si>
  <si>
    <t>g PHB/g substrate</t>
  </si>
  <si>
    <t>Bioreactor PHB Mass Flow Out</t>
  </si>
  <si>
    <t>Bioreactor Mass Balance</t>
  </si>
  <si>
    <t>kg/h PHB</t>
  </si>
  <si>
    <t>In</t>
  </si>
  <si>
    <t>Out</t>
  </si>
  <si>
    <t>Generated</t>
  </si>
  <si>
    <t>Required</t>
  </si>
  <si>
    <t>Salt</t>
  </si>
  <si>
    <t>Dead Biomass</t>
  </si>
  <si>
    <t>Reactants</t>
  </si>
  <si>
    <t>Products</t>
  </si>
  <si>
    <t>Gas Total</t>
  </si>
  <si>
    <t>Max HCOO Concentration</t>
  </si>
  <si>
    <t>wt frac.</t>
  </si>
  <si>
    <t>Overall Reactor Mass Balance</t>
  </si>
  <si>
    <t>Accumulation Reactor Mass Balance</t>
  </si>
  <si>
    <t>Growth Reactor Mass Balance</t>
  </si>
  <si>
    <t>Volume Determination</t>
  </si>
  <si>
    <t>Phosphorus</t>
  </si>
  <si>
    <t>Max Volume Per Reactor</t>
  </si>
  <si>
    <t>g/L</t>
  </si>
  <si>
    <t>Biomass Cell Density</t>
  </si>
  <si>
    <t>PHB Cell Density</t>
  </si>
  <si>
    <t>h^-1</t>
  </si>
  <si>
    <t>h</t>
  </si>
  <si>
    <t>Growth Fill Time</t>
  </si>
  <si>
    <t>Accumulation Batch Time</t>
  </si>
  <si>
    <t>Volume with Biomass as Limiting Species</t>
  </si>
  <si>
    <t>Growth Reactor Mass Balance Calculation</t>
  </si>
  <si>
    <t>Accumulation = In - Out + Generation - Consumption</t>
  </si>
  <si>
    <t>k</t>
  </si>
  <si>
    <t>A</t>
  </si>
  <si>
    <t>B</t>
  </si>
  <si>
    <t>XV (kg)</t>
  </si>
  <si>
    <t>Accumulation Reactor Mass Balance Calculation</t>
  </si>
  <si>
    <t>dXV/dt = Q,gen</t>
  </si>
  <si>
    <t>Density Water @ 40 C</t>
  </si>
  <si>
    <t>kg/m^3</t>
  </si>
  <si>
    <t>Growth Electrolyte Volume Flow</t>
  </si>
  <si>
    <t>Required Growth Reactor Volume</t>
  </si>
  <si>
    <t>Accumulation Electrolyte Volume Flow</t>
  </si>
  <si>
    <t>Required Accumulation Reactor Volume</t>
  </si>
  <si>
    <t>Volume with Oxygen Mass Transfer Limitation</t>
  </si>
  <si>
    <t>Gas Holdup</t>
  </si>
  <si>
    <t>Reactor Diameter</t>
  </si>
  <si>
    <t>Liquid Density</t>
  </si>
  <si>
    <t>Gravity</t>
  </si>
  <si>
    <t>Surface Tension</t>
  </si>
  <si>
    <t>g</t>
  </si>
  <si>
    <t>m/s^2</t>
  </si>
  <si>
    <t>Kinematic Viscosity of Liquid</t>
  </si>
  <si>
    <t>Variable</t>
  </si>
  <si>
    <t>Units</t>
  </si>
  <si>
    <t>Value</t>
  </si>
  <si>
    <t>-</t>
  </si>
  <si>
    <t>m^2/s</t>
  </si>
  <si>
    <t>Liquid Phase Diffusivity</t>
  </si>
  <si>
    <t>m</t>
  </si>
  <si>
    <t>kg/s^2</t>
  </si>
  <si>
    <t>1/s</t>
  </si>
  <si>
    <t>Henry's Law Calculation</t>
  </si>
  <si>
    <t>dT</t>
  </si>
  <si>
    <t>Pa</t>
  </si>
  <si>
    <t>K</t>
  </si>
  <si>
    <t>mol/m^3</t>
  </si>
  <si>
    <t>Inlet Gas Pressure</t>
  </si>
  <si>
    <t>Inlet Gas Temperature</t>
  </si>
  <si>
    <t>Inlet Gas Conc.</t>
  </si>
  <si>
    <t>Inlet Oxygen Conc.</t>
  </si>
  <si>
    <t>Inlet Oxygen Fraction</t>
  </si>
  <si>
    <t>vol/vol</t>
  </si>
  <si>
    <t>Outlet Gas Pressure</t>
  </si>
  <si>
    <t>Outlet Gas Temperature</t>
  </si>
  <si>
    <t>Outlet Gas Conc.</t>
  </si>
  <si>
    <t>Outlet Oxygen Fraction</t>
  </si>
  <si>
    <t>Outlet Oxygen Conc.</t>
  </si>
  <si>
    <t>Volumetric Mass Transfer</t>
  </si>
  <si>
    <t>kg/h.m^3</t>
  </si>
  <si>
    <t>Overall Gas Phase Mass Transfer Coefficient</t>
  </si>
  <si>
    <t>Required Volume</t>
  </si>
  <si>
    <t>V</t>
  </si>
  <si>
    <t>Number of Reactors</t>
  </si>
  <si>
    <t>Growth Reactor Volume</t>
  </si>
  <si>
    <t>Accumulation Reactor Volume</t>
  </si>
  <si>
    <t>Bioreactor Design</t>
  </si>
  <si>
    <t>Reaction</t>
  </si>
  <si>
    <t>Heat of Reaction (kJ/mol)</t>
  </si>
  <si>
    <t>Product Generated (kg/h)</t>
  </si>
  <si>
    <t>Heat (MW)</t>
  </si>
  <si>
    <t>MW</t>
  </si>
  <si>
    <t>Target Function</t>
  </si>
  <si>
    <t>Growth Reactor Liquid Density</t>
  </si>
  <si>
    <t>Accumulation Reactor Liquid Density</t>
  </si>
  <si>
    <t>Growth Liquid Phase Mass Transfer Coefficient</t>
  </si>
  <si>
    <t>Accumulation Liquid Phase Mass Transfer Coefficient</t>
  </si>
  <si>
    <t>Head Pressure</t>
  </si>
  <si>
    <t>Gas Molar Flow Rate</t>
  </si>
  <si>
    <t>mol/s</t>
  </si>
  <si>
    <t>Target Function to Set to 0</t>
  </si>
  <si>
    <t>m/s</t>
  </si>
  <si>
    <t>Reactor Dimensions</t>
  </si>
  <si>
    <t>Heat Transfer</t>
  </si>
  <si>
    <t>Heat Transfer Coefficient</t>
  </si>
  <si>
    <t>Jacket Area</t>
  </si>
  <si>
    <t>Draft Tube Length</t>
  </si>
  <si>
    <t>Draft Tube Area</t>
  </si>
  <si>
    <t>Cooling Coil Space Off Walls</t>
  </si>
  <si>
    <t>Cooling Coil Diameter</t>
  </si>
  <si>
    <t>Coil Diameter</t>
  </si>
  <si>
    <t>Coil Pitch</t>
  </si>
  <si>
    <t>Coil Area</t>
  </si>
  <si>
    <t>Number of Coils</t>
  </si>
  <si>
    <t>Length of Coils</t>
  </si>
  <si>
    <t>W/m^2.K</t>
  </si>
  <si>
    <t>Electrocatalysis Calculations</t>
  </si>
  <si>
    <t>MJ</t>
  </si>
  <si>
    <t>$/MJ</t>
  </si>
  <si>
    <t>Electrolyzer Power and Size Calculation</t>
  </si>
  <si>
    <t>Flow Rate</t>
  </si>
  <si>
    <t>Faradaic Efficiency</t>
  </si>
  <si>
    <t>Faraday Constant</t>
  </si>
  <si>
    <t>F</t>
  </si>
  <si>
    <t>C/mol</t>
  </si>
  <si>
    <t>Voltage</t>
  </si>
  <si>
    <t>Electrons Per Product Molecule</t>
  </si>
  <si>
    <t>Current Density</t>
  </si>
  <si>
    <t>Power Requirement</t>
  </si>
  <si>
    <t>Area</t>
  </si>
  <si>
    <t>A/cm^2</t>
  </si>
  <si>
    <t>cm^2</t>
  </si>
  <si>
    <t>Electrolyzer Cost Calculation</t>
  </si>
  <si>
    <t>Total Cost (Cost Indice Adjusted from 2013 to 2019)</t>
  </si>
  <si>
    <t>Aluminum End Plate</t>
  </si>
  <si>
    <t>Bipolar Graphite Plate</t>
  </si>
  <si>
    <t>PTFE Flow Channel</t>
  </si>
  <si>
    <t>Gaskets</t>
  </si>
  <si>
    <t>Tie Rods</t>
  </si>
  <si>
    <t>Membrane</t>
  </si>
  <si>
    <t>Cathode Electrode</t>
  </si>
  <si>
    <t>Anode Electrode</t>
  </si>
  <si>
    <t>Methanol</t>
  </si>
  <si>
    <t>$M</t>
  </si>
  <si>
    <t>Formate Total</t>
  </si>
  <si>
    <t>Material</t>
  </si>
  <si>
    <t>$/4.24 m^2</t>
  </si>
  <si>
    <t>Catalyst Density</t>
  </si>
  <si>
    <t>mg/cm^2</t>
  </si>
  <si>
    <t>Capacity Units</t>
  </si>
  <si>
    <t>Catalyst Lifetime</t>
  </si>
  <si>
    <t>Catalyst Required Per Year</t>
  </si>
  <si>
    <t>Catalyst Required Per Cycle</t>
  </si>
  <si>
    <t>Production Capacity</t>
  </si>
  <si>
    <t>tonnes/year</t>
  </si>
  <si>
    <t>days</t>
  </si>
  <si>
    <t>Operating Days</t>
  </si>
  <si>
    <t>tonne/year</t>
  </si>
  <si>
    <t>lb/year</t>
  </si>
  <si>
    <t>kg/year</t>
  </si>
  <si>
    <t>Variable Units:</t>
  </si>
  <si>
    <t>Pressure Swing Adsoprtion Capacity (kmol/h)</t>
  </si>
  <si>
    <t>Electrocatalysis Distillation Capacity (m^3/h)</t>
  </si>
  <si>
    <t>Bioreactor Inlet Pump (m^3/h)</t>
  </si>
  <si>
    <t>Electrocatalysis Current Density (A/cm^2)</t>
  </si>
  <si>
    <t>Bioreactor Methanol to Biomass Yield (g/g)</t>
  </si>
  <si>
    <t>Bioreactor Formate to Biomass Yield (g/g)</t>
  </si>
  <si>
    <t>Bioreactor Methanol to PHB Yield (g/g)</t>
  </si>
  <si>
    <t>Bioreactor Formate to PHB Yield (g/g)</t>
  </si>
  <si>
    <t>Methanol Stoichiometry</t>
  </si>
  <si>
    <t>Formate Stoichiometry</t>
  </si>
  <si>
    <t>Makeup Carbon Dioxide (kg/h)</t>
  </si>
  <si>
    <t>Carbon Dioxide Losses at PSA (kg/h)</t>
  </si>
  <si>
    <t>Makeup Process Water (kg/h)</t>
  </si>
  <si>
    <t>Base Production Capacity</t>
  </si>
  <si>
    <t>Electrocatalysis Methanol Carbon Conversion Efficiency (%)</t>
  </si>
  <si>
    <t>Electrocatalysis Formate Carbon Conversion Efficiency (%)</t>
  </si>
  <si>
    <t>Electrocatalysis Methanol Faradaic Efficiency (%)</t>
  </si>
  <si>
    <t>Electrocatalysis Formate Faradaic Efficiency (%)</t>
  </si>
  <si>
    <t>Scenario</t>
  </si>
  <si>
    <t>Electricity Price</t>
  </si>
  <si>
    <t>$/kWh</t>
  </si>
  <si>
    <t>Net Present Value Calculation</t>
  </si>
  <si>
    <t>Process Water Price</t>
  </si>
  <si>
    <t>$/m^3</t>
  </si>
  <si>
    <t>Steam Price</t>
  </si>
  <si>
    <t>Carbon Dioxide Purchase</t>
  </si>
  <si>
    <t>Carbon Price</t>
  </si>
  <si>
    <t>User Specified</t>
  </si>
  <si>
    <t>Neutralization Vessel Capacity (m^3)</t>
  </si>
  <si>
    <t>10^3 Shift</t>
  </si>
  <si>
    <t>Arbitary Units</t>
  </si>
  <si>
    <t>$</t>
  </si>
  <si>
    <t>EURO</t>
  </si>
  <si>
    <t>USD</t>
  </si>
  <si>
    <t>Refrigerant Coefficient of Performance</t>
  </si>
  <si>
    <t>Capital Salvage Value</t>
  </si>
  <si>
    <t>Income Tax Rate</t>
  </si>
  <si>
    <t>Electrocatalysis Distillation Cooling Water (kg/h)</t>
  </si>
  <si>
    <t>Electrocatalysis Distillation Steam (kg/h)</t>
  </si>
  <si>
    <t>Bioreactor Methanol Concentration</t>
  </si>
  <si>
    <t>Bioreactor Formate Concentration</t>
  </si>
  <si>
    <t>Bioreactor Air Compressor (kg/h)</t>
  </si>
  <si>
    <t>Bioreactor Air Compressor Electricity  (kW)</t>
  </si>
  <si>
    <t>Bioreactor Air Cooler (kg/h)</t>
  </si>
  <si>
    <t>Bioreactor Off-Gas Condenser (kg/h)</t>
  </si>
  <si>
    <t>Biomass Gravity Belt Thickener Capacity (m^3/h)</t>
  </si>
  <si>
    <t>Bioreactor Air Compressor  ($ USD)</t>
  </si>
  <si>
    <t>Bioreactor Air Cooler ($ USD)</t>
  </si>
  <si>
    <t>Bioreactor Inlet Pump ($ USD)</t>
  </si>
  <si>
    <t>Electrocatalysis Distillation Cost ($ USD)</t>
  </si>
  <si>
    <t>Bioreactor Off-Gas Condenser ($ USD)</t>
  </si>
  <si>
    <t>Bioreactor Off-Gas Condenser Refrigerant (MJ/h)</t>
  </si>
  <si>
    <t>kg/h Water Evap.</t>
  </si>
  <si>
    <t>Additional Equipment Calculations</t>
  </si>
  <si>
    <t>L/m^2.h</t>
  </si>
  <si>
    <t>Filter Size</t>
  </si>
  <si>
    <t>Water Volume @ 25C</t>
  </si>
  <si>
    <t>Water Mass @ 25C</t>
  </si>
  <si>
    <t>Pressure Swing Adsorption Energy Calculation</t>
  </si>
  <si>
    <t>Energy for PSA</t>
  </si>
  <si>
    <t>kJ/kg of CO2</t>
  </si>
  <si>
    <t>Energy Required</t>
  </si>
  <si>
    <t>Bioreactor Air Cooler Cooling Water (kg/h)</t>
  </si>
  <si>
    <t>Neutralization Vessel Stirrer Power Calculation</t>
  </si>
  <si>
    <t>Reactor Volume</t>
  </si>
  <si>
    <t>Diameter</t>
  </si>
  <si>
    <t>Bulk Velocity</t>
  </si>
  <si>
    <t>Impeller Diameter to Tank Diameter Ratio</t>
  </si>
  <si>
    <t>Reynolds Number is assumed to be very large</t>
  </si>
  <si>
    <t>Pumping Number</t>
  </si>
  <si>
    <t>Impeller Speed</t>
  </si>
  <si>
    <t>Power Number</t>
  </si>
  <si>
    <t>Efficiency</t>
  </si>
  <si>
    <t>Power</t>
  </si>
  <si>
    <t>Density of Water @ 38 C</t>
  </si>
  <si>
    <t>revs/min</t>
  </si>
  <si>
    <t>Power Per Vessel</t>
  </si>
  <si>
    <t>Total Power</t>
  </si>
  <si>
    <t>Extraction Vessel Stirrer Power Calculation</t>
  </si>
  <si>
    <t>Per Unit?</t>
  </si>
  <si>
    <t>Nanofilter Power Calculation</t>
  </si>
  <si>
    <t>kWh/m^3</t>
  </si>
  <si>
    <t>Energy Per Flow Volume</t>
  </si>
  <si>
    <t>$/year</t>
  </si>
  <si>
    <t>lb</t>
  </si>
  <si>
    <t>Microfilter Power Calculation</t>
  </si>
  <si>
    <t>Base Operating Days</t>
  </si>
  <si>
    <t>days/year</t>
  </si>
  <si>
    <t>WesTech Quote</t>
  </si>
  <si>
    <t>Swiss Combi Quote</t>
  </si>
  <si>
    <t>ASPEN Plus</t>
  </si>
  <si>
    <t>Humbird et al. Biochem Eng. J. 2018</t>
  </si>
  <si>
    <t>Alfa Laval Quote</t>
  </si>
  <si>
    <t>GN Solids Control</t>
  </si>
  <si>
    <t>Anderson Dahlen Quote</t>
  </si>
  <si>
    <t>Alfal Laval Quote</t>
  </si>
  <si>
    <t>Harrison, R. G. Bioseparation Science and Engineering, 2015</t>
  </si>
  <si>
    <t>Sources</t>
  </si>
  <si>
    <t>Biomass and PHB Yields</t>
  </si>
  <si>
    <t>Biomass Heat of Reaction</t>
  </si>
  <si>
    <t>Bioreactor Design Process</t>
  </si>
  <si>
    <t>kLa Calculation</t>
  </si>
  <si>
    <t>Henry's Law Data</t>
  </si>
  <si>
    <t>Electrolyzer Material Costs</t>
  </si>
  <si>
    <t>Energy Usage for PSA</t>
  </si>
  <si>
    <t>Stirrer Power Calculations</t>
  </si>
  <si>
    <t>Nanofilter Energy Per Volume</t>
  </si>
  <si>
    <t>Microfilter Energy Per Volume</t>
  </si>
  <si>
    <t>Steam Utility Price</t>
  </si>
  <si>
    <t>Electrolyzer Calculations</t>
  </si>
  <si>
    <t>Sulfuric Acid Price</t>
  </si>
  <si>
    <t>Sodium Hydroxide Price</t>
  </si>
  <si>
    <t>Ammonia Price</t>
  </si>
  <si>
    <t>Acetone Price</t>
  </si>
  <si>
    <t>Methanol Catalyst Price</t>
  </si>
  <si>
    <t>Formate Catalyst Price</t>
  </si>
  <si>
    <t>Operator Wages</t>
  </si>
  <si>
    <t>Process Scenarios Lookup Table</t>
  </si>
  <si>
    <t>Carbon Flow through Process</t>
  </si>
  <si>
    <t>Sodium Formate</t>
  </si>
  <si>
    <t>Methanol Electrocatalysis In</t>
  </si>
  <si>
    <t>Formate Electrocatalysis In</t>
  </si>
  <si>
    <t>Methanol Electrocatalysis Out</t>
  </si>
  <si>
    <t>Formate Electrocatalysis Out</t>
  </si>
  <si>
    <t>Methanol Liquid Separation In</t>
  </si>
  <si>
    <t>Methanol Liquid Separation Recycle</t>
  </si>
  <si>
    <t>Formate Liquid Separation In</t>
  </si>
  <si>
    <t>Formate Liquid Separation Recycle</t>
  </si>
  <si>
    <t>Methanol Liquid Separation to Bioconversion</t>
  </si>
  <si>
    <t>Growth Reactor In</t>
  </si>
  <si>
    <t>Growth Reactor Liquid Out</t>
  </si>
  <si>
    <t>Growth Reactor Gas Out</t>
  </si>
  <si>
    <t>Accumulation Reactor In</t>
  </si>
  <si>
    <t>Accumulation Reactor Liquid Out</t>
  </si>
  <si>
    <t>Accumlation Reactor Gas Out</t>
  </si>
  <si>
    <t>Gas Separation In</t>
  </si>
  <si>
    <t>Gas Separation Recycle</t>
  </si>
  <si>
    <t>Gas Separation Loss</t>
  </si>
  <si>
    <t>Product Extraction In</t>
  </si>
  <si>
    <t>Biomass Out</t>
  </si>
  <si>
    <t>PHB Out</t>
  </si>
  <si>
    <t>Example Material Balance from ASPEN Plus</t>
  </si>
  <si>
    <t>To Bioreactors</t>
  </si>
  <si>
    <t>Product Extraction Loss</t>
  </si>
  <si>
    <t>Potassium Carbonate</t>
  </si>
  <si>
    <t>Sodium Sulfate</t>
  </si>
  <si>
    <t>Oxygen</t>
  </si>
  <si>
    <t>Nitrogen</t>
  </si>
  <si>
    <t>Water Vapor</t>
  </si>
  <si>
    <t>Hydrogen</t>
  </si>
  <si>
    <t>Methanol Recirculating (kg/h)</t>
  </si>
  <si>
    <t>HCOO Concentration</t>
  </si>
  <si>
    <t>Utility Price</t>
  </si>
  <si>
    <t>Cooling Water Price</t>
  </si>
  <si>
    <t>Input</t>
  </si>
  <si>
    <t>g/g</t>
  </si>
  <si>
    <t>Electrocatalysis Current Density</t>
  </si>
  <si>
    <t>Bioreactor Methanol to Biomass Yield</t>
  </si>
  <si>
    <t>Bioreactor Formate to Biomass Yield</t>
  </si>
  <si>
    <t>Bioreactor Methanol to PHB Yield</t>
  </si>
  <si>
    <t>Bioreactor Formate to PHB Yield</t>
  </si>
  <si>
    <t>Max Substrate Concentration</t>
  </si>
  <si>
    <t>User Specified Model Input</t>
  </si>
  <si>
    <t>Electrocatalysis Methanol CCE</t>
  </si>
  <si>
    <t>Electrocatalysis Formate CCE</t>
  </si>
  <si>
    <t>Electrocatalysis Methanol FE</t>
  </si>
  <si>
    <t>Electrocatalysis Formate FE</t>
  </si>
  <si>
    <t>Methanol Concentration</t>
  </si>
  <si>
    <t>Formate Concentration</t>
  </si>
  <si>
    <t>L-F1</t>
  </si>
  <si>
    <t>L-F2</t>
  </si>
  <si>
    <t>L-F3</t>
  </si>
  <si>
    <t>G-1</t>
  </si>
  <si>
    <t>G-2</t>
  </si>
  <si>
    <t>G-F1</t>
  </si>
  <si>
    <t>L-F4</t>
  </si>
  <si>
    <t>L-F5</t>
  </si>
  <si>
    <t>L-M1</t>
  </si>
  <si>
    <t>L-M2</t>
  </si>
  <si>
    <t>L-M3</t>
  </si>
  <si>
    <t>L-M4</t>
  </si>
  <si>
    <t>L-M5</t>
  </si>
  <si>
    <t>G-F2</t>
  </si>
  <si>
    <t>G-F3</t>
  </si>
  <si>
    <t>G-M1</t>
  </si>
  <si>
    <t>G-M2</t>
  </si>
  <si>
    <t>G-M3</t>
  </si>
  <si>
    <t>G-3</t>
  </si>
  <si>
    <t>G-4</t>
  </si>
  <si>
    <t>G-5</t>
  </si>
  <si>
    <t>L-1</t>
  </si>
  <si>
    <t>Electrocatalysis</t>
  </si>
  <si>
    <t>L-2</t>
  </si>
  <si>
    <t>L-3</t>
  </si>
  <si>
    <t>L-4</t>
  </si>
  <si>
    <t>L-5</t>
  </si>
  <si>
    <t>L-6</t>
  </si>
  <si>
    <t>L-7</t>
  </si>
  <si>
    <t>G-BR1</t>
  </si>
  <si>
    <t>G-BR2</t>
  </si>
  <si>
    <t>G-BR3</t>
  </si>
  <si>
    <t>G-BR4</t>
  </si>
  <si>
    <t>G-BR5</t>
  </si>
  <si>
    <t>CW-5</t>
  </si>
  <si>
    <t>CW-6</t>
  </si>
  <si>
    <t>CW-1</t>
  </si>
  <si>
    <t>CW-2</t>
  </si>
  <si>
    <t>CW-3</t>
  </si>
  <si>
    <t>CW-4</t>
  </si>
  <si>
    <t>SA-1</t>
  </si>
  <si>
    <t>SA-2</t>
  </si>
  <si>
    <t>G-BR6</t>
  </si>
  <si>
    <t>G-BR7</t>
  </si>
  <si>
    <t>G-BR8</t>
  </si>
  <si>
    <t>Bioconversion</t>
  </si>
  <si>
    <t>SH-1</t>
  </si>
  <si>
    <t>L-8</t>
  </si>
  <si>
    <t>WL-1</t>
  </si>
  <si>
    <t>L-9</t>
  </si>
  <si>
    <t>WL-2</t>
  </si>
  <si>
    <t>WL-3</t>
  </si>
  <si>
    <t>AIR-1</t>
  </si>
  <si>
    <t>AIR-2</t>
  </si>
  <si>
    <t>STM-1</t>
  </si>
  <si>
    <t>STM-2</t>
  </si>
  <si>
    <t>AIR-3</t>
  </si>
  <si>
    <t>L-10</t>
  </si>
  <si>
    <t>L-11</t>
  </si>
  <si>
    <t>CW-7</t>
  </si>
  <si>
    <t>CW-8</t>
  </si>
  <si>
    <t>L-12</t>
  </si>
  <si>
    <t>BM-1</t>
  </si>
  <si>
    <t>L-13</t>
  </si>
  <si>
    <t>L-14</t>
  </si>
  <si>
    <t>BM-2</t>
  </si>
  <si>
    <t>L-15</t>
  </si>
  <si>
    <t>L-16</t>
  </si>
  <si>
    <t>CW-9</t>
  </si>
  <si>
    <t>CW-10</t>
  </si>
  <si>
    <t>L-17</t>
  </si>
  <si>
    <t>PHB-1</t>
  </si>
  <si>
    <t>L-18</t>
  </si>
  <si>
    <t>PHB-2</t>
  </si>
  <si>
    <t>L-19</t>
  </si>
  <si>
    <t>AIR-4</t>
  </si>
  <si>
    <t>AIR-5</t>
  </si>
  <si>
    <t>STM-3</t>
  </si>
  <si>
    <t>STM-4</t>
  </si>
  <si>
    <t>AIR-6</t>
  </si>
  <si>
    <t>PHB-3</t>
  </si>
  <si>
    <t>L-21</t>
  </si>
  <si>
    <t>L-22</t>
  </si>
  <si>
    <t>L-23</t>
  </si>
  <si>
    <t>WL-4</t>
  </si>
  <si>
    <t>W-1</t>
  </si>
  <si>
    <t>W-2</t>
  </si>
  <si>
    <t>CW-11</t>
  </si>
  <si>
    <t>CW-12</t>
  </si>
  <si>
    <t>W-3</t>
  </si>
  <si>
    <t>W-4</t>
  </si>
  <si>
    <t>W-5</t>
  </si>
  <si>
    <t>W-6</t>
  </si>
  <si>
    <t>W-7</t>
  </si>
  <si>
    <t>W-8</t>
  </si>
  <si>
    <t>W-9</t>
  </si>
  <si>
    <t>A-1</t>
  </si>
  <si>
    <t>A-2</t>
  </si>
  <si>
    <t>A-3</t>
  </si>
  <si>
    <t>A-4</t>
  </si>
  <si>
    <t>A-5</t>
  </si>
  <si>
    <t>Total</t>
  </si>
  <si>
    <t>Temperature</t>
  </si>
  <si>
    <t>Pressure</t>
  </si>
  <si>
    <t>Sodium Formate (Buffer)</t>
  </si>
  <si>
    <t>Electrocatalysis Distillation Bottoms Cooler</t>
  </si>
  <si>
    <t>L-M6</t>
  </si>
  <si>
    <t>Electrocatalysis Bottoms Cooler Capacity (m^3/h)</t>
  </si>
  <si>
    <t>Electrocatalysis Bottoms Cooler Cost ($ USD)</t>
  </si>
  <si>
    <t>Electrocatalysis Bottoms Cooler Cooling Water (kg/h)</t>
  </si>
  <si>
    <t>CW-13</t>
  </si>
  <si>
    <t>CW-14</t>
  </si>
  <si>
    <t>AMM-1</t>
  </si>
  <si>
    <t>G-BR9</t>
  </si>
  <si>
    <t>G-BR10</t>
  </si>
  <si>
    <t>Cooling Water</t>
  </si>
  <si>
    <t>STM-5</t>
  </si>
  <si>
    <t>STM-6</t>
  </si>
  <si>
    <t>L-20</t>
  </si>
  <si>
    <t>Product Extraction and Purification</t>
  </si>
  <si>
    <t>The data presented here is a lookup table with data from the ASPEN Plus model and key operating parameters that cannot be calculated directly. Here, initial parameters are specified as well. For the "User Specified" scenario, data can be input on the Summary Table tab and additional variables are calculated based off a scaling from the "Future Technology, Medium Carbon Scenario."</t>
  </si>
  <si>
    <t>$M USD</t>
  </si>
  <si>
    <t>Annual Maintenance ($M USD/year)</t>
  </si>
  <si>
    <t>$M USD/year</t>
  </si>
  <si>
    <t>Administrative &amp; Maintenance Operating Cost</t>
  </si>
  <si>
    <t>Total Equipment &amp; Capital Costs</t>
  </si>
  <si>
    <t>Product Credit &amp; Operating Credit</t>
  </si>
  <si>
    <t>Feedstock &amp; Material Handling Cost</t>
  </si>
  <si>
    <t>Electricity Operating Cost</t>
  </si>
  <si>
    <t>Cooling Water Operating Cost</t>
  </si>
  <si>
    <t>Steam Operating Cost</t>
  </si>
  <si>
    <t>Miscellaneous Operating Cost</t>
  </si>
  <si>
    <t>% Of Total Capital Expense</t>
  </si>
  <si>
    <t>Net Present Value</t>
  </si>
  <si>
    <t>Net Operating Expenses</t>
  </si>
  <si>
    <t>Net Depreciable Capital Expenses</t>
  </si>
  <si>
    <t>Operating Expenses</t>
  </si>
  <si>
    <t>Operating Credits</t>
  </si>
  <si>
    <t>Economics &amp; Net Present Value Calculations</t>
  </si>
  <si>
    <t>Equipment &amp; Capital Costs</t>
  </si>
  <si>
    <t>Note: Numbers are slighly off of values from ASPEN Plus model since values are scaled based on conversions.</t>
  </si>
  <si>
    <t>All units in kmol/h</t>
  </si>
  <si>
    <t>Note: The table below is for reference, do not modify.</t>
  </si>
  <si>
    <t>Economic Variables</t>
  </si>
  <si>
    <t>Utilities</t>
  </si>
  <si>
    <t>Feedstock Prices &amp; Product Credits</t>
  </si>
  <si>
    <t>Operating Variables</t>
  </si>
  <si>
    <t>Key Operating Variables for Chosen Scenario</t>
  </si>
  <si>
    <t>of Capital Expenses</t>
  </si>
  <si>
    <t>Constant</t>
  </si>
  <si>
    <t>Symbol</t>
  </si>
  <si>
    <t>Definition</t>
  </si>
  <si>
    <t>Design Calculations for Process</t>
  </si>
  <si>
    <t>Key calculated values are denoted by:</t>
  </si>
  <si>
    <t>Calculations for the material, energy, and economic balance are provide below. All values are calculated based on user input from the Summary Table. A description of each calculation is provided before each subsection.</t>
  </si>
  <si>
    <t>OR</t>
  </si>
  <si>
    <t>Scenarios from this Present Work</t>
  </si>
  <si>
    <t>Scenario Input</t>
  </si>
  <si>
    <t>Process Variables Input</t>
  </si>
  <si>
    <t>For Sensitivity Analysis</t>
  </si>
  <si>
    <t xml:space="preserve">Scaling Variables </t>
  </si>
  <si>
    <t>Key Design Features</t>
  </si>
  <si>
    <t>Summary Table &amp; User Input</t>
  </si>
  <si>
    <t>User Inputs Instructions: Choose a scenario with preset values or specify the "User Specified" scenario and inout custom numbers. For sensitivity analysis of different variables, adjust the table in the "Process Variables Input" section. Finally, the user must use Goal-Seek to set bioth target functions to 0 in order to properly size the bioreactors.</t>
  </si>
  <si>
    <t>Goal-Seek for Bioreactor Design</t>
  </si>
  <si>
    <t>A summary of the key calculations and economics are presented below, based on the user input given above. Do not adjust these values.</t>
  </si>
  <si>
    <t>User inputs are denoted by tables in:</t>
  </si>
  <si>
    <t>Summary table of key values denoted by tables in:</t>
  </si>
  <si>
    <t>Inlet and outlet streams are denoted by columns in:</t>
  </si>
  <si>
    <t>Individual units and costs are denoted by columns in:</t>
  </si>
  <si>
    <t>Overall expenses are denoted by cells in:</t>
  </si>
  <si>
    <t>Full Process</t>
  </si>
  <si>
    <t>Variable to Vary</t>
  </si>
  <si>
    <t>Bioreactor</t>
  </si>
  <si>
    <t>Constants &amp; Conversions</t>
  </si>
  <si>
    <t>Units:</t>
  </si>
  <si>
    <t>C</t>
  </si>
  <si>
    <t>Bar</t>
  </si>
  <si>
    <t>Material Balances</t>
  </si>
  <si>
    <t>Electrocatalysis Process</t>
  </si>
  <si>
    <t>Plant Life</t>
  </si>
  <si>
    <t>years</t>
  </si>
  <si>
    <t>Yield</t>
  </si>
  <si>
    <t>Yield of Biomass from Formate</t>
  </si>
  <si>
    <t>Yield of Biomass from Methanol</t>
  </si>
  <si>
    <t>Yield of PHB from Methanol</t>
  </si>
  <si>
    <t>Yield of PHB from Formate</t>
  </si>
  <si>
    <t>Cost per Part ($ USD)</t>
  </si>
  <si>
    <t>Number of Parts</t>
  </si>
  <si>
    <t>Overall Substrate to Biomass Yield</t>
  </si>
  <si>
    <t>Overall Substrate to PHB Yield</t>
  </si>
  <si>
    <t>Total Heat Generated</t>
  </si>
  <si>
    <t>Variables</t>
  </si>
  <si>
    <t>Note: All capacity upper limits for the equipment and capital costs are user specified and can be changed as needed.</t>
  </si>
  <si>
    <t>Variables for Gas Velocity Calculation</t>
  </si>
  <si>
    <t>Bioreactor Energy Balance</t>
  </si>
  <si>
    <t>BOLD</t>
  </si>
  <si>
    <t>ITALICS</t>
  </si>
  <si>
    <t>Equation</t>
  </si>
  <si>
    <t>dXV/dt = Q,out + u.X.V</t>
  </si>
  <si>
    <t>Q,out</t>
  </si>
  <si>
    <t>Key Input variables are denoted by:</t>
  </si>
  <si>
    <t>Growth Reactor Oxygen Mass Transfer Calculation</t>
  </si>
  <si>
    <t>Accumulation Reactor Oxygen Mass Transfer Calculation</t>
  </si>
  <si>
    <t>Henry Solubility</t>
  </si>
  <si>
    <t>mol/kg.bar</t>
  </si>
  <si>
    <t>Temperature Dependence Constant</t>
  </si>
  <si>
    <t xml:space="preserve">Final Reactor Volume </t>
  </si>
  <si>
    <t>Reactor</t>
  </si>
  <si>
    <t>Volume</t>
  </si>
  <si>
    <t>Volume (m^3)</t>
  </si>
  <si>
    <t>kLa Calculation for Oxygen, assuming Water Properties @ 38 C</t>
  </si>
  <si>
    <t>Heat Generated Per Reactor</t>
  </si>
  <si>
    <t>Yields</t>
  </si>
  <si>
    <t>Overall Yields</t>
  </si>
  <si>
    <t>Source</t>
  </si>
  <si>
    <t>Overall Biomass Yield</t>
  </si>
  <si>
    <t>Overall PHB Yield</t>
  </si>
  <si>
    <t>Growth Reactor Heat Generated</t>
  </si>
  <si>
    <t>Accumulation Reactor Heat Generated</t>
  </si>
  <si>
    <t>Growth Reactor Height</t>
  </si>
  <si>
    <t>Growth Reactor Diameter</t>
  </si>
  <si>
    <t>Accumulation Reactor Diameter</t>
  </si>
  <si>
    <t>Accumulation Reactor Height</t>
  </si>
  <si>
    <t>Methanol Electrolyzer Power Required</t>
  </si>
  <si>
    <t>Methanol Electrolyzer Area</t>
  </si>
  <si>
    <t>Methanol Catalyst Requirement Per Year</t>
  </si>
  <si>
    <t>Formate Electrolyzer Power Required</t>
  </si>
  <si>
    <t>Formate Electrolyzer Area</t>
  </si>
  <si>
    <t>Formate Catalyst Requirement Per Year</t>
  </si>
  <si>
    <t xml:space="preserve">Methanol Electrolyzer Cost </t>
  </si>
  <si>
    <t>$/m^2</t>
  </si>
  <si>
    <t>Formate Electrolyzer Cost</t>
  </si>
  <si>
    <t>Key Economic Results</t>
  </si>
  <si>
    <t>Cost</t>
  </si>
  <si>
    <t>Price</t>
  </si>
  <si>
    <t>Output</t>
  </si>
  <si>
    <t>Consumed</t>
  </si>
  <si>
    <t>Recycled</t>
  </si>
  <si>
    <t>Overall Stoichiometric Carbon Balance</t>
  </si>
  <si>
    <t>Losses</t>
  </si>
  <si>
    <t>mol</t>
  </si>
  <si>
    <t>Chemical Engineering Cost Indices</t>
  </si>
  <si>
    <t>Cost Index</t>
  </si>
  <si>
    <t>Electrocatalysis Subprocess</t>
  </si>
  <si>
    <t>Methanol Credit</t>
  </si>
  <si>
    <t>Sodium Formate Credit</t>
  </si>
  <si>
    <t>Knockout Drum</t>
  </si>
  <si>
    <t>Full Process Variables</t>
  </si>
  <si>
    <t>Electrocatalysis Subprocess Variables</t>
  </si>
  <si>
    <t>Knockout Drum Capacity (m^3/h)</t>
  </si>
  <si>
    <t>Knockout Drum Cost ($ USD)</t>
  </si>
  <si>
    <t>Knockout Drum Steam (kg/h)</t>
  </si>
  <si>
    <t>Carbon Dioxide Fraction to PSA (mol/mol))</t>
  </si>
  <si>
    <t>Carbon Dioxide Fraction to PSA (mol/mol)</t>
  </si>
  <si>
    <t>Heat of Vaporization for Water @ 100 C</t>
  </si>
  <si>
    <t>kJ/kg</t>
  </si>
  <si>
    <t>For Full Process</t>
  </si>
  <si>
    <t>For Electrocatalysis Subprocess</t>
  </si>
  <si>
    <t>Bioconversion Subprocess Variables</t>
  </si>
  <si>
    <t>Water to Bioreactor (kg/h)</t>
  </si>
  <si>
    <t>Water Recycled to Bioreactor (kg/h)</t>
  </si>
  <si>
    <t>Methanol Out</t>
  </si>
  <si>
    <t>Formate Out</t>
  </si>
  <si>
    <t>Methanol Liquid Separation Product</t>
  </si>
  <si>
    <t>Formate Liquid Separation Product</t>
  </si>
  <si>
    <t>Substrate to Bioreactors</t>
  </si>
  <si>
    <t>Gas Losses</t>
  </si>
  <si>
    <t>Additional Hydrothermal Liquefaction</t>
  </si>
  <si>
    <t>Hydrothermal Liquefaction</t>
  </si>
  <si>
    <t>Hydroprocessing</t>
  </si>
  <si>
    <t>Product Refining</t>
  </si>
  <si>
    <t>Steam Plant</t>
  </si>
  <si>
    <t>Auxiliaries</t>
  </si>
  <si>
    <t>Land</t>
  </si>
  <si>
    <t>Biomass Feedsock</t>
  </si>
  <si>
    <t>Catalysts and Chemicals</t>
  </si>
  <si>
    <t>Hydrogen Gas</t>
  </si>
  <si>
    <t>Waste Disposal</t>
  </si>
  <si>
    <t>Gasoline</t>
  </si>
  <si>
    <t>Diesel</t>
  </si>
  <si>
    <t>tonne Biomass/day</t>
  </si>
  <si>
    <t>/Day</t>
  </si>
  <si>
    <t>Ou et al. Biomass and Bioenergy, 2014</t>
  </si>
  <si>
    <t>Reference Usage</t>
  </si>
  <si>
    <t>Utility Units</t>
  </si>
  <si>
    <t>tonne/day</t>
  </si>
  <si>
    <t>Utility</t>
  </si>
  <si>
    <t>lb/ytear</t>
  </si>
  <si>
    <t>Reference Cost</t>
  </si>
  <si>
    <t>Administrative and Maintenance Operating Cost</t>
  </si>
  <si>
    <t>$/gal</t>
  </si>
  <si>
    <t>m^3/year</t>
  </si>
  <si>
    <t>NPV with HTL</t>
  </si>
  <si>
    <t>Bioreactor Inlet Pump Electricity (kW)</t>
  </si>
  <si>
    <t>Specific Heat Capacity of Water @ 25 C</t>
  </si>
  <si>
    <t>J/kg.K</t>
  </si>
  <si>
    <t>Reference Molar Flow Rate to Distillation</t>
  </si>
  <si>
    <t>Reference Molar Flow Rate of Vapor in Distillation</t>
  </si>
  <si>
    <t>User Specified Steam Requirement for Electrocatalysis Distillation</t>
  </si>
  <si>
    <t>Calculated Molar Flow Rate of Distillate</t>
  </si>
  <si>
    <t>Calculated Molar Flow Rate of Vapor in Distillation</t>
  </si>
  <si>
    <t>Steam Compressor Capacity (kg/h)</t>
  </si>
  <si>
    <t>Steam Compressor Electricity (kW)</t>
  </si>
  <si>
    <t>Steam Compressor</t>
  </si>
  <si>
    <t>Utility Costs</t>
  </si>
  <si>
    <t>Costs for individual equipment units and operating processes are provided, along with all factors and scaling that went into determining the final NPV calculation. NPV was calculated for: the full process, the electrocatalysis subprocess, the bioconversion subprocess, and the full process with an additional hydrothermal liquefaction subprocess.</t>
  </si>
  <si>
    <t>The flow of the process carbon is shown in the table below as it passes through major subprocces. The carbon flow is provided for: the full process, the electrocatalysis subprocess, and the bioconversion subprocess. All quantities are molar to allow for easy comparison and calculation of conversions.</t>
  </si>
  <si>
    <t>Conversions used in the calculations are provided below. In addition, the molecular weights of the species used in calculations are provided. Finally, universal constants and miscellaneous constants were included.</t>
  </si>
  <si>
    <t>Carbon Tax or ETS?</t>
  </si>
  <si>
    <t>Jurisdiction</t>
  </si>
  <si>
    <t>ETS</t>
  </si>
  <si>
    <t>Carbon tax</t>
  </si>
  <si>
    <t>N/A</t>
  </si>
  <si>
    <t>The value of market variables under different scenarios are provided here. Costs of steam and electricity utilities are provided as reference. Information on global carbon pricing schemes where an effective cost can be calculated are provided as well.</t>
  </si>
  <si>
    <t>Canada</t>
  </si>
  <si>
    <t>Chile</t>
  </si>
  <si>
    <t>Colombia</t>
  </si>
  <si>
    <t>Denmark</t>
  </si>
  <si>
    <t>European Union</t>
  </si>
  <si>
    <t>Estonia</t>
  </si>
  <si>
    <t>Finland (Transport Fuels)</t>
  </si>
  <si>
    <t>Finland (Other Fossil Fuels)</t>
  </si>
  <si>
    <t>Argentina (Most Liquid Fuels)</t>
  </si>
  <si>
    <t>Carbon Tax</t>
  </si>
  <si>
    <t>France</t>
  </si>
  <si>
    <t>Germany</t>
  </si>
  <si>
    <t>Iceland</t>
  </si>
  <si>
    <t>Japan</t>
  </si>
  <si>
    <t>Latvia</t>
  </si>
  <si>
    <t>Liechtenstein</t>
  </si>
  <si>
    <t>Mexico (Upper Bound)</t>
  </si>
  <si>
    <t>Mexico (Lower Bound)</t>
  </si>
  <si>
    <t>New Zealand</t>
  </si>
  <si>
    <t>Norway (Upper Bound)</t>
  </si>
  <si>
    <t>Norway (Lower Bound)</t>
  </si>
  <si>
    <t>Poland</t>
  </si>
  <si>
    <t>Portugal</t>
  </si>
  <si>
    <t>Singapore</t>
  </si>
  <si>
    <t>Slovenia</t>
  </si>
  <si>
    <t>South Africa</t>
  </si>
  <si>
    <t>Spain</t>
  </si>
  <si>
    <t>Sweden</t>
  </si>
  <si>
    <t>United Kingdom</t>
  </si>
  <si>
    <t>Ukraine</t>
  </si>
  <si>
    <t>Switzerland (ETS)</t>
  </si>
  <si>
    <t>Switzerland (Carbon Tax)</t>
  </si>
  <si>
    <t>Tokyo, Japan</t>
  </si>
  <si>
    <t>Beijing, China</t>
  </si>
  <si>
    <t>California, USA</t>
  </si>
  <si>
    <t>Chongqing, China</t>
  </si>
  <si>
    <t>Fujian, China</t>
  </si>
  <si>
    <t>Guangdong, China</t>
  </si>
  <si>
    <t>Hubei, China</t>
  </si>
  <si>
    <t>Shanghai, China</t>
  </si>
  <si>
    <t>Shenzhen, China</t>
  </si>
  <si>
    <t>Alberta, Canada</t>
  </si>
  <si>
    <t>British Columbia, Canada</t>
  </si>
  <si>
    <t>South Korea</t>
  </si>
  <si>
    <t>Massachusetts, USA</t>
  </si>
  <si>
    <t>Prince Edward Island, Canada</t>
  </si>
  <si>
    <t>Quebec, Canada</t>
  </si>
  <si>
    <t>RGGI, USA</t>
  </si>
  <si>
    <t>Saitama, Japan</t>
  </si>
  <si>
    <t>Tianjin, China</t>
  </si>
  <si>
    <t>Mexico (Average)</t>
  </si>
  <si>
    <t>Norway (Average)</t>
  </si>
  <si>
    <t>Ireland (Transport Fuels)</t>
  </si>
  <si>
    <t>Kazakhstan</t>
  </si>
  <si>
    <t>Newfoundland and Labrador, Canada</t>
  </si>
  <si>
    <t>Northwest Territories, Canada</t>
  </si>
  <si>
    <t>Price as of Aug. 2020 ($ USD/tonne of CO2)</t>
  </si>
  <si>
    <t>Global Carbon Prices</t>
  </si>
  <si>
    <t>OR User Specified</t>
  </si>
  <si>
    <t>Market Variable Data</t>
  </si>
  <si>
    <t>Cost Breakdown by Major Subprocess</t>
  </si>
  <si>
    <t>Subprocess</t>
  </si>
  <si>
    <t>Capital Cost ($M USD)</t>
  </si>
  <si>
    <t>Operating Cost ($M USD/year)</t>
  </si>
  <si>
    <t>Liquid Separation</t>
  </si>
  <si>
    <t>Gas Separation</t>
  </si>
  <si>
    <t>Bioproduct Recovery and Purification</t>
  </si>
  <si>
    <t>Solids Handling Cost</t>
  </si>
  <si>
    <t>Process Water Cost</t>
  </si>
  <si>
    <t>Cooling Water Utility Price</t>
  </si>
  <si>
    <t>Biomass Price</t>
  </si>
  <si>
    <t>PHB Price</t>
  </si>
  <si>
    <t>Maintenance Expense</t>
  </si>
  <si>
    <t>Administrative Expenses</t>
  </si>
  <si>
    <t>Methanol Price</t>
  </si>
  <si>
    <t>Sodium Formate Price</t>
  </si>
  <si>
    <t>Electrolyzer Lang Factor</t>
  </si>
  <si>
    <t>General Lang Factor</t>
  </si>
  <si>
    <t>Equipment Scaling Factors</t>
  </si>
  <si>
    <t>Operators for Electrolyzer</t>
  </si>
  <si>
    <t>Operators for General Equipment</t>
  </si>
  <si>
    <t>Hydrogen Gas Price</t>
  </si>
  <si>
    <t>Gasoline Price</t>
  </si>
  <si>
    <t>Diesel Price</t>
  </si>
  <si>
    <t>Chemical Engineering Index</t>
  </si>
  <si>
    <t>Natural Gas Price</t>
  </si>
  <si>
    <t>Steam Price Calculation</t>
  </si>
  <si>
    <t>USA Average Electricity Price</t>
  </si>
  <si>
    <t>PV Electricity Price</t>
  </si>
  <si>
    <t>Onshore Wind Electricity Price</t>
  </si>
  <si>
    <t>Record PV Price</t>
  </si>
  <si>
    <t>IRENA Electricity Projection</t>
  </si>
  <si>
    <t>Hydrothermal Liquefaction Expenses</t>
  </si>
  <si>
    <r>
      <t>$/tonne of CO</t>
    </r>
    <r>
      <rPr>
        <sz val="8"/>
        <color theme="1"/>
        <rFont val="Calibri (Body)"/>
      </rPr>
      <t>2</t>
    </r>
  </si>
  <si>
    <r>
      <t>Makeup CO</t>
    </r>
    <r>
      <rPr>
        <b/>
        <sz val="8"/>
        <color theme="1"/>
        <rFont val="Calibri (Body)"/>
      </rPr>
      <t>2</t>
    </r>
    <r>
      <rPr>
        <b/>
        <sz val="12"/>
        <color theme="1"/>
        <rFont val="Calibri"/>
        <family val="2"/>
        <scheme val="minor"/>
      </rPr>
      <t xml:space="preserve"> In</t>
    </r>
  </si>
  <si>
    <r>
      <t>CO</t>
    </r>
    <r>
      <rPr>
        <b/>
        <sz val="8"/>
        <color theme="1"/>
        <rFont val="Calibri (Body)"/>
      </rPr>
      <t>2</t>
    </r>
    <r>
      <rPr>
        <b/>
        <sz val="12"/>
        <color theme="1"/>
        <rFont val="Calibri"/>
        <family val="2"/>
        <scheme val="minor"/>
      </rPr>
      <t xml:space="preserve"> Feed</t>
    </r>
  </si>
  <si>
    <r>
      <t>CH</t>
    </r>
    <r>
      <rPr>
        <b/>
        <sz val="8"/>
        <color theme="1"/>
        <rFont val="Calibri (Body)"/>
      </rPr>
      <t>3</t>
    </r>
    <r>
      <rPr>
        <b/>
        <sz val="12"/>
        <color theme="1"/>
        <rFont val="Calibri"/>
        <family val="2"/>
        <scheme val="minor"/>
      </rPr>
      <t>OH</t>
    </r>
  </si>
  <si>
    <r>
      <t>NH</t>
    </r>
    <r>
      <rPr>
        <b/>
        <sz val="8"/>
        <color theme="1"/>
        <rFont val="Calibri (Body)"/>
      </rPr>
      <t>3</t>
    </r>
  </si>
  <si>
    <r>
      <t>O</t>
    </r>
    <r>
      <rPr>
        <b/>
        <sz val="8"/>
        <color theme="1"/>
        <rFont val="Calibri (Body)"/>
      </rPr>
      <t>2</t>
    </r>
  </si>
  <si>
    <r>
      <t>CO</t>
    </r>
    <r>
      <rPr>
        <b/>
        <sz val="8"/>
        <color theme="1"/>
        <rFont val="Calibri (Body)"/>
      </rPr>
      <t>2</t>
    </r>
  </si>
  <si>
    <r>
      <t>CH</t>
    </r>
    <r>
      <rPr>
        <sz val="8"/>
        <color theme="1"/>
        <rFont val="Calibri (Body)"/>
      </rPr>
      <t>3</t>
    </r>
    <r>
      <rPr>
        <sz val="12"/>
        <color theme="1"/>
        <rFont val="Calibri"/>
        <family val="2"/>
        <scheme val="minor"/>
      </rPr>
      <t>OH</t>
    </r>
  </si>
  <si>
    <r>
      <t>O</t>
    </r>
    <r>
      <rPr>
        <sz val="8"/>
        <color theme="1"/>
        <rFont val="Calibri (Body)"/>
      </rPr>
      <t>2</t>
    </r>
  </si>
  <si>
    <r>
      <t>NH</t>
    </r>
    <r>
      <rPr>
        <sz val="8"/>
        <color theme="1"/>
        <rFont val="Calibri (Body)"/>
      </rPr>
      <t>3</t>
    </r>
  </si>
  <si>
    <r>
      <t>CO</t>
    </r>
    <r>
      <rPr>
        <sz val="8"/>
        <color theme="1"/>
        <rFont val="Calibri (Body)"/>
      </rPr>
      <t>2</t>
    </r>
  </si>
  <si>
    <r>
      <t>H</t>
    </r>
    <r>
      <rPr>
        <sz val="8"/>
        <color theme="1"/>
        <rFont val="Calibri (Body)"/>
      </rPr>
      <t>2</t>
    </r>
    <r>
      <rPr>
        <sz val="12"/>
        <color theme="1"/>
        <rFont val="Calibri"/>
        <family val="2"/>
        <scheme val="minor"/>
      </rPr>
      <t>O</t>
    </r>
  </si>
  <si>
    <r>
      <t>CH</t>
    </r>
    <r>
      <rPr>
        <sz val="8"/>
        <color theme="1"/>
        <rFont val="Calibri (Body)"/>
      </rPr>
      <t>3</t>
    </r>
    <r>
      <rPr>
        <sz val="12"/>
        <color theme="1"/>
        <rFont val="Calibri"/>
        <family val="2"/>
        <scheme val="minor"/>
      </rPr>
      <t>OH Concentration</t>
    </r>
  </si>
  <si>
    <r>
      <t>Max CH</t>
    </r>
    <r>
      <rPr>
        <sz val="8"/>
        <color theme="1"/>
        <rFont val="Calibri (Body)"/>
      </rPr>
      <t>3</t>
    </r>
    <r>
      <rPr>
        <sz val="12"/>
        <color theme="1"/>
        <rFont val="Calibri"/>
        <family val="2"/>
        <scheme val="minor"/>
      </rPr>
      <t>OH Concentration</t>
    </r>
  </si>
  <si>
    <r>
      <t>H</t>
    </r>
    <r>
      <rPr>
        <b/>
        <sz val="8"/>
        <color theme="1"/>
        <rFont val="Calibri (Body)"/>
      </rPr>
      <t>r,biomass</t>
    </r>
  </si>
  <si>
    <r>
      <t>H</t>
    </r>
    <r>
      <rPr>
        <b/>
        <sz val="8"/>
        <color theme="1"/>
        <rFont val="Calibri (Body)"/>
      </rPr>
      <t>r,PHB</t>
    </r>
  </si>
  <si>
    <r>
      <t>H</t>
    </r>
    <r>
      <rPr>
        <b/>
        <sz val="8"/>
        <color theme="1"/>
        <rFont val="Calibri (Body)"/>
      </rPr>
      <t>r,combustion</t>
    </r>
  </si>
  <si>
    <r>
      <t>Density CH</t>
    </r>
    <r>
      <rPr>
        <sz val="8"/>
        <color theme="1"/>
        <rFont val="Calibri (Body)"/>
      </rPr>
      <t>3</t>
    </r>
    <r>
      <rPr>
        <sz val="12"/>
        <color theme="1"/>
        <rFont val="Calibri"/>
        <family val="2"/>
        <scheme val="minor"/>
      </rPr>
      <t>OH @ 40 C</t>
    </r>
  </si>
  <si>
    <r>
      <t>O</t>
    </r>
    <r>
      <rPr>
        <sz val="8"/>
        <color theme="1"/>
        <rFont val="Calibri (Body)"/>
      </rPr>
      <t>2</t>
    </r>
    <r>
      <rPr>
        <sz val="12"/>
        <color theme="1"/>
        <rFont val="Calibri"/>
        <family val="2"/>
        <scheme val="minor"/>
      </rPr>
      <t xml:space="preserve"> Conc. In Liquid</t>
    </r>
  </si>
  <si>
    <r>
      <t>Log Mean O</t>
    </r>
    <r>
      <rPr>
        <sz val="8"/>
        <color theme="1"/>
        <rFont val="Calibri (Body)"/>
      </rPr>
      <t>2</t>
    </r>
    <r>
      <rPr>
        <sz val="12"/>
        <color theme="1"/>
        <rFont val="Calibri"/>
        <family val="2"/>
        <scheme val="minor"/>
      </rPr>
      <t xml:space="preserve"> Concentration in Liquid</t>
    </r>
  </si>
  <si>
    <r>
      <t>P</t>
    </r>
    <r>
      <rPr>
        <sz val="8"/>
        <color theme="1"/>
        <rFont val="Calibri (Body)"/>
      </rPr>
      <t>in</t>
    </r>
  </si>
  <si>
    <r>
      <t>T</t>
    </r>
    <r>
      <rPr>
        <sz val="8"/>
        <color theme="1"/>
        <rFont val="Calibri (Body)"/>
      </rPr>
      <t>in</t>
    </r>
  </si>
  <si>
    <r>
      <t>C</t>
    </r>
    <r>
      <rPr>
        <sz val="8"/>
        <color theme="1"/>
        <rFont val="Calibri (Body)"/>
      </rPr>
      <t>in</t>
    </r>
  </si>
  <si>
    <r>
      <t>C</t>
    </r>
    <r>
      <rPr>
        <sz val="8"/>
        <color theme="1"/>
        <rFont val="Calibri (Body)"/>
      </rPr>
      <t>O2,in,frac</t>
    </r>
  </si>
  <si>
    <r>
      <t>C</t>
    </r>
    <r>
      <rPr>
        <sz val="8"/>
        <color theme="1"/>
        <rFont val="Calibri (Body)"/>
      </rPr>
      <t>O2,in,mol</t>
    </r>
  </si>
  <si>
    <r>
      <t>C</t>
    </r>
    <r>
      <rPr>
        <sz val="8"/>
        <color theme="1"/>
        <rFont val="Calibri (Body)"/>
      </rPr>
      <t>O2,in,mass</t>
    </r>
  </si>
  <si>
    <r>
      <t>P</t>
    </r>
    <r>
      <rPr>
        <sz val="8"/>
        <color theme="1"/>
        <rFont val="Calibri (Body)"/>
      </rPr>
      <t>out</t>
    </r>
  </si>
  <si>
    <r>
      <t>T</t>
    </r>
    <r>
      <rPr>
        <sz val="8"/>
        <color theme="1"/>
        <rFont val="Calibri (Body)"/>
      </rPr>
      <t>out</t>
    </r>
  </si>
  <si>
    <r>
      <t>C</t>
    </r>
    <r>
      <rPr>
        <sz val="8"/>
        <color theme="1"/>
        <rFont val="Calibri (Body)"/>
      </rPr>
      <t>out</t>
    </r>
  </si>
  <si>
    <r>
      <t>C</t>
    </r>
    <r>
      <rPr>
        <sz val="8"/>
        <color theme="1"/>
        <rFont val="Calibri (Body)"/>
      </rPr>
      <t>O2,out,frac</t>
    </r>
  </si>
  <si>
    <r>
      <t>C</t>
    </r>
    <r>
      <rPr>
        <sz val="8"/>
        <color theme="1"/>
        <rFont val="Calibri (Body)"/>
      </rPr>
      <t>O2,out,mol</t>
    </r>
  </si>
  <si>
    <r>
      <t>C</t>
    </r>
    <r>
      <rPr>
        <sz val="8"/>
        <color theme="1"/>
        <rFont val="Calibri (Body)"/>
      </rPr>
      <t>O2,out,mass</t>
    </r>
  </si>
  <si>
    <r>
      <t>C</t>
    </r>
    <r>
      <rPr>
        <sz val="8"/>
        <color theme="1"/>
        <rFont val="Calibri (Body)"/>
      </rPr>
      <t>La</t>
    </r>
  </si>
  <si>
    <r>
      <t>C</t>
    </r>
    <r>
      <rPr>
        <sz val="8"/>
        <color theme="1"/>
        <rFont val="Calibri (Body)"/>
      </rPr>
      <t>Ga</t>
    </r>
  </si>
  <si>
    <r>
      <t>C</t>
    </r>
    <r>
      <rPr>
        <sz val="8"/>
        <color theme="1"/>
        <rFont val="Calibri (Body)"/>
      </rPr>
      <t>L,LM</t>
    </r>
  </si>
  <si>
    <r>
      <t>N</t>
    </r>
    <r>
      <rPr>
        <sz val="8"/>
        <color theme="1"/>
        <rFont val="Calibri (Body)"/>
      </rPr>
      <t>O2</t>
    </r>
  </si>
  <si>
    <r>
      <t>N</t>
    </r>
    <r>
      <rPr>
        <sz val="8"/>
        <color theme="1"/>
        <rFont val="Calibri (Body)"/>
      </rPr>
      <t>reactors</t>
    </r>
  </si>
  <si>
    <t>Liquid Volume</t>
  </si>
  <si>
    <t>Working Volume</t>
  </si>
  <si>
    <t>Head Space</t>
  </si>
  <si>
    <t>Total Volume</t>
  </si>
  <si>
    <t>Volume per Reactor</t>
  </si>
  <si>
    <t>Height:Diameter Ratio</t>
  </si>
  <si>
    <t>Reactor Height</t>
  </si>
  <si>
    <t>Working Height</t>
  </si>
  <si>
    <t>Bubble Path Length</t>
  </si>
  <si>
    <t>Draft Tube Diameter</t>
  </si>
  <si>
    <t>Draft Tube Cross-Sectional Area</t>
  </si>
  <si>
    <t>Superficial Gas Velocity</t>
  </si>
  <si>
    <t>Log Mean Temperature</t>
  </si>
  <si>
    <t>Heat Removed by Cooling Jacket</t>
  </si>
  <si>
    <t>Cooling Jacket Heat Transfer Coefficient</t>
  </si>
  <si>
    <t>Heat Removed by Draft Tube Cooling Jacket</t>
  </si>
  <si>
    <t>Heat Removed by Cooling Coils</t>
  </si>
  <si>
    <r>
      <t>CO</t>
    </r>
    <r>
      <rPr>
        <b/>
        <sz val="8"/>
        <color theme="1"/>
        <rFont val="Calibri (Body)"/>
      </rPr>
      <t>2</t>
    </r>
    <r>
      <rPr>
        <b/>
        <sz val="12"/>
        <color theme="1"/>
        <rFont val="Calibri"/>
        <family val="2"/>
        <scheme val="minor"/>
      </rPr>
      <t xml:space="preserve"> Throughput</t>
    </r>
  </si>
  <si>
    <t>Filter Capacity</t>
  </si>
  <si>
    <t>Filter Throughput</t>
  </si>
  <si>
    <r>
      <t>Ratio of CO</t>
    </r>
    <r>
      <rPr>
        <b/>
        <sz val="8"/>
        <color theme="1"/>
        <rFont val="Calibri (Body)"/>
      </rPr>
      <t>2</t>
    </r>
    <r>
      <rPr>
        <b/>
        <sz val="12"/>
        <color theme="1"/>
        <rFont val="Calibri"/>
        <family val="2"/>
        <scheme val="minor"/>
      </rPr>
      <t xml:space="preserve"> to Water</t>
    </r>
  </si>
  <si>
    <r>
      <t>Ratio of CO</t>
    </r>
    <r>
      <rPr>
        <b/>
        <sz val="8"/>
        <color theme="1"/>
        <rFont val="Calibri (Body)"/>
      </rPr>
      <t>2</t>
    </r>
    <r>
      <rPr>
        <b/>
        <sz val="12"/>
        <color theme="1"/>
        <rFont val="Calibri"/>
        <family val="2"/>
        <scheme val="minor"/>
      </rPr>
      <t xml:space="preserve"> to KHCO</t>
    </r>
    <r>
      <rPr>
        <b/>
        <sz val="8"/>
        <color theme="1"/>
        <rFont val="Calibri (Body)"/>
      </rPr>
      <t>3</t>
    </r>
  </si>
  <si>
    <t>Henry's Constant for Solubility in Water @ 298 K</t>
  </si>
  <si>
    <r>
      <t>H</t>
    </r>
    <r>
      <rPr>
        <sz val="8"/>
        <color rgb="FF000000"/>
        <rFont val="Calibri (Body)"/>
      </rPr>
      <t>cp,amb</t>
    </r>
  </si>
  <si>
    <r>
      <t>H</t>
    </r>
    <r>
      <rPr>
        <sz val="8"/>
        <color rgb="FF000000"/>
        <rFont val="Calibri (Body)"/>
      </rPr>
      <t>cp</t>
    </r>
    <r>
      <rPr>
        <sz val="12"/>
        <color rgb="FF000000"/>
        <rFont val="Calibri"/>
        <family val="2"/>
        <scheme val="minor"/>
      </rPr>
      <t xml:space="preserve"> @ 38 C</t>
    </r>
  </si>
  <si>
    <r>
      <t>H</t>
    </r>
    <r>
      <rPr>
        <sz val="8"/>
        <color rgb="FF000000"/>
        <rFont val="Calibri (Body)"/>
      </rPr>
      <t>cc</t>
    </r>
  </si>
  <si>
    <r>
      <t>Pressure Swing Adsorption CO</t>
    </r>
    <r>
      <rPr>
        <b/>
        <sz val="8"/>
        <color theme="1"/>
        <rFont val="Calibri (Body)"/>
      </rPr>
      <t>2</t>
    </r>
    <r>
      <rPr>
        <b/>
        <sz val="12"/>
        <color theme="1"/>
        <rFont val="Calibri"/>
        <family val="2"/>
        <scheme val="minor"/>
      </rPr>
      <t xml:space="preserve"> (kg/h)</t>
    </r>
  </si>
  <si>
    <r>
      <t>N</t>
    </r>
    <r>
      <rPr>
        <sz val="8"/>
        <color theme="1"/>
        <rFont val="Calibri (Body)"/>
      </rPr>
      <t>2</t>
    </r>
  </si>
  <si>
    <t>MW (g/mol)</t>
  </si>
  <si>
    <r>
      <rPr>
        <sz val="12"/>
        <color theme="1"/>
        <rFont val="Calibri"/>
        <family val="2"/>
        <scheme val="minor"/>
      </rPr>
      <t xml:space="preserve">Green, D. W., and Perry, R. H. </t>
    </r>
    <r>
      <rPr>
        <i/>
        <sz val="12"/>
        <color theme="1"/>
        <rFont val="Calibri"/>
        <family val="2"/>
        <scheme val="minor"/>
      </rPr>
      <t>Perry's Chemical Engineers' Handbook</t>
    </r>
    <r>
      <rPr>
        <sz val="12"/>
        <color theme="1"/>
        <rFont val="Calibri"/>
        <family val="2"/>
        <scheme val="minor"/>
      </rPr>
      <t>, Ed. 9,</t>
    </r>
    <r>
      <rPr>
        <i/>
        <sz val="12"/>
        <color theme="1"/>
        <rFont val="Calibri"/>
        <family val="2"/>
        <scheme val="minor"/>
      </rPr>
      <t xml:space="preserve"> 2019.</t>
    </r>
  </si>
  <si>
    <t>Remer, D.S. and Chai, L.H. "Process Equipment, Cost Scale-up," Encyclopedia of Chemical Processing and Design, ed., McKetta, J., Marcel Dekker, Inc., 43, 306-317, 1993.</t>
  </si>
  <si>
    <r>
      <t xml:space="preserve">Levett, I. </t>
    </r>
    <r>
      <rPr>
        <i/>
        <sz val="12"/>
        <color theme="1"/>
        <rFont val="Calibri"/>
        <family val="2"/>
        <scheme val="minor"/>
      </rPr>
      <t>et al. J. Environ. Chem. Eng.</t>
    </r>
    <r>
      <rPr>
        <sz val="12"/>
        <color theme="1"/>
        <rFont val="Calibri"/>
        <family val="2"/>
        <scheme val="minor"/>
      </rPr>
      <t xml:space="preserve">, </t>
    </r>
    <r>
      <rPr>
        <b/>
        <sz val="12"/>
        <color theme="1"/>
        <rFont val="Calibri"/>
        <family val="2"/>
        <scheme val="minor"/>
      </rPr>
      <t>4</t>
    </r>
    <r>
      <rPr>
        <sz val="12"/>
        <color theme="1"/>
        <rFont val="Calibri"/>
        <family val="2"/>
        <scheme val="minor"/>
      </rPr>
      <t>, 3724-3733, 2016.</t>
    </r>
  </si>
  <si>
    <r>
      <t xml:space="preserve">Ou, L. </t>
    </r>
    <r>
      <rPr>
        <i/>
        <sz val="12"/>
        <color theme="1"/>
        <rFont val="Calibri"/>
        <family val="2"/>
        <scheme val="minor"/>
      </rPr>
      <t>et al. Biomass Bioenerg.</t>
    </r>
    <r>
      <rPr>
        <sz val="12"/>
        <color theme="1"/>
        <rFont val="Calibri"/>
        <family val="2"/>
        <scheme val="minor"/>
      </rPr>
      <t xml:space="preserve">, </t>
    </r>
    <r>
      <rPr>
        <b/>
        <sz val="12"/>
        <color theme="1"/>
        <rFont val="Calibri"/>
        <family val="2"/>
        <scheme val="minor"/>
      </rPr>
      <t>72</t>
    </r>
    <r>
      <rPr>
        <sz val="12"/>
        <color theme="1"/>
        <rFont val="Calibri"/>
        <family val="2"/>
        <scheme val="minor"/>
      </rPr>
      <t>, 45-54, 2015.</t>
    </r>
  </si>
  <si>
    <t>Green, D. W., and Perry, R. H. Perry's Chemical Engineers' Handbook, Ed. 9, 2019.</t>
  </si>
  <si>
    <r>
      <rPr>
        <sz val="12"/>
        <color theme="1"/>
        <rFont val="Calibri"/>
        <family val="2"/>
        <scheme val="minor"/>
      </rPr>
      <t xml:space="preserve">"The Chemical Engineering Plant Index," Chemical Engineering, April 2020; Green, D. W., and Perry, R. H. </t>
    </r>
    <r>
      <rPr>
        <i/>
        <sz val="12"/>
        <color theme="1"/>
        <rFont val="Calibri"/>
        <family val="2"/>
        <scheme val="minor"/>
      </rPr>
      <t>Perry's Chemical Engineers' Handbook</t>
    </r>
    <r>
      <rPr>
        <sz val="12"/>
        <color theme="1"/>
        <rFont val="Calibri"/>
        <family val="2"/>
        <scheme val="minor"/>
      </rPr>
      <t>, Ed. 9,</t>
    </r>
    <r>
      <rPr>
        <i/>
        <sz val="12"/>
        <color theme="1"/>
        <rFont val="Calibri"/>
        <family val="2"/>
        <scheme val="minor"/>
      </rPr>
      <t xml:space="preserve"> 2019.</t>
    </r>
  </si>
  <si>
    <r>
      <t xml:space="preserve">Green, D. W., and Perry, R. H. </t>
    </r>
    <r>
      <rPr>
        <i/>
        <sz val="12"/>
        <color theme="1"/>
        <rFont val="Calibri"/>
        <family val="2"/>
        <scheme val="minor"/>
      </rPr>
      <t>Perry's Chemical Engineers' Handbook</t>
    </r>
    <r>
      <rPr>
        <sz val="12"/>
        <color theme="1"/>
        <rFont val="Calibri"/>
        <family val="2"/>
        <scheme val="minor"/>
      </rPr>
      <t>, Ed. 9, 2019.</t>
    </r>
  </si>
  <si>
    <r>
      <t xml:space="preserve">Levett, I. </t>
    </r>
    <r>
      <rPr>
        <i/>
        <sz val="12"/>
        <color theme="1"/>
        <rFont val="Calibri"/>
        <family val="2"/>
        <scheme val="minor"/>
      </rPr>
      <t>et al. J. Environ. Chem. Eng.</t>
    </r>
    <r>
      <rPr>
        <sz val="12"/>
        <color theme="1"/>
        <rFont val="Calibri"/>
        <family val="2"/>
        <scheme val="minor"/>
      </rPr>
      <t xml:space="preserve">, </t>
    </r>
    <r>
      <rPr>
        <b/>
        <sz val="12"/>
        <color theme="1"/>
        <rFont val="Calibri"/>
        <family val="2"/>
        <scheme val="minor"/>
      </rPr>
      <t>4</t>
    </r>
    <r>
      <rPr>
        <sz val="12"/>
        <color theme="1"/>
        <rFont val="Calibri"/>
        <family val="2"/>
        <scheme val="minor"/>
      </rPr>
      <t xml:space="preserve">, 3724-3733, 2016; Green, D. W., and Perry, R. H. </t>
    </r>
    <r>
      <rPr>
        <i/>
        <sz val="12"/>
        <color theme="1"/>
        <rFont val="Calibri"/>
        <family val="2"/>
        <scheme val="minor"/>
      </rPr>
      <t>Perry's Chemical Engineers' Handbook</t>
    </r>
    <r>
      <rPr>
        <sz val="12"/>
        <color theme="1"/>
        <rFont val="Calibri"/>
        <family val="2"/>
        <scheme val="minor"/>
      </rPr>
      <t>, Ed. 9, 2019.</t>
    </r>
  </si>
  <si>
    <t>EIA, "Electric Power Monthly," U.S. Energy Information Administration, 2020. Accessed August 12 2020: https://www.eia.gov/electricity/monthly/epm_table_grapher.php?t=epmt_5_6_a</t>
  </si>
  <si>
    <t>EIA, "Natural Gas Monthly," U.S. Energy Information Administration, 2020.</t>
  </si>
  <si>
    <t>TLV, "Calculator: Steam Unit Cost," TLV, Japan. Accessed August 12 2020: https://www.tlv.com/global/TI/calculator/steam-unit-cost.html?advanced=on</t>
  </si>
  <si>
    <t>IRENA, "How Falling Costs Make Renewable a Cost-Effective Investment," International Renewable Energy Agency, Abu Dhabi, 2020.</t>
  </si>
  <si>
    <t>Crider, J. "Abu Dhabi to Have Cheapest Solar Power Ever - 1.35 Cents per Kilowatt-hour," CleanTechnica, 2020. Accessed August 12, 2020: https://cleantechnica.com/2020/05/06/abu-dhabi-will-have-the-cheapest-solar-farm-ever-built/</t>
  </si>
  <si>
    <t>IRENA, "Future of Solar Photovoltaic: Deployment, Investment, Technology, Grid Integration, and Socio-economic Aspects," International Renewable Energy Agency, Abu Dhabi, 2019.</t>
  </si>
  <si>
    <t>U.S. Bureau of Labor Statistics, "Occupational Employment Statistics: Chemical Plant and System Operators," United States Department of Labor, USA, 2017. Accessed August 12, 2020: https://www.bls.gov/oes/2017/may/oes518091.htm</t>
  </si>
  <si>
    <t>Electrolyzer Maintenance</t>
  </si>
  <si>
    <r>
      <t xml:space="preserve">DeSantis, D. </t>
    </r>
    <r>
      <rPr>
        <i/>
        <sz val="12"/>
        <color theme="1"/>
        <rFont val="Calibri"/>
        <family val="2"/>
        <scheme val="minor"/>
      </rPr>
      <t>et al.</t>
    </r>
    <r>
      <rPr>
        <sz val="12"/>
        <color theme="1"/>
        <rFont val="Calibri"/>
        <family val="2"/>
        <scheme val="minor"/>
      </rPr>
      <t xml:space="preserve"> "H2A Current Central Hydrogen Production from Polymer Electrolyte Membrane (PEM) Electrolysis, Version 3 User Guide." National Renewable Energy Laboratory, 2019.</t>
    </r>
  </si>
  <si>
    <t>DeSantis, D. et al. "H2A Current Central Hydrogen Production from Polymer Electrolyte Membrane (PEM) Electrolysis, Version 3 User Guide." National Renewable Energy Laboratory, 2019.</t>
  </si>
  <si>
    <r>
      <t xml:space="preserve">James, B. D. </t>
    </r>
    <r>
      <rPr>
        <i/>
        <sz val="12"/>
        <color theme="1"/>
        <rFont val="Calibri"/>
        <family val="2"/>
        <scheme val="minor"/>
      </rPr>
      <t>et al.</t>
    </r>
    <r>
      <rPr>
        <sz val="12"/>
        <color theme="1"/>
        <rFont val="Calibri"/>
        <family val="2"/>
        <scheme val="minor"/>
      </rPr>
      <t xml:space="preserve"> "Guidance for Filling Out a Detailed H2A Production Case Study." Strategic Analysis Inc., 2013.</t>
    </r>
  </si>
  <si>
    <t>Ulrich, G. D. "A Guide to Chemical Engineering Process Design and Economics." J. Wiley, New York, 1984.</t>
  </si>
  <si>
    <t>EIA, "Weekly Retail Gasoline and Diesel Prices." U.S. Energy Information Administration, 2020. Accessed August 12, 2020: https://www.eia.gov/dnav/pet/pet_pri_gnd_dcus_nus_a.htm (2019 Average)</t>
  </si>
  <si>
    <t>Methanol Institute, "Methanol Price and Supply/Demand," Methanol Institute, 2020. Accessed August 12, 2020: https://www.methanol.org/methanol-price-supply-demand/. (6 Month Average)</t>
  </si>
  <si>
    <t>ECHEMI, "Sodium Formate Price Analysis," ECHEMI Technology Co., Ltd., 2020. Accessed August 12, 2020: https://www.echemi.com/productsInformation/pd20150901132-sodium-formate.html (6 Month Average)</t>
  </si>
  <si>
    <t>Eqing, R., "Downward price pressure on ammonia remains for June loadings." Independent Commodity Intelligence Services, May 2020. Accessed August 12, 2020: https://www.icis.com/explore/resources/news/2020/05/29/10513459/downward-price-pressure-on-ammonia-remains-for-june-loadings (6 Month Average)</t>
  </si>
  <si>
    <r>
      <t xml:space="preserve">Levett, I. et al. </t>
    </r>
    <r>
      <rPr>
        <i/>
        <sz val="12"/>
        <color theme="1"/>
        <rFont val="Calibri"/>
        <family val="2"/>
        <scheme val="minor"/>
      </rPr>
      <t>J. Environ. Chem. Eng.</t>
    </r>
    <r>
      <rPr>
        <sz val="12"/>
        <color theme="1"/>
        <rFont val="Calibri"/>
        <family val="2"/>
        <scheme val="minor"/>
      </rPr>
      <t>, 4, 3724-3733, 2016.</t>
    </r>
  </si>
  <si>
    <r>
      <t xml:space="preserve">Levett, I. et al. </t>
    </r>
    <r>
      <rPr>
        <i/>
        <sz val="12"/>
        <color theme="1"/>
        <rFont val="Calibri"/>
        <family val="2"/>
        <scheme val="minor"/>
      </rPr>
      <t>J. Environ. Chem. Eng.</t>
    </r>
    <r>
      <rPr>
        <sz val="12"/>
        <color theme="1"/>
        <rFont val="Calibri"/>
        <family val="2"/>
        <scheme val="minor"/>
      </rPr>
      <t>, 4, 3724-3733, 2016. (Market Average, using CECPI to Inflate to 2020 $ USD)</t>
    </r>
  </si>
  <si>
    <t>Clippinger, J. and Davis, R. "Techno-Economic Analysis for the Production of Algal Biomass via Closed Photobioreactors: Future Cost Potential Evaluated Across a Range of Cultivation System Designs." National Renewable Energy Laboratory, 2019. (Average MBSP using CECPI to Inflate to 2020 $ USD)</t>
  </si>
  <si>
    <r>
      <t xml:space="preserve">Jouny, M. </t>
    </r>
    <r>
      <rPr>
        <i/>
        <sz val="12"/>
        <color theme="1"/>
        <rFont val="Calibri"/>
        <family val="2"/>
        <scheme val="minor"/>
      </rPr>
      <t>et al. Ind. Eng. Chem. Res.</t>
    </r>
    <r>
      <rPr>
        <sz val="12"/>
        <color theme="1"/>
        <rFont val="Calibri"/>
        <family val="2"/>
        <scheme val="minor"/>
      </rPr>
      <t xml:space="preserve">, </t>
    </r>
    <r>
      <rPr>
        <b/>
        <sz val="12"/>
        <color theme="1"/>
        <rFont val="Calibri"/>
        <family val="2"/>
        <scheme val="minor"/>
      </rPr>
      <t>57</t>
    </r>
    <r>
      <rPr>
        <sz val="12"/>
        <color theme="1"/>
        <rFont val="Calibri"/>
        <family val="2"/>
        <scheme val="minor"/>
      </rPr>
      <t>, 2165-2177, 2018.</t>
    </r>
  </si>
  <si>
    <r>
      <t xml:space="preserve">Riboldi, L. and Bolland, O. </t>
    </r>
    <r>
      <rPr>
        <i/>
        <sz val="12"/>
        <color theme="1"/>
        <rFont val="Calibri"/>
        <family val="2"/>
        <scheme val="minor"/>
      </rPr>
      <t>Energy Procedia</t>
    </r>
    <r>
      <rPr>
        <sz val="12"/>
        <color theme="1"/>
        <rFont val="Calibri"/>
        <family val="2"/>
        <scheme val="minor"/>
      </rPr>
      <t xml:space="preserve">, </t>
    </r>
    <r>
      <rPr>
        <b/>
        <sz val="12"/>
        <color theme="1"/>
        <rFont val="Calibri"/>
        <family val="2"/>
        <scheme val="minor"/>
      </rPr>
      <t>114</t>
    </r>
    <r>
      <rPr>
        <sz val="12"/>
        <color theme="1"/>
        <rFont val="Calibri"/>
        <family val="2"/>
        <scheme val="minor"/>
      </rPr>
      <t>, 2390-2400, 2017.</t>
    </r>
  </si>
  <si>
    <r>
      <t xml:space="preserve">Wafi, M. K. </t>
    </r>
    <r>
      <rPr>
        <i/>
        <sz val="12"/>
        <color theme="1"/>
        <rFont val="Calibri"/>
        <family val="2"/>
        <scheme val="minor"/>
      </rPr>
      <t>et al. Sn Appl. Sci.</t>
    </r>
    <r>
      <rPr>
        <sz val="12"/>
        <color theme="1"/>
        <rFont val="Calibri"/>
        <family val="2"/>
        <scheme val="minor"/>
      </rPr>
      <t xml:space="preserve">, </t>
    </r>
    <r>
      <rPr>
        <b/>
        <sz val="12"/>
        <color theme="1"/>
        <rFont val="Calibri"/>
        <family val="2"/>
        <scheme val="minor"/>
      </rPr>
      <t>1</t>
    </r>
    <r>
      <rPr>
        <sz val="12"/>
        <color theme="1"/>
        <rFont val="Calibri"/>
        <family val="2"/>
        <scheme val="minor"/>
      </rPr>
      <t>, 751, 2019.</t>
    </r>
  </si>
  <si>
    <r>
      <t xml:space="preserve">Cho, D. H. </t>
    </r>
    <r>
      <rPr>
        <i/>
        <sz val="12"/>
        <color theme="1"/>
        <rFont val="Calibri"/>
        <family val="2"/>
        <scheme val="minor"/>
      </rPr>
      <t>et al. Korean Chem. Eng. Res.</t>
    </r>
    <r>
      <rPr>
        <sz val="12"/>
        <color theme="1"/>
        <rFont val="Calibri"/>
        <family val="2"/>
        <scheme val="minor"/>
      </rPr>
      <t xml:space="preserve">, </t>
    </r>
    <r>
      <rPr>
        <b/>
        <sz val="12"/>
        <color theme="1"/>
        <rFont val="Calibri"/>
        <family val="2"/>
        <scheme val="minor"/>
      </rPr>
      <t>54</t>
    </r>
    <r>
      <rPr>
        <sz val="12"/>
        <color theme="1"/>
        <rFont val="Calibri"/>
        <family val="2"/>
        <scheme val="minor"/>
      </rPr>
      <t xml:space="preserve"> (5), 719-721, 2016.</t>
    </r>
  </si>
  <si>
    <t>PHB Heat of Reaction</t>
  </si>
  <si>
    <r>
      <t xml:space="preserve">Akita, K. and Yoshida, F. </t>
    </r>
    <r>
      <rPr>
        <i/>
        <sz val="12"/>
        <color theme="1"/>
        <rFont val="Calibri"/>
        <family val="2"/>
        <scheme val="minor"/>
      </rPr>
      <t>Ind. Eng. Chem. Process Des. Develop.</t>
    </r>
    <r>
      <rPr>
        <sz val="12"/>
        <color theme="1"/>
        <rFont val="Calibri"/>
        <family val="2"/>
        <scheme val="minor"/>
      </rPr>
      <t xml:space="preserve">, </t>
    </r>
    <r>
      <rPr>
        <b/>
        <sz val="12"/>
        <color theme="1"/>
        <rFont val="Calibri"/>
        <family val="2"/>
        <scheme val="minor"/>
      </rPr>
      <t>12</t>
    </r>
    <r>
      <rPr>
        <sz val="12"/>
        <color theme="1"/>
        <rFont val="Calibri"/>
        <family val="2"/>
        <scheme val="minor"/>
      </rPr>
      <t xml:space="preserve"> (1), 76-80, 1973.</t>
    </r>
  </si>
  <si>
    <r>
      <t xml:space="preserve">Sander, R. </t>
    </r>
    <r>
      <rPr>
        <i/>
        <sz val="12"/>
        <color theme="1"/>
        <rFont val="Calibri"/>
        <family val="2"/>
        <scheme val="minor"/>
      </rPr>
      <t>Atmos. Chem. Phys.</t>
    </r>
    <r>
      <rPr>
        <sz val="12"/>
        <color theme="1"/>
        <rFont val="Calibri"/>
        <family val="2"/>
        <scheme val="minor"/>
      </rPr>
      <t xml:space="preserve">, </t>
    </r>
    <r>
      <rPr>
        <b/>
        <sz val="12"/>
        <color theme="1"/>
        <rFont val="Calibri"/>
        <family val="2"/>
        <scheme val="minor"/>
      </rPr>
      <t>15</t>
    </r>
    <r>
      <rPr>
        <sz val="12"/>
        <color theme="1"/>
        <rFont val="Calibri"/>
        <family val="2"/>
        <scheme val="minor"/>
      </rPr>
      <t>, 4399-4981, 2015.</t>
    </r>
  </si>
  <si>
    <r>
      <t xml:space="preserve">Chopey, N. P. "Liquid Agitation" in </t>
    </r>
    <r>
      <rPr>
        <i/>
        <sz val="12"/>
        <color theme="1"/>
        <rFont val="Calibri"/>
        <family val="2"/>
        <scheme val="minor"/>
      </rPr>
      <t>Handbook of Chemical Engineering Calculatons</t>
    </r>
    <r>
      <rPr>
        <sz val="12"/>
        <color theme="1"/>
        <rFont val="Calibri"/>
        <family val="2"/>
        <scheme val="minor"/>
      </rPr>
      <t>, Ed. 3, 2003</t>
    </r>
  </si>
  <si>
    <r>
      <t xml:space="preserve">Fasaei, F. </t>
    </r>
    <r>
      <rPr>
        <i/>
        <sz val="12"/>
        <color theme="1"/>
        <rFont val="Calibri"/>
        <family val="2"/>
        <scheme val="minor"/>
      </rPr>
      <t>et al. Algal Res.</t>
    </r>
    <r>
      <rPr>
        <sz val="12"/>
        <color theme="1"/>
        <rFont val="Calibri"/>
        <family val="2"/>
        <scheme val="minor"/>
      </rPr>
      <t xml:space="preserve">, </t>
    </r>
    <r>
      <rPr>
        <b/>
        <sz val="12"/>
        <color theme="1"/>
        <rFont val="Calibri"/>
        <family val="2"/>
        <scheme val="minor"/>
      </rPr>
      <t>31</t>
    </r>
    <r>
      <rPr>
        <sz val="12"/>
        <color theme="1"/>
        <rFont val="Calibri"/>
        <family val="2"/>
        <scheme val="minor"/>
      </rPr>
      <t>, 347-362, 2018.</t>
    </r>
  </si>
  <si>
    <t>Biomass and PHB Cell Densities</t>
  </si>
  <si>
    <t>Total Cost</t>
  </si>
  <si>
    <r>
      <t xml:space="preserve">Verma, S. </t>
    </r>
    <r>
      <rPr>
        <i/>
        <sz val="12"/>
        <color theme="1"/>
        <rFont val="Calibri"/>
        <family val="2"/>
        <scheme val="minor"/>
      </rPr>
      <t>et al.</t>
    </r>
    <r>
      <rPr>
        <sz val="12"/>
        <color theme="1"/>
        <rFont val="Calibri"/>
        <family val="2"/>
        <scheme val="minor"/>
      </rPr>
      <t xml:space="preserve"> </t>
    </r>
    <r>
      <rPr>
        <i/>
        <sz val="12"/>
        <color theme="1"/>
        <rFont val="Calibri"/>
        <family val="2"/>
        <scheme val="minor"/>
      </rPr>
      <t>ChemSusChem</t>
    </r>
    <r>
      <rPr>
        <sz val="12"/>
        <color theme="1"/>
        <rFont val="Calibri"/>
        <family val="2"/>
        <scheme val="minor"/>
      </rPr>
      <t xml:space="preserve">, </t>
    </r>
    <r>
      <rPr>
        <b/>
        <sz val="12"/>
        <color theme="1"/>
        <rFont val="Calibri"/>
        <family val="2"/>
        <scheme val="minor"/>
      </rPr>
      <t>9</t>
    </r>
    <r>
      <rPr>
        <sz val="12"/>
        <color theme="1"/>
        <rFont val="Calibri"/>
        <family val="2"/>
        <scheme val="minor"/>
      </rPr>
      <t>, 1972-1979, 2016. (Using CECPI to Inflate to 2020 $ USD)</t>
    </r>
  </si>
  <si>
    <t>Methanol Membrane Cost</t>
  </si>
  <si>
    <t>Methanol Anode Cost</t>
  </si>
  <si>
    <t>Methanol Cathode Cost</t>
  </si>
  <si>
    <t>Formate Anode Cost</t>
  </si>
  <si>
    <t>Formate Cathode Cost</t>
  </si>
  <si>
    <t>Formate Membrane Cost</t>
  </si>
  <si>
    <t>FumaTech, "FAB-PK-130 Fumasep Membrane." Accessed August 12, 2020: https://www.fumatech.com/EN/index.html</t>
  </si>
  <si>
    <t>Dioxide Materials, "Sustanion X37-50 Grade 60 Membrane." Accessed August 12, 2020: https://dioxidematerials.com/product/sustainion-anion-exchange-membrane/</t>
  </si>
  <si>
    <t>Freudenberg, "Freudenberg H14C9." Freudenberg Performance Materials SE &amp; Co. KG, 2020. (Bulk Quote)</t>
  </si>
  <si>
    <t>Freudenberg, "Freudenberg H14C9." Freudenberg Performance Materials SE &amp; Co. KG. Accessed August 12, 2020: https://fuelcellcomponents.freudenberg-pm.com/Products/gas-diffusion-layers</t>
  </si>
  <si>
    <t>SS Nano, "Tin Oxide Nanoparticles/Nanopowder." Skyspring Nanomaterials Inc. Accessed August 12, 2020: https://www.ssnano.com/inc/sdetail/tin_oxide_nanoparticles__nanopowder___sno2___99_9____50_70_nm_/235</t>
  </si>
  <si>
    <t>OECD Average Electricity Price</t>
  </si>
  <si>
    <t>IEA, "Electricity Information." International Energy Agency, France, 2020.</t>
  </si>
  <si>
    <t>Baseline</t>
  </si>
  <si>
    <t>OECD Average (2019)</t>
  </si>
  <si>
    <t>USA Average (May 2020)</t>
  </si>
  <si>
    <t>PV (2020)</t>
  </si>
  <si>
    <t>Onshore Wind (2020)</t>
  </si>
  <si>
    <t>PV - Record Price (May 2020)</t>
  </si>
  <si>
    <t>IRENA - Low Projection (2030)</t>
  </si>
  <si>
    <t>Electricity by Reference</t>
  </si>
  <si>
    <t>Steam by Source</t>
  </si>
  <si>
    <t>Notes</t>
  </si>
  <si>
    <t>$3.91/1000 ft^3</t>
  </si>
  <si>
    <t>$0.03/kWh</t>
  </si>
  <si>
    <t>Natural Gas (2019 USA Average Price)</t>
  </si>
  <si>
    <t>Total Operating Costs</t>
  </si>
  <si>
    <t>Pomerleau, K. "The United States' Corporate Income Tax Rate is Now More in Line with Those Levied by Other Major Nations." Tax Foundation, 2018. https://taxfoundation.org/us-corporate-income-tax-more-competitive/</t>
  </si>
  <si>
    <t>Hydrogen Costs</t>
  </si>
  <si>
    <t>IEA, "The Future of Hydrogen." International Energy Agency, France, 2019.</t>
  </si>
  <si>
    <t>Green Hydrogen</t>
  </si>
  <si>
    <t>Blue Hydrogen</t>
  </si>
  <si>
    <t>Grey Hydrogen</t>
  </si>
  <si>
    <t>ECHEMI, "Acetone Price Analysis," ECHEMI Technology Co., Ltd., 2020. Accessed August 12, 2020: https://www.echemi.com/productsInformation/pid_Rock3929-acetone.html (6 Month Average)</t>
  </si>
  <si>
    <t>Molbase, "CAS No.3317-67-7  Cobalt phthalocyanine," Molbase, Shanghai. Accessed August 12, 2020: http://www.molbase.com/en/cas-3317-67-7.html</t>
  </si>
  <si>
    <t>By Jurisdiction</t>
  </si>
  <si>
    <t>Li, X. et al. Energy and Fuels, 2016</t>
  </si>
  <si>
    <t>Verma, S. et al. ChemSusChem, 9, 1972-1979, 2016</t>
  </si>
  <si>
    <t>Universal Constants</t>
  </si>
  <si>
    <t>PHB Rotary Drum Vacuum Filter</t>
  </si>
  <si>
    <t>Biomass Rotary Drum Pressure Filter</t>
  </si>
  <si>
    <t>Rotary Drum Vacuum Filter Area Calculation</t>
  </si>
  <si>
    <t>Rotary Drum Pressure Filter Area Calculation</t>
  </si>
  <si>
    <t>Fasaei et al. Algal Research, 31, 347-362, 2018</t>
  </si>
  <si>
    <t>Fasaei, F. et al. Algal Res., 31, 347-362, 2018.</t>
  </si>
  <si>
    <t>Disk Stack Centrifuge Energy Per Volume</t>
  </si>
  <si>
    <t>Rotary Drum Filter Capacity</t>
  </si>
  <si>
    <t>Rotary Drum Pressure Filter Power Calculation</t>
  </si>
  <si>
    <t>Disk Stack Centrifuge Power Calculation</t>
  </si>
  <si>
    <t>Rotary Drum Pressure Filter Energy Per Volume</t>
  </si>
  <si>
    <t>Matches, 2014</t>
  </si>
  <si>
    <t>AMS Membranes Quote (-30%/+50%)</t>
  </si>
  <si>
    <t>of Baseline Cost</t>
  </si>
  <si>
    <t>Biocatalysis Subprocess</t>
  </si>
  <si>
    <t>Bicatalysis Process</t>
  </si>
  <si>
    <t>Biocatalysis</t>
  </si>
  <si>
    <t>Future Technology, Balanced Scenario</t>
  </si>
  <si>
    <t>We provide an example of the material balance in the ASPEN Plus model, using the future technology, balanced scenario.</t>
  </si>
  <si>
    <t>Stream labels correspond to those on the process flow diagram</t>
  </si>
  <si>
    <t>Current Technology, Biocatalysis-Favouring</t>
  </si>
  <si>
    <t>Current Technology, Balanced</t>
  </si>
  <si>
    <t>Current Technology, Electrocatalysis-Favouring</t>
  </si>
  <si>
    <t>Future Technology, Biocatalysis-Favouring</t>
  </si>
  <si>
    <t>Future Technology, Balanced</t>
  </si>
  <si>
    <t>Future Technology, Electrocatalysis-Favouring</t>
  </si>
  <si>
    <t>tCO2</t>
  </si>
  <si>
    <t>Reference Emissions</t>
  </si>
  <si>
    <t>Emissions</t>
  </si>
  <si>
    <t>tCO2/tonne</t>
  </si>
  <si>
    <t>tonne PHB</t>
  </si>
  <si>
    <t>Emission Units</t>
  </si>
  <si>
    <t>CO2</t>
  </si>
  <si>
    <t>MtCO2</t>
  </si>
  <si>
    <t>Total Construction Emissions</t>
  </si>
  <si>
    <t>Total Feedstock &amp; Materials Emissions</t>
  </si>
  <si>
    <t>Construction and Decommissioning Reference Emissions</t>
  </si>
  <si>
    <t>Electricity Emissions Intensity</t>
  </si>
  <si>
    <t>Utility Emissions</t>
  </si>
  <si>
    <t>Total Utility Emissions</t>
  </si>
  <si>
    <t>tCO2/kWh</t>
  </si>
  <si>
    <t>kWh/year</t>
  </si>
  <si>
    <t>Wind</t>
  </si>
  <si>
    <t>Solar</t>
  </si>
  <si>
    <t>Other (Geothermal)</t>
  </si>
  <si>
    <t>Emissions Intensity</t>
  </si>
  <si>
    <t>gCO2eq/kWh</t>
  </si>
  <si>
    <t>TWh</t>
  </si>
  <si>
    <t>Hydropower</t>
  </si>
  <si>
    <t>Electricity Emissions Data</t>
  </si>
  <si>
    <t>Electricity Emissions Capacity</t>
  </si>
  <si>
    <t>Hannah Ritchie and Max Roser, "Renewable Energy." 2020. Published online at OurWorldInData.org. Retrieved from: 'https://ourworldindata.org/renewable-energy' [Online Resource]</t>
  </si>
  <si>
    <t>NREL (2013), "Life Cycle Greenhouse Gas Emissions from Electricity Generation." NREL, 2013.</t>
  </si>
  <si>
    <t>Energy Content of Natural Gas</t>
  </si>
  <si>
    <t>Btu/ft^3</t>
  </si>
  <si>
    <t>Natural Gas to Steam Efficiency</t>
  </si>
  <si>
    <t>Natural Gas Energy Content</t>
  </si>
  <si>
    <t>EIA, "Units and Calculators Explained." EIA, 2020. https://www.eia.gov/energyexplained/units-and-calculators/</t>
  </si>
  <si>
    <t>US DOE, "Benchmark the Fuel Cost of Steam Generation." US DOE, 2014. https://www.energy.gov/sites/prod/files/
2014/05/f16/steam15_benchmark.pdf</t>
  </si>
  <si>
    <t>Btu</t>
  </si>
  <si>
    <t>Emission Factor of Natural Gas</t>
  </si>
  <si>
    <t>EPA, "Greenhouse Gases Equivalencies Calculator - Calculations and References." United States Environmental Protection Agency, Accessed 2021. https://www.epa.gov/energy/greenhouse-gases-equivalencies-calculator-calculations-and-references</t>
  </si>
  <si>
    <t>kgCO2/ft^3</t>
  </si>
  <si>
    <t>Net Emissions</t>
  </si>
  <si>
    <t>Net Lifetime Emissions</t>
  </si>
  <si>
    <t>Net Annual Emissions</t>
  </si>
  <si>
    <t>MtCO2/year</t>
  </si>
  <si>
    <t>Emissions Without CCUS Plant</t>
  </si>
  <si>
    <t>Key Emissions Results</t>
  </si>
  <si>
    <t xml:space="preserve">Summary of key results denoted by tables in: </t>
  </si>
  <si>
    <t>Sulfuric Acid Emissions Intensity</t>
  </si>
  <si>
    <t>Water, Sodium Hydroxide, Ammonia Emissions Intensity</t>
  </si>
  <si>
    <t>Tin and Cobalt Emissions Intensity</t>
  </si>
  <si>
    <t>Acetone Emissions Intensity</t>
  </si>
  <si>
    <t>EPA, "AP 42, Fifth Edition, Volume I, Chapter 8: Inorganic Chemical Industry." United States Environmental Protection Agency, 1993.</t>
  </si>
  <si>
    <r>
      <t xml:space="preserve">Wernet, G.et al., </t>
    </r>
    <r>
      <rPr>
        <i/>
        <sz val="12"/>
        <color theme="1"/>
        <rFont val="Calibri"/>
        <family val="2"/>
        <scheme val="minor"/>
      </rPr>
      <t>Int. J. Life Cycle Assess.</t>
    </r>
    <r>
      <rPr>
        <sz val="12"/>
        <color theme="1"/>
        <rFont val="Calibri"/>
        <family val="2"/>
        <scheme val="minor"/>
      </rPr>
      <t>, 21(9), 1218–1230, 2016.</t>
    </r>
  </si>
  <si>
    <r>
      <t xml:space="preserve">Johnston, A. H. and Karanfil, T. </t>
    </r>
    <r>
      <rPr>
        <i/>
        <sz val="12"/>
        <color theme="1"/>
        <rFont val="Calibri"/>
        <family val="2"/>
        <scheme val="minor"/>
      </rPr>
      <t>J. Am. Water Works Ass.</t>
    </r>
    <r>
      <rPr>
        <sz val="12"/>
        <color theme="1"/>
        <rFont val="Calibri"/>
        <family val="2"/>
        <scheme val="minor"/>
      </rPr>
      <t>, 105(7), E363-E371, 2013.</t>
    </r>
  </si>
  <si>
    <r>
      <t xml:space="preserve">Nuss, P. and Eckelman, M. J. </t>
    </r>
    <r>
      <rPr>
        <i/>
        <sz val="12"/>
        <color theme="1"/>
        <rFont val="Calibri"/>
        <family val="2"/>
        <scheme val="minor"/>
      </rPr>
      <t>PLOS</t>
    </r>
    <r>
      <rPr>
        <sz val="12"/>
        <color theme="1"/>
        <rFont val="Calibri"/>
        <family val="2"/>
        <scheme val="minor"/>
      </rPr>
      <t>, 9(7), e101298, 2014.</t>
    </r>
  </si>
  <si>
    <r>
      <t xml:space="preserve">Amelio, A. et al. </t>
    </r>
    <r>
      <rPr>
        <i/>
        <sz val="12"/>
        <color theme="1"/>
        <rFont val="Calibri"/>
        <family val="2"/>
        <scheme val="minor"/>
      </rPr>
      <t xml:space="preserve">Green Chem. </t>
    </r>
    <r>
      <rPr>
        <sz val="12"/>
        <color theme="1"/>
        <rFont val="Calibri"/>
        <family val="2"/>
        <scheme val="minor"/>
      </rPr>
      <t>16, 3045-3063, 2014.</t>
    </r>
  </si>
  <si>
    <t>Heat of Vaporization for Water @ 124 C</t>
  </si>
  <si>
    <t>Steam-Water Temperature Difference</t>
  </si>
  <si>
    <t>Process Emissions</t>
  </si>
  <si>
    <t>Functional Unit</t>
  </si>
  <si>
    <t>tCO2/tPHB</t>
  </si>
  <si>
    <t>Materials for Construction and Decommissioning</t>
  </si>
  <si>
    <t>Materials for Construction &amp; Decommissioning Emissions</t>
  </si>
  <si>
    <t>tCO2/tPHB/year</t>
  </si>
  <si>
    <t>Growth Empty Time</t>
  </si>
  <si>
    <t>Density Sodium Formate @ 20 C</t>
  </si>
  <si>
    <t>Dilution Rate/Growth Rate</t>
  </si>
  <si>
    <t>Solution at t = 4.33 h</t>
  </si>
  <si>
    <t>Solution at t = 5 h</t>
  </si>
  <si>
    <t>Volume with Batch Time as Limitation</t>
  </si>
  <si>
    <t>Growth Reactor Batch Time Calculation</t>
  </si>
  <si>
    <t>Accumulation Reactor Batch Time Calculation</t>
  </si>
  <si>
    <t>Density NaHCOO</t>
  </si>
  <si>
    <r>
      <t>Density CH</t>
    </r>
    <r>
      <rPr>
        <sz val="8"/>
        <color theme="1"/>
        <rFont val="Calibri (Body)"/>
      </rPr>
      <t>3</t>
    </r>
    <r>
      <rPr>
        <sz val="12"/>
        <color theme="1"/>
        <rFont val="Calibri"/>
        <family val="2"/>
        <scheme val="minor"/>
      </rPr>
      <t>OH</t>
    </r>
  </si>
  <si>
    <t>Density Water</t>
  </si>
  <si>
    <r>
      <t xml:space="preserve">Peyraud </t>
    </r>
    <r>
      <rPr>
        <i/>
        <sz val="12"/>
        <color theme="1"/>
        <rFont val="Calibri"/>
        <family val="2"/>
        <scheme val="minor"/>
      </rPr>
      <t>et al.</t>
    </r>
    <r>
      <rPr>
        <sz val="12"/>
        <color theme="1"/>
        <rFont val="Calibri"/>
        <family val="2"/>
        <scheme val="minor"/>
      </rPr>
      <t xml:space="preserve"> </t>
    </r>
    <r>
      <rPr>
        <i/>
        <sz val="12"/>
        <color theme="1"/>
        <rFont val="Calibri"/>
        <family val="2"/>
        <scheme val="minor"/>
      </rPr>
      <t>BMC Syst. Biol.</t>
    </r>
    <r>
      <rPr>
        <sz val="12"/>
        <color theme="1"/>
        <rFont val="Calibri"/>
        <family val="2"/>
        <scheme val="minor"/>
      </rPr>
      <t xml:space="preserve">, </t>
    </r>
    <r>
      <rPr>
        <b/>
        <sz val="12"/>
        <color theme="1"/>
        <rFont val="Calibri"/>
        <family val="2"/>
        <scheme val="minor"/>
      </rPr>
      <t>5</t>
    </r>
    <r>
      <rPr>
        <sz val="12"/>
        <color theme="1"/>
        <rFont val="Calibri"/>
        <family val="2"/>
        <scheme val="minor"/>
      </rPr>
      <t>, 189, 2011.</t>
    </r>
  </si>
  <si>
    <t>x`</t>
  </si>
  <si>
    <t>Formate Catalyst Limetime (h)</t>
  </si>
  <si>
    <t>Methanol Catalyst Limetime (h)</t>
  </si>
  <si>
    <t>Formate Catalyst Lifetime</t>
  </si>
  <si>
    <t>Methanol Catalyst Lifetime</t>
  </si>
  <si>
    <t>Liquid Separation Cost/Utility Usage</t>
  </si>
  <si>
    <t>Emissions from operation are provided over the specified plant lifetime, as well as on a per tonne of PHB basis.</t>
  </si>
  <si>
    <t>Overall emissions are denoted by cells in:</t>
  </si>
  <si>
    <t>Individual emissions sources and emissions are denoted by columns in:</t>
  </si>
  <si>
    <t>Overall emissions with no CO2 capture are denoted by cells in:</t>
  </si>
  <si>
    <t>Feedstock Emissions</t>
  </si>
  <si>
    <t>Pressure Swing Absorption Capacity (kmol/h)</t>
  </si>
  <si>
    <r>
      <t>Pressure Swing Absorption CO</t>
    </r>
    <r>
      <rPr>
        <b/>
        <sz val="8"/>
        <color theme="1"/>
        <rFont val="Calibri (Body)"/>
      </rPr>
      <t>2</t>
    </r>
    <r>
      <rPr>
        <b/>
        <sz val="12"/>
        <color theme="1"/>
        <rFont val="Calibri"/>
        <family val="2"/>
        <scheme val="minor"/>
      </rPr>
      <t xml:space="preserve"> (kg/h)</t>
    </r>
  </si>
  <si>
    <t>Formate Liquid Separation to Bioconversion</t>
  </si>
  <si>
    <t>Makeup CO2 In</t>
  </si>
  <si>
    <t>CO2 Feed</t>
  </si>
  <si>
    <t>G-6</t>
  </si>
  <si>
    <t>G-7</t>
  </si>
  <si>
    <t>Luxembourg (Diesel Fuel)</t>
  </si>
  <si>
    <t>Luxembourg (Other Fossil Fuels)</t>
  </si>
  <si>
    <t>Manitoba, Canada</t>
  </si>
  <si>
    <t>Montenegro</t>
  </si>
  <si>
    <t>Netherlands</t>
  </si>
  <si>
    <t>Nova Scotia, Canada</t>
  </si>
  <si>
    <t>New Brunswick, Canada</t>
  </si>
  <si>
    <t>Saskatchewan, Canada</t>
  </si>
  <si>
    <t>Tamaulipas, Mexico</t>
  </si>
  <si>
    <t>Zacateca, Mexico</t>
  </si>
  <si>
    <t>The World Bank, "Carbon Pricing Dashboard," World Bank Group, USA. Accessed 11 June 2021: https://carbonpricingdashboard.worldbank.org</t>
  </si>
  <si>
    <t>Reference Full Process Carbon Balances for User Defined Models</t>
  </si>
  <si>
    <t>Reference Electrocatalysis Process Carbon Balances for User Defined Models</t>
  </si>
  <si>
    <t>Net Lifetime Emissions (CO2 sourced from DAC)</t>
  </si>
  <si>
    <t>Net Annual Emissions (CO2 sourced from DAC)</t>
  </si>
  <si>
    <t>Net Lifetime Emissions (Point source CO2)</t>
  </si>
  <si>
    <t>Net Annual Emissions (Point source CO2)</t>
  </si>
  <si>
    <t>Net Emissions (Point source CO2)</t>
  </si>
  <si>
    <t>Net Emissions (DAC CO2)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</si>
</sst>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0.00000"/>
    <numFmt numFmtId="165" formatCode="0.0000"/>
    <numFmt numFmtId="166" formatCode="0.000"/>
    <numFmt numFmtId="167" formatCode="0.0%"/>
    <numFmt numFmtId="168" formatCode="#,##0.0"/>
    <numFmt numFmtId="169" formatCode="0.0"/>
    <numFmt numFmtId="170" formatCode="0.000000"/>
    <numFmt numFmtId="171" formatCode="0.0000000"/>
    <numFmt numFmtId="172" formatCode="0.00000000"/>
  </numFmts>
  <fonts count="22">
    <font>
      <sz val="12"/>
      <color theme="1"/>
      <name val="Calibri"/>
      <family val="2"/>
      <scheme val="minor"/>
    </font>
    <font>
      <sz val="12"/>
      <color theme="1"/>
      <name val="Calibri"/>
      <family val="2"/>
      <scheme val="minor"/>
    </font>
    <font>
      <b/>
      <sz val="12"/>
      <color theme="1"/>
      <name val="Calibri"/>
      <family val="2"/>
      <scheme val="minor"/>
    </font>
    <font>
      <sz val="12"/>
      <color rgb="FF000000"/>
      <name val="Calibri"/>
      <family val="2"/>
      <scheme val="minor"/>
    </font>
    <font>
      <sz val="11"/>
      <color rgb="FF006100"/>
      <name val="Calibri"/>
      <family val="2"/>
      <scheme val="minor"/>
    </font>
    <font>
      <b/>
      <sz val="12"/>
      <color rgb="FF000000"/>
      <name val="Calibri"/>
      <family val="2"/>
      <scheme val="minor"/>
    </font>
    <font>
      <b/>
      <sz val="28"/>
      <color theme="1"/>
      <name val="Calibri"/>
      <family val="2"/>
      <scheme val="minor"/>
    </font>
    <font>
      <b/>
      <sz val="18"/>
      <color theme="1"/>
      <name val="Calibri"/>
      <family val="2"/>
      <scheme val="minor"/>
    </font>
    <font>
      <b/>
      <sz val="20"/>
      <color theme="1"/>
      <name val="Calibri"/>
      <family val="2"/>
      <scheme val="minor"/>
    </font>
    <font>
      <sz val="20"/>
      <color theme="1"/>
      <name val="Calibri"/>
      <family val="2"/>
      <scheme val="minor"/>
    </font>
    <font>
      <b/>
      <sz val="16"/>
      <color theme="1"/>
      <name val="Calibri"/>
      <family val="2"/>
      <scheme val="minor"/>
    </font>
    <font>
      <sz val="16"/>
      <color theme="1"/>
      <name val="Calibri"/>
      <family val="2"/>
      <scheme val="minor"/>
    </font>
    <font>
      <sz val="10"/>
      <color theme="1"/>
      <name val="Calibri"/>
      <family val="2"/>
      <scheme val="minor"/>
    </font>
    <font>
      <b/>
      <sz val="20"/>
      <color rgb="FF000000"/>
      <name val="Calibri"/>
      <family val="2"/>
      <scheme val="minor"/>
    </font>
    <font>
      <i/>
      <sz val="12"/>
      <color theme="1"/>
      <name val="Calibri"/>
      <family val="2"/>
      <scheme val="minor"/>
    </font>
    <font>
      <i/>
      <sz val="12"/>
      <color rgb="FF000000"/>
      <name val="Calibri"/>
      <family val="2"/>
      <scheme val="minor"/>
    </font>
    <font>
      <b/>
      <sz val="16"/>
      <color rgb="FF000000"/>
      <name val="Calibri"/>
      <family val="2"/>
      <scheme val="minor"/>
    </font>
    <font>
      <sz val="8"/>
      <color theme="1"/>
      <name val="Calibri (Body)"/>
    </font>
    <font>
      <b/>
      <sz val="8"/>
      <color theme="1"/>
      <name val="Calibri (Body)"/>
    </font>
    <font>
      <sz val="8"/>
      <color rgb="FF000000"/>
      <name val="Calibri (Body)"/>
    </font>
    <font>
      <sz val="7"/>
      <color theme="1"/>
      <name val="GothamNarrow"/>
    </font>
    <font>
      <sz val="6"/>
      <color theme="1"/>
      <name val="GothamNarrow"/>
    </font>
  </fonts>
  <fills count="12">
    <fill>
      <patternFill patternType="none"/>
    </fill>
    <fill>
      <patternFill patternType="gray125"/>
    </fill>
    <fill>
      <patternFill patternType="solid">
        <fgColor rgb="FFC6EFCE"/>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3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2" borderId="0" applyNumberFormat="0" applyBorder="0" applyAlignment="0" applyProtection="0"/>
  </cellStyleXfs>
  <cellXfs count="746">
    <xf numFmtId="0" fontId="0" fillId="0" borderId="0" xfId="0"/>
    <xf numFmtId="0" fontId="3" fillId="0" borderId="0" xfId="0" applyFont="1"/>
    <xf numFmtId="0" fontId="0" fillId="0" borderId="0" xfId="0" applyAlignment="1"/>
    <xf numFmtId="0" fontId="2" fillId="0" borderId="0" xfId="0" applyFont="1"/>
    <xf numFmtId="2" fontId="0" fillId="0" borderId="0" xfId="0" applyNumberFormat="1"/>
    <xf numFmtId="0" fontId="0" fillId="0" borderId="0" xfId="0" applyBorder="1"/>
    <xf numFmtId="2" fontId="0" fillId="0" borderId="0" xfId="0" applyNumberFormat="1" applyBorder="1"/>
    <xf numFmtId="166" fontId="0" fillId="0" borderId="0" xfId="0" applyNumberFormat="1" applyBorder="1"/>
    <xf numFmtId="169" fontId="0" fillId="0" borderId="0" xfId="0" applyNumberFormat="1" applyBorder="1"/>
    <xf numFmtId="0" fontId="0" fillId="0" borderId="0" xfId="0" applyFill="1" applyBorder="1"/>
    <xf numFmtId="0" fontId="0" fillId="0" borderId="0" xfId="0" applyFont="1"/>
    <xf numFmtId="0" fontId="0" fillId="0" borderId="0" xfId="0" applyFont="1" applyBorder="1"/>
    <xf numFmtId="0" fontId="0" fillId="0" borderId="0" xfId="0" applyFont="1" applyBorder="1" applyAlignment="1"/>
    <xf numFmtId="0" fontId="3" fillId="0" borderId="0" xfId="0" applyFont="1" applyBorder="1"/>
    <xf numFmtId="0" fontId="2" fillId="0" borderId="0" xfId="0" applyFont="1" applyBorder="1"/>
    <xf numFmtId="1" fontId="0" fillId="0" borderId="0" xfId="0" applyNumberFormat="1" applyBorder="1"/>
    <xf numFmtId="2" fontId="3" fillId="0" borderId="0" xfId="0" applyNumberFormat="1" applyFont="1"/>
    <xf numFmtId="0" fontId="2" fillId="0" borderId="0" xfId="0" applyFont="1" applyFill="1" applyBorder="1"/>
    <xf numFmtId="2" fontId="0" fillId="0" borderId="0" xfId="0" applyNumberFormat="1" applyFont="1" applyBorder="1"/>
    <xf numFmtId="166" fontId="2" fillId="0" borderId="0" xfId="0" applyNumberFormat="1" applyFont="1" applyBorder="1"/>
    <xf numFmtId="0" fontId="0" fillId="0" borderId="0" xfId="0" applyAlignment="1">
      <alignment horizontal="center"/>
    </xf>
    <xf numFmtId="0" fontId="0" fillId="0" borderId="0" xfId="0" applyBorder="1" applyAlignment="1">
      <alignment horizontal="center"/>
    </xf>
    <xf numFmtId="0" fontId="0" fillId="0" borderId="0" xfId="0" applyAlignment="1">
      <alignment horizontal="left"/>
    </xf>
    <xf numFmtId="9" fontId="0" fillId="0" borderId="0" xfId="2" applyFont="1" applyBorder="1" applyAlignment="1">
      <alignment horizontal="center"/>
    </xf>
    <xf numFmtId="2" fontId="0" fillId="0" borderId="0" xfId="0" applyNumberFormat="1" applyBorder="1" applyAlignment="1">
      <alignment horizontal="center"/>
    </xf>
    <xf numFmtId="0" fontId="7" fillId="0" borderId="0" xfId="0" applyFont="1" applyAlignment="1">
      <alignment horizontal="left"/>
    </xf>
    <xf numFmtId="0" fontId="0" fillId="0" borderId="5"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6" xfId="0" applyBorder="1"/>
    <xf numFmtId="0" fontId="0" fillId="0" borderId="7" xfId="0" applyBorder="1"/>
    <xf numFmtId="0" fontId="0" fillId="0" borderId="14" xfId="0" applyBorder="1"/>
    <xf numFmtId="0" fontId="0" fillId="0" borderId="15" xfId="0" applyBorder="1"/>
    <xf numFmtId="0" fontId="0" fillId="0" borderId="17" xfId="0" applyBorder="1"/>
    <xf numFmtId="0" fontId="0" fillId="0" borderId="20" xfId="0" applyBorder="1"/>
    <xf numFmtId="0" fontId="0" fillId="0" borderId="21" xfId="0" applyBorder="1"/>
    <xf numFmtId="0" fontId="2" fillId="0" borderId="14" xfId="0" applyFont="1" applyBorder="1"/>
    <xf numFmtId="0" fontId="2" fillId="0" borderId="21" xfId="0" applyFont="1" applyBorder="1"/>
    <xf numFmtId="0" fontId="2" fillId="0" borderId="20" xfId="0" applyFont="1" applyBorder="1"/>
    <xf numFmtId="0" fontId="2" fillId="0" borderId="8" xfId="0" applyFont="1" applyBorder="1"/>
    <xf numFmtId="0" fontId="2" fillId="0" borderId="10" xfId="0" applyFont="1" applyBorder="1"/>
    <xf numFmtId="0" fontId="2" fillId="0" borderId="9" xfId="0" applyFont="1" applyBorder="1"/>
    <xf numFmtId="0" fontId="2" fillId="4" borderId="17" xfId="0" applyFont="1" applyFill="1" applyBorder="1"/>
    <xf numFmtId="0" fontId="0" fillId="4" borderId="18" xfId="0" applyFill="1" applyBorder="1"/>
    <xf numFmtId="0" fontId="0" fillId="4" borderId="19" xfId="0" applyFill="1" applyBorder="1"/>
    <xf numFmtId="0" fontId="2" fillId="4" borderId="20" xfId="0" applyFont="1" applyFill="1" applyBorder="1"/>
    <xf numFmtId="0" fontId="0" fillId="4" borderId="14" xfId="0" applyFill="1" applyBorder="1"/>
    <xf numFmtId="0" fontId="0" fillId="4" borderId="21" xfId="0" applyFill="1" applyBorder="1"/>
    <xf numFmtId="0" fontId="2" fillId="4" borderId="22" xfId="0" applyFont="1" applyFill="1" applyBorder="1"/>
    <xf numFmtId="0" fontId="0" fillId="4" borderId="23" xfId="0" applyFill="1" applyBorder="1"/>
    <xf numFmtId="0" fontId="0" fillId="4" borderId="24" xfId="0" applyFill="1" applyBorder="1"/>
    <xf numFmtId="0" fontId="0" fillId="5" borderId="0" xfId="0" applyFill="1" applyBorder="1"/>
    <xf numFmtId="0" fontId="0" fillId="5" borderId="9" xfId="0" applyFill="1" applyBorder="1"/>
    <xf numFmtId="0" fontId="2" fillId="4" borderId="8" xfId="0" applyFont="1" applyFill="1" applyBorder="1"/>
    <xf numFmtId="0" fontId="0" fillId="4" borderId="0" xfId="0" applyFill="1" applyBorder="1"/>
    <xf numFmtId="0" fontId="0" fillId="4" borderId="9" xfId="0" applyFill="1" applyBorder="1"/>
    <xf numFmtId="0" fontId="2" fillId="4" borderId="10" xfId="0" applyFont="1" applyFill="1" applyBorder="1"/>
    <xf numFmtId="0" fontId="0" fillId="4" borderId="11" xfId="0" applyFill="1" applyBorder="1"/>
    <xf numFmtId="0" fontId="0" fillId="4" borderId="12" xfId="0" applyFill="1" applyBorder="1"/>
    <xf numFmtId="0" fontId="2" fillId="0" borderId="18" xfId="0" applyFont="1" applyBorder="1"/>
    <xf numFmtId="0" fontId="2" fillId="0" borderId="26" xfId="0" applyFont="1" applyBorder="1"/>
    <xf numFmtId="0" fontId="0" fillId="4" borderId="15" xfId="0" applyFill="1" applyBorder="1"/>
    <xf numFmtId="0" fontId="0" fillId="4" borderId="16" xfId="0" applyFill="1" applyBorder="1"/>
    <xf numFmtId="0" fontId="2" fillId="0" borderId="7" xfId="0" applyFont="1" applyBorder="1"/>
    <xf numFmtId="0" fontId="0" fillId="4" borderId="26" xfId="0" applyFill="1" applyBorder="1"/>
    <xf numFmtId="0" fontId="0" fillId="4" borderId="7" xfId="0" applyFill="1" applyBorder="1"/>
    <xf numFmtId="0" fontId="0" fillId="6" borderId="0" xfId="0" applyFill="1"/>
    <xf numFmtId="0" fontId="0" fillId="6" borderId="0" xfId="0" applyFill="1" applyAlignment="1">
      <alignment horizontal="left"/>
    </xf>
    <xf numFmtId="0" fontId="7" fillId="6" borderId="0" xfId="0" applyFont="1" applyFill="1" applyAlignment="1">
      <alignment horizontal="left"/>
    </xf>
    <xf numFmtId="0" fontId="2" fillId="5" borderId="20" xfId="0" applyFont="1" applyFill="1" applyBorder="1"/>
    <xf numFmtId="0" fontId="0" fillId="5" borderId="14" xfId="0" applyFill="1" applyBorder="1"/>
    <xf numFmtId="0" fontId="0" fillId="5" borderId="15" xfId="0" applyFill="1" applyBorder="1"/>
    <xf numFmtId="0" fontId="0" fillId="0" borderId="20" xfId="0" applyFont="1" applyBorder="1"/>
    <xf numFmtId="0" fontId="0" fillId="4" borderId="6" xfId="0" applyFill="1" applyBorder="1"/>
    <xf numFmtId="0" fontId="2" fillId="0" borderId="14" xfId="0" applyFont="1" applyBorder="1" applyAlignment="1"/>
    <xf numFmtId="0" fontId="2" fillId="0" borderId="0" xfId="0" applyFont="1" applyBorder="1" applyAlignment="1"/>
    <xf numFmtId="0" fontId="2" fillId="0" borderId="9" xfId="0" applyFont="1" applyBorder="1" applyAlignment="1"/>
    <xf numFmtId="0" fontId="0" fillId="5" borderId="14" xfId="0" applyFill="1" applyBorder="1" applyAlignment="1"/>
    <xf numFmtId="0" fontId="0" fillId="5" borderId="0" xfId="0" applyFill="1" applyBorder="1" applyAlignment="1"/>
    <xf numFmtId="0" fontId="0" fillId="5" borderId="9" xfId="0" applyFill="1" applyBorder="1" applyAlignment="1"/>
    <xf numFmtId="0" fontId="0" fillId="0" borderId="14" xfId="0" applyBorder="1" applyAlignment="1"/>
    <xf numFmtId="0" fontId="0" fillId="0" borderId="0" xfId="0" applyBorder="1" applyAlignment="1"/>
    <xf numFmtId="0" fontId="0" fillId="0" borderId="9" xfId="0" applyBorder="1" applyAlignment="1"/>
    <xf numFmtId="0" fontId="2" fillId="0" borderId="0" xfId="0" applyFont="1" applyBorder="1" applyAlignment="1">
      <alignment horizontal="center"/>
    </xf>
    <xf numFmtId="0" fontId="0" fillId="5" borderId="0" xfId="0" applyFill="1" applyBorder="1" applyAlignment="1">
      <alignment horizontal="center"/>
    </xf>
    <xf numFmtId="0" fontId="0" fillId="0" borderId="9" xfId="0" applyBorder="1" applyAlignment="1">
      <alignment horizontal="center"/>
    </xf>
    <xf numFmtId="9" fontId="0" fillId="0" borderId="11" xfId="2" applyFont="1" applyBorder="1" applyAlignment="1">
      <alignment horizontal="center"/>
    </xf>
    <xf numFmtId="169" fontId="0" fillId="0" borderId="11" xfId="2" applyNumberFormat="1" applyFont="1" applyBorder="1" applyAlignment="1">
      <alignment horizontal="center"/>
    </xf>
    <xf numFmtId="166" fontId="0" fillId="0" borderId="11" xfId="0" applyNumberFormat="1" applyBorder="1" applyAlignment="1">
      <alignment horizontal="center"/>
    </xf>
    <xf numFmtId="2" fontId="0" fillId="0" borderId="11" xfId="0" applyNumberFormat="1" applyBorder="1" applyAlignment="1">
      <alignment horizontal="center"/>
    </xf>
    <xf numFmtId="1" fontId="0" fillId="0" borderId="11" xfId="0" applyNumberFormat="1" applyBorder="1" applyAlignment="1">
      <alignment horizontal="center"/>
    </xf>
    <xf numFmtId="0" fontId="0" fillId="0" borderId="11" xfId="0" applyBorder="1" applyAlignment="1">
      <alignment horizontal="center"/>
    </xf>
    <xf numFmtId="0" fontId="2" fillId="0" borderId="8" xfId="0" applyFont="1" applyBorder="1" applyAlignment="1">
      <alignment horizontal="center"/>
    </xf>
    <xf numFmtId="9" fontId="0" fillId="5" borderId="0" xfId="2" applyFont="1" applyFill="1" applyBorder="1" applyAlignment="1">
      <alignment horizontal="center"/>
    </xf>
    <xf numFmtId="0" fontId="0" fillId="0" borderId="5" xfId="0"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2" fillId="5" borderId="8" xfId="0" applyFont="1" applyFill="1" applyBorder="1" applyAlignment="1">
      <alignment horizontal="center"/>
    </xf>
    <xf numFmtId="0" fontId="2" fillId="0" borderId="10" xfId="0" applyFont="1" applyBorder="1" applyAlignment="1">
      <alignment horizontal="center"/>
    </xf>
    <xf numFmtId="0" fontId="6" fillId="6" borderId="0" xfId="0" applyFont="1" applyFill="1"/>
    <xf numFmtId="0" fontId="2" fillId="7" borderId="1" xfId="0" applyFont="1" applyFill="1" applyBorder="1" applyAlignment="1">
      <alignment horizont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2" fillId="7" borderId="6" xfId="0" applyFont="1" applyFill="1" applyBorder="1" applyAlignment="1">
      <alignment horizontal="center"/>
    </xf>
    <xf numFmtId="0" fontId="2" fillId="7" borderId="7" xfId="0" applyFont="1" applyFill="1" applyBorder="1" applyAlignment="1">
      <alignment horizontal="center"/>
    </xf>
    <xf numFmtId="0" fontId="3" fillId="0" borderId="9" xfId="0" applyFont="1" applyBorder="1"/>
    <xf numFmtId="2" fontId="0" fillId="0" borderId="11" xfId="0" applyNumberFormat="1" applyBorder="1"/>
    <xf numFmtId="166" fontId="0" fillId="0" borderId="11" xfId="0" applyNumberFormat="1" applyBorder="1"/>
    <xf numFmtId="0" fontId="2" fillId="0" borderId="5" xfId="0" applyFont="1" applyBorder="1"/>
    <xf numFmtId="0" fontId="0" fillId="0" borderId="0" xfId="0" applyBorder="1" applyAlignment="1">
      <alignment horizontal="right"/>
    </xf>
    <xf numFmtId="0" fontId="0" fillId="0" borderId="11" xfId="0" applyBorder="1" applyAlignment="1">
      <alignment horizontal="right"/>
    </xf>
    <xf numFmtId="0" fontId="2" fillId="7" borderId="1" xfId="0" applyFont="1" applyFill="1" applyBorder="1"/>
    <xf numFmtId="0" fontId="2" fillId="7" borderId="2" xfId="0" applyFont="1" applyFill="1" applyBorder="1"/>
    <xf numFmtId="0" fontId="2" fillId="7" borderId="3" xfId="0" applyFont="1" applyFill="1" applyBorder="1"/>
    <xf numFmtId="0" fontId="0" fillId="5" borderId="0" xfId="0" applyFill="1" applyBorder="1" applyAlignment="1">
      <alignment horizontal="right"/>
    </xf>
    <xf numFmtId="1" fontId="0" fillId="5" borderId="0" xfId="0" applyNumberFormat="1" applyFill="1" applyBorder="1"/>
    <xf numFmtId="2" fontId="0" fillId="5" borderId="0" xfId="0" applyNumberFormat="1" applyFill="1" applyBorder="1"/>
    <xf numFmtId="166" fontId="0" fillId="5" borderId="0" xfId="0" applyNumberFormat="1" applyFill="1" applyBorder="1"/>
    <xf numFmtId="0" fontId="0" fillId="5" borderId="21" xfId="0" applyFill="1" applyBorder="1"/>
    <xf numFmtId="3" fontId="0" fillId="5" borderId="0" xfId="0" applyNumberFormat="1" applyFill="1" applyBorder="1"/>
    <xf numFmtId="0" fontId="3" fillId="5" borderId="0" xfId="0" applyFont="1" applyFill="1" applyBorder="1" applyAlignment="1">
      <alignment horizontal="right"/>
    </xf>
    <xf numFmtId="0" fontId="3" fillId="5" borderId="0" xfId="0" applyFont="1" applyFill="1" applyBorder="1"/>
    <xf numFmtId="0" fontId="3" fillId="5" borderId="9" xfId="0" applyFont="1" applyFill="1" applyBorder="1"/>
    <xf numFmtId="166" fontId="0" fillId="0" borderId="9" xfId="0" applyNumberFormat="1" applyBorder="1"/>
    <xf numFmtId="1" fontId="0" fillId="0" borderId="11" xfId="0" applyNumberFormat="1" applyBorder="1"/>
    <xf numFmtId="166" fontId="0" fillId="0" borderId="12" xfId="0" applyNumberFormat="1" applyBorder="1"/>
    <xf numFmtId="1" fontId="3" fillId="5" borderId="0" xfId="0" applyNumberFormat="1" applyFont="1" applyFill="1" applyBorder="1"/>
    <xf numFmtId="0" fontId="0" fillId="5" borderId="11" xfId="0" applyFill="1" applyBorder="1"/>
    <xf numFmtId="1" fontId="0" fillId="0" borderId="6" xfId="0" applyNumberFormat="1" applyBorder="1"/>
    <xf numFmtId="0" fontId="0" fillId="5" borderId="8" xfId="0" applyFill="1" applyBorder="1"/>
    <xf numFmtId="166" fontId="0" fillId="0" borderId="15" xfId="0" applyNumberFormat="1" applyFill="1" applyBorder="1"/>
    <xf numFmtId="166" fontId="0" fillId="0" borderId="9" xfId="0" applyNumberFormat="1" applyFill="1" applyBorder="1"/>
    <xf numFmtId="164" fontId="0" fillId="0" borderId="0" xfId="0" applyNumberFormat="1" applyFill="1" applyBorder="1"/>
    <xf numFmtId="1" fontId="0" fillId="0" borderId="0" xfId="0" applyNumberFormat="1" applyFill="1" applyBorder="1"/>
    <xf numFmtId="2" fontId="0" fillId="0" borderId="0" xfId="0" applyNumberFormat="1" applyFill="1" applyBorder="1"/>
    <xf numFmtId="165" fontId="0" fillId="0" borderId="15" xfId="0" applyNumberFormat="1" applyFill="1" applyBorder="1"/>
    <xf numFmtId="0" fontId="0" fillId="0" borderId="11" xfId="0" applyFill="1" applyBorder="1"/>
    <xf numFmtId="166" fontId="0" fillId="0" borderId="16" xfId="0" applyNumberFormat="1" applyFill="1" applyBorder="1"/>
    <xf numFmtId="166" fontId="0" fillId="0" borderId="12" xfId="0" applyNumberFormat="1" applyFill="1" applyBorder="1"/>
    <xf numFmtId="164" fontId="0" fillId="5" borderId="0" xfId="0" applyNumberFormat="1" applyFill="1" applyBorder="1"/>
    <xf numFmtId="166" fontId="0" fillId="0" borderId="0" xfId="0" applyNumberFormat="1" applyFill="1" applyBorder="1"/>
    <xf numFmtId="2" fontId="0" fillId="5" borderId="15" xfId="0" applyNumberFormat="1" applyFill="1" applyBorder="1"/>
    <xf numFmtId="2" fontId="0" fillId="0" borderId="15" xfId="0" applyNumberFormat="1" applyFill="1" applyBorder="1"/>
    <xf numFmtId="0" fontId="2" fillId="7" borderId="28" xfId="0" applyFont="1" applyFill="1" applyBorder="1" applyAlignment="1">
      <alignment horizontal="center"/>
    </xf>
    <xf numFmtId="0" fontId="2" fillId="7" borderId="25" xfId="0" applyFont="1" applyFill="1" applyBorder="1" applyAlignment="1">
      <alignment horizontal="center"/>
    </xf>
    <xf numFmtId="0" fontId="0" fillId="0" borderId="0" xfId="0" applyFill="1" applyBorder="1" applyAlignment="1">
      <alignment horizontal="right"/>
    </xf>
    <xf numFmtId="0" fontId="0" fillId="0" borderId="27" xfId="0" applyFill="1" applyBorder="1" applyAlignment="1">
      <alignment horizontal="right"/>
    </xf>
    <xf numFmtId="0" fontId="0" fillId="5" borderId="27" xfId="0" applyFill="1" applyBorder="1" applyAlignment="1">
      <alignment horizontal="right"/>
    </xf>
    <xf numFmtId="164" fontId="0" fillId="0" borderId="0" xfId="0" applyNumberFormat="1" applyFill="1" applyBorder="1" applyAlignment="1">
      <alignment horizontal="right"/>
    </xf>
    <xf numFmtId="164" fontId="0" fillId="5" borderId="0" xfId="0" applyNumberFormat="1" applyFill="1" applyBorder="1" applyAlignment="1">
      <alignment horizontal="right"/>
    </xf>
    <xf numFmtId="0" fontId="2" fillId="0" borderId="8" xfId="0" applyFont="1" applyFill="1" applyBorder="1"/>
    <xf numFmtId="0" fontId="10" fillId="4" borderId="27" xfId="0" applyFont="1" applyFill="1" applyBorder="1" applyAlignment="1">
      <alignment horizontal="center"/>
    </xf>
    <xf numFmtId="0" fontId="10" fillId="4" borderId="0" xfId="0" applyFont="1" applyFill="1" applyBorder="1" applyAlignment="1">
      <alignment horizontal="center"/>
    </xf>
    <xf numFmtId="0" fontId="10" fillId="4" borderId="15" xfId="0" applyFont="1" applyFill="1" applyBorder="1" applyAlignment="1">
      <alignment horizontal="center"/>
    </xf>
    <xf numFmtId="0" fontId="2" fillId="4" borderId="8" xfId="0" applyFont="1" applyFill="1" applyBorder="1" applyAlignment="1">
      <alignment horizontal="center"/>
    </xf>
    <xf numFmtId="2" fontId="2" fillId="4" borderId="0" xfId="0" applyNumberFormat="1" applyFont="1" applyFill="1" applyBorder="1"/>
    <xf numFmtId="2" fontId="2" fillId="0" borderId="0" xfId="0" applyNumberFormat="1" applyFont="1" applyBorder="1"/>
    <xf numFmtId="0" fontId="2" fillId="7" borderId="5" xfId="0" applyFont="1" applyFill="1" applyBorder="1"/>
    <xf numFmtId="0" fontId="0" fillId="0" borderId="6" xfId="0" applyBorder="1" applyAlignment="1">
      <alignment horizontal="right"/>
    </xf>
    <xf numFmtId="2" fontId="0" fillId="0" borderId="6" xfId="0" applyNumberFormat="1" applyBorder="1"/>
    <xf numFmtId="166" fontId="0" fillId="0" borderId="6" xfId="0" applyNumberFormat="1" applyBorder="1"/>
    <xf numFmtId="2" fontId="2" fillId="0" borderId="6" xfId="0" applyNumberFormat="1" applyFont="1" applyBorder="1"/>
    <xf numFmtId="2" fontId="2" fillId="0" borderId="11" xfId="0" applyNumberFormat="1" applyFont="1" applyBorder="1"/>
    <xf numFmtId="167" fontId="0" fillId="0" borderId="0" xfId="2" applyNumberFormat="1" applyFont="1" applyBorder="1"/>
    <xf numFmtId="0" fontId="2" fillId="7" borderId="6" xfId="0" applyFont="1" applyFill="1" applyBorder="1"/>
    <xf numFmtId="167" fontId="0" fillId="5" borderId="0" xfId="2" applyNumberFormat="1" applyFont="1" applyFill="1" applyBorder="1"/>
    <xf numFmtId="0" fontId="10" fillId="3" borderId="1" xfId="0" applyFont="1" applyFill="1" applyBorder="1"/>
    <xf numFmtId="2" fontId="10" fillId="3" borderId="2" xfId="0" applyNumberFormat="1" applyFont="1" applyFill="1" applyBorder="1"/>
    <xf numFmtId="0" fontId="10" fillId="3" borderId="3" xfId="0" applyFont="1" applyFill="1" applyBorder="1"/>
    <xf numFmtId="0" fontId="2" fillId="0" borderId="10" xfId="0" applyFont="1" applyFill="1" applyBorder="1"/>
    <xf numFmtId="1" fontId="0" fillId="0" borderId="11" xfId="0" applyNumberFormat="1" applyFill="1" applyBorder="1"/>
    <xf numFmtId="2" fontId="2" fillId="0" borderId="0" xfId="0" applyNumberFormat="1" applyFont="1" applyFill="1" applyBorder="1"/>
    <xf numFmtId="0" fontId="0" fillId="0" borderId="11" xfId="0" applyFill="1" applyBorder="1" applyAlignment="1">
      <alignment horizontal="right"/>
    </xf>
    <xf numFmtId="2" fontId="0" fillId="0" borderId="16" xfId="0" applyNumberFormat="1" applyFill="1" applyBorder="1"/>
    <xf numFmtId="0" fontId="0" fillId="0" borderId="29" xfId="0" applyFill="1" applyBorder="1" applyAlignment="1">
      <alignment horizontal="right"/>
    </xf>
    <xf numFmtId="2" fontId="10" fillId="3" borderId="0" xfId="0" applyNumberFormat="1" applyFont="1" applyFill="1" applyBorder="1"/>
    <xf numFmtId="0" fontId="10" fillId="3" borderId="5" xfId="0" applyFont="1" applyFill="1" applyBorder="1"/>
    <xf numFmtId="2" fontId="10" fillId="3" borderId="6" xfId="0" applyNumberFormat="1" applyFont="1" applyFill="1" applyBorder="1"/>
    <xf numFmtId="0" fontId="10" fillId="3" borderId="7" xfId="0" applyFont="1" applyFill="1" applyBorder="1"/>
    <xf numFmtId="0" fontId="10" fillId="3" borderId="8" xfId="0" applyFont="1" applyFill="1" applyBorder="1"/>
    <xf numFmtId="0" fontId="10" fillId="3" borderId="9" xfId="0" applyFont="1" applyFill="1" applyBorder="1"/>
    <xf numFmtId="0" fontId="10" fillId="3" borderId="10" xfId="0" applyFont="1" applyFill="1" applyBorder="1"/>
    <xf numFmtId="2" fontId="10" fillId="3" borderId="11" xfId="0" applyNumberFormat="1" applyFont="1" applyFill="1" applyBorder="1"/>
    <xf numFmtId="0" fontId="10" fillId="3" borderId="12" xfId="0" applyFont="1" applyFill="1" applyBorder="1"/>
    <xf numFmtId="0" fontId="2" fillId="0" borderId="0" xfId="0" applyFont="1" applyFill="1" applyBorder="1" applyAlignment="1">
      <alignment horizontal="center"/>
    </xf>
    <xf numFmtId="166" fontId="2" fillId="0" borderId="0" xfId="0" applyNumberFormat="1" applyFont="1" applyFill="1" applyBorder="1"/>
    <xf numFmtId="0" fontId="5" fillId="0" borderId="0" xfId="0" applyFont="1" applyFill="1" applyBorder="1" applyAlignment="1">
      <alignment horizontal="center"/>
    </xf>
    <xf numFmtId="166" fontId="5" fillId="0" borderId="0" xfId="0" applyNumberFormat="1" applyFont="1" applyFill="1" applyBorder="1"/>
    <xf numFmtId="166" fontId="0" fillId="4" borderId="9" xfId="0" applyNumberFormat="1" applyFill="1" applyBorder="1"/>
    <xf numFmtId="166" fontId="0" fillId="4" borderId="15" xfId="0" applyNumberFormat="1" applyFill="1" applyBorder="1"/>
    <xf numFmtId="165" fontId="0" fillId="4" borderId="15" xfId="0" applyNumberFormat="1" applyFill="1" applyBorder="1"/>
    <xf numFmtId="167" fontId="0" fillId="0" borderId="11" xfId="2" applyNumberFormat="1" applyFont="1" applyBorder="1"/>
    <xf numFmtId="167" fontId="0" fillId="0" borderId="11" xfId="0" applyNumberFormat="1" applyBorder="1"/>
    <xf numFmtId="166" fontId="0" fillId="4" borderId="12" xfId="0" applyNumberFormat="1" applyFill="1" applyBorder="1"/>
    <xf numFmtId="0" fontId="0" fillId="7" borderId="1" xfId="0" applyFill="1" applyBorder="1" applyAlignment="1">
      <alignment horizontal="center"/>
    </xf>
    <xf numFmtId="167" fontId="2" fillId="7" borderId="2" xfId="2" applyNumberFormat="1" applyFont="1" applyFill="1" applyBorder="1" applyAlignment="1">
      <alignment horizontal="center"/>
    </xf>
    <xf numFmtId="3" fontId="12" fillId="0" borderId="0" xfId="0" applyNumberFormat="1" applyFont="1" applyBorder="1"/>
    <xf numFmtId="3" fontId="10" fillId="0" borderId="8" xfId="0" applyNumberFormat="1" applyFont="1" applyBorder="1"/>
    <xf numFmtId="3" fontId="10" fillId="3" borderId="5" xfId="0" applyNumberFormat="1" applyFont="1" applyFill="1" applyBorder="1"/>
    <xf numFmtId="3" fontId="10" fillId="3" borderId="10" xfId="0" applyNumberFormat="1" applyFont="1" applyFill="1" applyBorder="1"/>
    <xf numFmtId="2" fontId="10" fillId="0" borderId="0" xfId="0" applyNumberFormat="1" applyFont="1" applyFill="1" applyBorder="1"/>
    <xf numFmtId="0" fontId="10" fillId="0" borderId="9" xfId="0" applyFont="1" applyFill="1" applyBorder="1"/>
    <xf numFmtId="3" fontId="10" fillId="5" borderId="8" xfId="0" applyNumberFormat="1" applyFont="1" applyFill="1" applyBorder="1"/>
    <xf numFmtId="3" fontId="10" fillId="5" borderId="10" xfId="0" applyNumberFormat="1" applyFont="1" applyFill="1" applyBorder="1"/>
    <xf numFmtId="167" fontId="11" fillId="0" borderId="0" xfId="2" applyNumberFormat="1" applyFont="1" applyBorder="1"/>
    <xf numFmtId="9" fontId="11" fillId="5" borderId="11" xfId="2" applyFont="1" applyFill="1" applyBorder="1"/>
    <xf numFmtId="0" fontId="11" fillId="0" borderId="9" xfId="0" applyFont="1" applyBorder="1"/>
    <xf numFmtId="0" fontId="11" fillId="5" borderId="12" xfId="0" applyFont="1" applyFill="1" applyBorder="1"/>
    <xf numFmtId="3" fontId="10" fillId="5" borderId="0" xfId="1" applyNumberFormat="1" applyFont="1" applyFill="1" applyBorder="1"/>
    <xf numFmtId="0" fontId="10" fillId="5" borderId="9" xfId="0" applyFont="1" applyFill="1" applyBorder="1"/>
    <xf numFmtId="0" fontId="0" fillId="0" borderId="8" xfId="0" applyFont="1" applyBorder="1"/>
    <xf numFmtId="4" fontId="0" fillId="0" borderId="0" xfId="0" applyNumberFormat="1" applyFont="1" applyBorder="1"/>
    <xf numFmtId="4" fontId="0" fillId="0" borderId="0" xfId="0" applyNumberFormat="1" applyFont="1" applyBorder="1" applyAlignment="1">
      <alignment horizontal="center"/>
    </xf>
    <xf numFmtId="4" fontId="0" fillId="0" borderId="9" xfId="0" applyNumberFormat="1" applyFont="1" applyBorder="1" applyAlignment="1">
      <alignment horizontal="center"/>
    </xf>
    <xf numFmtId="0" fontId="0" fillId="0" borderId="10" xfId="0" applyFont="1" applyBorder="1"/>
    <xf numFmtId="168" fontId="2" fillId="0" borderId="0" xfId="3" applyNumberFormat="1" applyFont="1" applyFill="1" applyBorder="1"/>
    <xf numFmtId="0" fontId="0" fillId="0" borderId="9" xfId="0" applyFont="1" applyBorder="1"/>
    <xf numFmtId="0" fontId="0" fillId="0" borderId="12" xfId="0" applyFont="1" applyBorder="1"/>
    <xf numFmtId="0" fontId="0" fillId="7" borderId="1" xfId="0" applyFont="1" applyFill="1" applyBorder="1"/>
    <xf numFmtId="0" fontId="0" fillId="7" borderId="3" xfId="0" applyFont="1" applyFill="1" applyBorder="1"/>
    <xf numFmtId="0" fontId="0" fillId="5" borderId="8" xfId="0" applyFont="1" applyFill="1" applyBorder="1"/>
    <xf numFmtId="4" fontId="0" fillId="5" borderId="0" xfId="0" applyNumberFormat="1" applyFont="1" applyFill="1" applyBorder="1"/>
    <xf numFmtId="4" fontId="0" fillId="5" borderId="0" xfId="0" applyNumberFormat="1" applyFont="1" applyFill="1" applyBorder="1" applyAlignment="1">
      <alignment horizontal="center"/>
    </xf>
    <xf numFmtId="4" fontId="0" fillId="4" borderId="9" xfId="0" applyNumberFormat="1" applyFont="1" applyFill="1" applyBorder="1" applyAlignment="1">
      <alignment horizontal="center"/>
    </xf>
    <xf numFmtId="3" fontId="10" fillId="0" borderId="8" xfId="0" applyNumberFormat="1" applyFont="1" applyFill="1" applyBorder="1"/>
    <xf numFmtId="3" fontId="10" fillId="0" borderId="0" xfId="1" applyNumberFormat="1" applyFont="1" applyFill="1" applyBorder="1"/>
    <xf numFmtId="3" fontId="10" fillId="3" borderId="6" xfId="1" applyNumberFormat="1" applyFont="1" applyFill="1" applyBorder="1"/>
    <xf numFmtId="3" fontId="10" fillId="3" borderId="11" xfId="1" applyNumberFormat="1" applyFont="1" applyFill="1" applyBorder="1"/>
    <xf numFmtId="0" fontId="10" fillId="0" borderId="0" xfId="0" applyFont="1" applyFill="1" applyBorder="1"/>
    <xf numFmtId="0" fontId="6" fillId="6" borderId="0" xfId="0" applyFont="1" applyFill="1" applyAlignment="1"/>
    <xf numFmtId="0" fontId="6" fillId="0" borderId="0" xfId="0" applyFont="1" applyFill="1" applyAlignment="1"/>
    <xf numFmtId="0" fontId="0" fillId="0" borderId="0" xfId="0" applyFill="1"/>
    <xf numFmtId="0" fontId="0" fillId="0" borderId="0" xfId="0" applyFill="1" applyAlignment="1">
      <alignment horizontal="left"/>
    </xf>
    <xf numFmtId="0" fontId="0" fillId="0" borderId="0" xfId="0" applyFill="1" applyAlignment="1"/>
    <xf numFmtId="2" fontId="0" fillId="0" borderId="9" xfId="0" applyNumberFormat="1" applyBorder="1" applyAlignment="1">
      <alignment horizontal="center"/>
    </xf>
    <xf numFmtId="2" fontId="0" fillId="0" borderId="12" xfId="0" applyNumberFormat="1" applyBorder="1" applyAlignment="1">
      <alignment horizontal="center"/>
    </xf>
    <xf numFmtId="2" fontId="0" fillId="5" borderId="0" xfId="0" applyNumberFormat="1" applyFill="1" applyBorder="1" applyAlignment="1">
      <alignment horizontal="center"/>
    </xf>
    <xf numFmtId="0" fontId="7" fillId="6" borderId="0" xfId="0" applyFont="1" applyFill="1"/>
    <xf numFmtId="0" fontId="0" fillId="6" borderId="0" xfId="0" applyFill="1" applyAlignment="1">
      <alignment horizontal="left" wrapText="1"/>
    </xf>
    <xf numFmtId="0" fontId="2" fillId="6" borderId="0" xfId="0" applyFont="1" applyFill="1"/>
    <xf numFmtId="0" fontId="0" fillId="6" borderId="0" xfId="0" applyFont="1" applyFill="1"/>
    <xf numFmtId="2" fontId="0" fillId="4" borderId="0" xfId="0" applyNumberFormat="1" applyFill="1" applyBorder="1" applyAlignment="1">
      <alignment horizontal="center"/>
    </xf>
    <xf numFmtId="2" fontId="0" fillId="4" borderId="9" xfId="0" applyNumberFormat="1" applyFill="1" applyBorder="1" applyAlignment="1">
      <alignment horizontal="center"/>
    </xf>
    <xf numFmtId="0" fontId="0" fillId="6" borderId="0" xfId="0" applyFont="1" applyFill="1" applyAlignment="1">
      <alignment horizontal="right"/>
    </xf>
    <xf numFmtId="0" fontId="0" fillId="6" borderId="0" xfId="0" applyFill="1" applyAlignment="1">
      <alignment horizontal="right"/>
    </xf>
    <xf numFmtId="0" fontId="0" fillId="4" borderId="13" xfId="0" applyFill="1" applyBorder="1"/>
    <xf numFmtId="0" fontId="0" fillId="3" borderId="13" xfId="0" applyFill="1" applyBorder="1"/>
    <xf numFmtId="0" fontId="2" fillId="8" borderId="1" xfId="0" applyFont="1" applyFill="1" applyBorder="1"/>
    <xf numFmtId="0" fontId="2" fillId="8" borderId="2" xfId="0" applyFont="1" applyFill="1" applyBorder="1" applyAlignment="1">
      <alignment horizontal="center"/>
    </xf>
    <xf numFmtId="0" fontId="2" fillId="8" borderId="3" xfId="0" applyFont="1" applyFill="1" applyBorder="1" applyAlignment="1">
      <alignment horizontal="center"/>
    </xf>
    <xf numFmtId="0" fontId="2" fillId="6" borderId="8" xfId="0" applyFont="1" applyFill="1" applyBorder="1" applyAlignment="1">
      <alignment horizontal="center"/>
    </xf>
    <xf numFmtId="2" fontId="0" fillId="6" borderId="0" xfId="0" applyNumberFormat="1" applyFill="1" applyBorder="1" applyAlignment="1">
      <alignment horizontal="center"/>
    </xf>
    <xf numFmtId="2" fontId="0" fillId="6" borderId="9" xfId="0" applyNumberFormat="1" applyFill="1" applyBorder="1" applyAlignment="1">
      <alignment horizontal="center"/>
    </xf>
    <xf numFmtId="9" fontId="0" fillId="0" borderId="0" xfId="2" applyFont="1" applyBorder="1"/>
    <xf numFmtId="2" fontId="0" fillId="0" borderId="0" xfId="2" applyNumberFormat="1" applyFont="1" applyBorder="1"/>
    <xf numFmtId="0" fontId="2" fillId="0" borderId="8" xfId="0" applyFont="1" applyBorder="1" applyAlignment="1">
      <alignment horizontal="left"/>
    </xf>
    <xf numFmtId="9" fontId="0" fillId="5" borderId="0" xfId="2" applyFont="1" applyFill="1" applyBorder="1"/>
    <xf numFmtId="0" fontId="0" fillId="5" borderId="12" xfId="0" applyFill="1" applyBorder="1"/>
    <xf numFmtId="0" fontId="2" fillId="0" borderId="8" xfId="0" applyFont="1" applyFill="1" applyBorder="1" applyAlignment="1">
      <alignment horizontal="left"/>
    </xf>
    <xf numFmtId="9" fontId="0" fillId="0" borderId="0" xfId="2" applyFont="1" applyFill="1" applyBorder="1"/>
    <xf numFmtId="0" fontId="0" fillId="0" borderId="9" xfId="0" applyFill="1" applyBorder="1"/>
    <xf numFmtId="2" fontId="0" fillId="0" borderId="0" xfId="2" applyNumberFormat="1" applyFont="1" applyFill="1" applyBorder="1"/>
    <xf numFmtId="0" fontId="2" fillId="0" borderId="10" xfId="0" applyFont="1" applyFill="1" applyBorder="1" applyAlignment="1">
      <alignment horizontal="left"/>
    </xf>
    <xf numFmtId="0" fontId="0" fillId="0" borderId="12" xfId="0" applyFill="1" applyBorder="1"/>
    <xf numFmtId="0" fontId="0" fillId="5" borderId="10" xfId="0" applyFill="1" applyBorder="1"/>
    <xf numFmtId="0" fontId="8" fillId="0" borderId="0" xfId="0" applyFont="1"/>
    <xf numFmtId="0" fontId="7" fillId="0" borderId="0" xfId="0" applyFont="1" applyFill="1" applyAlignment="1">
      <alignment horizontal="left"/>
    </xf>
    <xf numFmtId="0" fontId="0" fillId="6" borderId="0" xfId="0" applyFill="1" applyAlignment="1">
      <alignment horizontal="left" wrapText="1"/>
    </xf>
    <xf numFmtId="0" fontId="2" fillId="0" borderId="0" xfId="0" applyFont="1" applyFill="1" applyBorder="1" applyAlignment="1">
      <alignment horizontal="left"/>
    </xf>
    <xf numFmtId="0" fontId="2" fillId="0" borderId="0" xfId="0" applyFont="1" applyAlignment="1">
      <alignment horizontal="left"/>
    </xf>
    <xf numFmtId="0" fontId="10" fillId="0" borderId="0" xfId="0" applyFont="1" applyAlignment="1"/>
    <xf numFmtId="0" fontId="2" fillId="5" borderId="8" xfId="0" applyFont="1" applyFill="1" applyBorder="1" applyAlignment="1">
      <alignment horizontal="left"/>
    </xf>
    <xf numFmtId="0" fontId="2" fillId="3" borderId="8" xfId="0" applyFont="1" applyFill="1" applyBorder="1" applyAlignment="1">
      <alignment horizontal="left"/>
    </xf>
    <xf numFmtId="9" fontId="0" fillId="3" borderId="0" xfId="2" applyFont="1" applyFill="1" applyBorder="1"/>
    <xf numFmtId="0" fontId="0" fillId="3" borderId="9" xfId="0" applyFill="1" applyBorder="1"/>
    <xf numFmtId="0" fontId="0" fillId="3" borderId="0" xfId="0" applyFill="1" applyBorder="1"/>
    <xf numFmtId="0" fontId="2" fillId="9" borderId="1" xfId="0" applyFont="1" applyFill="1" applyBorder="1"/>
    <xf numFmtId="0" fontId="2" fillId="9" borderId="2" xfId="0" applyFont="1" applyFill="1" applyBorder="1"/>
    <xf numFmtId="0" fontId="2" fillId="9" borderId="3" xfId="0" applyFont="1" applyFill="1" applyBorder="1"/>
    <xf numFmtId="0" fontId="2" fillId="3" borderId="8" xfId="0" applyFont="1" applyFill="1" applyBorder="1"/>
    <xf numFmtId="0" fontId="2" fillId="3" borderId="10" xfId="0" applyFont="1" applyFill="1" applyBorder="1"/>
    <xf numFmtId="0" fontId="0" fillId="5" borderId="13" xfId="0" applyFill="1" applyBorder="1"/>
    <xf numFmtId="0" fontId="0" fillId="0" borderId="0" xfId="0" applyFill="1" applyAlignment="1">
      <alignment horizontal="left" wrapText="1"/>
    </xf>
    <xf numFmtId="0" fontId="0" fillId="0" borderId="0" xfId="0" applyFill="1" applyAlignment="1">
      <alignment wrapText="1"/>
    </xf>
    <xf numFmtId="0" fontId="0" fillId="0" borderId="0" xfId="0" applyFont="1" applyAlignment="1">
      <alignment horizontal="left"/>
    </xf>
    <xf numFmtId="0" fontId="0" fillId="0" borderId="0" xfId="0" applyFont="1" applyFill="1"/>
    <xf numFmtId="166" fontId="0" fillId="0" borderId="0" xfId="0" applyNumberFormat="1" applyFont="1" applyBorder="1"/>
    <xf numFmtId="166" fontId="0" fillId="3" borderId="11" xfId="0" applyNumberFormat="1" applyFill="1" applyBorder="1"/>
    <xf numFmtId="166" fontId="0" fillId="3" borderId="12" xfId="0" applyNumberFormat="1" applyFill="1" applyBorder="1"/>
    <xf numFmtId="0" fontId="6" fillId="0" borderId="0" xfId="0" applyFont="1" applyAlignment="1"/>
    <xf numFmtId="0" fontId="6" fillId="0" borderId="0" xfId="0" applyFont="1" applyFill="1" applyBorder="1" applyAlignment="1"/>
    <xf numFmtId="0" fontId="8" fillId="0" borderId="0" xfId="0" applyFont="1" applyAlignment="1">
      <alignment horizontal="left"/>
    </xf>
    <xf numFmtId="0" fontId="0" fillId="0" borderId="8" xfId="0" applyFont="1" applyFill="1" applyBorder="1"/>
    <xf numFmtId="4" fontId="0" fillId="0" borderId="0" xfId="0" applyNumberFormat="1" applyFont="1" applyFill="1" applyBorder="1"/>
    <xf numFmtId="4" fontId="0" fillId="0" borderId="0" xfId="0" applyNumberFormat="1" applyFont="1" applyFill="1" applyBorder="1" applyAlignment="1">
      <alignment horizontal="center"/>
    </xf>
    <xf numFmtId="4" fontId="0" fillId="0" borderId="9" xfId="0" applyNumberFormat="1" applyFont="1" applyFill="1" applyBorder="1" applyAlignment="1">
      <alignment horizontal="center"/>
    </xf>
    <xf numFmtId="4" fontId="0" fillId="0" borderId="11" xfId="0" applyNumberFormat="1" applyFont="1" applyFill="1" applyBorder="1"/>
    <xf numFmtId="4" fontId="0" fillId="0" borderId="12" xfId="0" applyNumberFormat="1" applyFont="1" applyFill="1" applyBorder="1" applyAlignment="1">
      <alignment horizontal="center"/>
    </xf>
    <xf numFmtId="3" fontId="10" fillId="0" borderId="0" xfId="0" applyNumberFormat="1" applyFont="1" applyFill="1" applyBorder="1"/>
    <xf numFmtId="9" fontId="11" fillId="0" borderId="0" xfId="2" applyFont="1" applyFill="1" applyBorder="1"/>
    <xf numFmtId="0" fontId="11" fillId="0" borderId="0" xfId="0" applyFont="1" applyFill="1" applyBorder="1"/>
    <xf numFmtId="3" fontId="12" fillId="0" borderId="0" xfId="0" applyNumberFormat="1" applyFont="1" applyFill="1" applyBorder="1"/>
    <xf numFmtId="0" fontId="0" fillId="0" borderId="10" xfId="0" applyFont="1" applyFill="1" applyBorder="1"/>
    <xf numFmtId="4" fontId="0" fillId="0" borderId="11" xfId="0" applyNumberFormat="1" applyFont="1" applyFill="1" applyBorder="1" applyAlignment="1">
      <alignment horizontal="center"/>
    </xf>
    <xf numFmtId="0" fontId="2" fillId="0" borderId="1" xfId="0" applyFont="1" applyFill="1" applyBorder="1"/>
    <xf numFmtId="0" fontId="0" fillId="0" borderId="8" xfId="0" applyFill="1" applyBorder="1"/>
    <xf numFmtId="0" fontId="3" fillId="0" borderId="8" xfId="0" applyFont="1" applyBorder="1"/>
    <xf numFmtId="0" fontId="0" fillId="0" borderId="5" xfId="0" applyFill="1" applyBorder="1"/>
    <xf numFmtId="0" fontId="0" fillId="0" borderId="7" xfId="0" applyFill="1" applyBorder="1"/>
    <xf numFmtId="0" fontId="0" fillId="0" borderId="10" xfId="0" applyFill="1" applyBorder="1"/>
    <xf numFmtId="2" fontId="0" fillId="0" borderId="9" xfId="0" applyNumberFormat="1" applyBorder="1"/>
    <xf numFmtId="2" fontId="0" fillId="0" borderId="12" xfId="0" applyNumberFormat="1" applyBorder="1"/>
    <xf numFmtId="0" fontId="2" fillId="0" borderId="5" xfId="0" applyFont="1" applyFill="1" applyBorder="1"/>
    <xf numFmtId="0" fontId="10" fillId="0" borderId="0" xfId="0" applyFont="1" applyBorder="1"/>
    <xf numFmtId="0" fontId="10" fillId="0" borderId="0" xfId="0" applyFont="1"/>
    <xf numFmtId="169" fontId="0" fillId="0" borderId="0" xfId="0" applyNumberFormat="1" applyFill="1" applyBorder="1"/>
    <xf numFmtId="2" fontId="3" fillId="0" borderId="0" xfId="0" applyNumberFormat="1" applyFont="1" applyFill="1" applyBorder="1"/>
    <xf numFmtId="0" fontId="5" fillId="0" borderId="1" xfId="0" applyFont="1" applyFill="1" applyBorder="1"/>
    <xf numFmtId="0" fontId="5" fillId="0" borderId="0" xfId="0" applyFont="1" applyFill="1" applyBorder="1"/>
    <xf numFmtId="166" fontId="0" fillId="0" borderId="0" xfId="0" applyNumberFormat="1" applyFont="1" applyFill="1" applyBorder="1"/>
    <xf numFmtId="0" fontId="0" fillId="0" borderId="2" xfId="0" applyFill="1" applyBorder="1"/>
    <xf numFmtId="0" fontId="3" fillId="0" borderId="3" xfId="0" applyFont="1" applyFill="1" applyBorder="1"/>
    <xf numFmtId="0" fontId="10" fillId="0" borderId="0" xfId="0" applyFont="1" applyFill="1" applyBorder="1" applyAlignment="1">
      <alignment horizontal="center"/>
    </xf>
    <xf numFmtId="0" fontId="3" fillId="0" borderId="0" xfId="0" applyFont="1" applyFill="1" applyBorder="1"/>
    <xf numFmtId="0" fontId="0" fillId="0" borderId="0" xfId="0" applyFont="1" applyFill="1" applyBorder="1"/>
    <xf numFmtId="0" fontId="0" fillId="0" borderId="0" xfId="0" applyFont="1" applyFill="1" applyBorder="1" applyAlignment="1">
      <alignment horizontal="left" vertical="top"/>
    </xf>
    <xf numFmtId="0" fontId="0" fillId="0" borderId="0" xfId="0" applyFont="1" applyFill="1" applyBorder="1" applyAlignment="1"/>
    <xf numFmtId="0" fontId="2" fillId="6" borderId="13" xfId="0" applyFont="1" applyFill="1" applyBorder="1"/>
    <xf numFmtId="0" fontId="14" fillId="6" borderId="13" xfId="0" applyFont="1" applyFill="1" applyBorder="1"/>
    <xf numFmtId="0" fontId="0" fillId="0" borderId="0" xfId="0" applyFill="1" applyAlignment="1">
      <alignment horizontal="left" wrapText="1"/>
    </xf>
    <xf numFmtId="0" fontId="8" fillId="0" borderId="0" xfId="0" applyFont="1" applyAlignment="1">
      <alignment horizontal="left"/>
    </xf>
    <xf numFmtId="0" fontId="5" fillId="0" borderId="0" xfId="0" applyFont="1" applyFill="1" applyBorder="1" applyAlignment="1">
      <alignment horizontal="center"/>
    </xf>
    <xf numFmtId="0" fontId="0" fillId="7" borderId="1" xfId="0" applyFill="1" applyBorder="1" applyAlignment="1">
      <alignment horizontal="center"/>
    </xf>
    <xf numFmtId="0" fontId="2" fillId="5" borderId="8" xfId="0" applyFont="1" applyFill="1" applyBorder="1"/>
    <xf numFmtId="0" fontId="2" fillId="5" borderId="10" xfId="0" applyFont="1" applyFill="1" applyBorder="1"/>
    <xf numFmtId="0" fontId="2" fillId="7" borderId="10" xfId="0" applyFont="1" applyFill="1" applyBorder="1"/>
    <xf numFmtId="0" fontId="2" fillId="7" borderId="11" xfId="0" applyFont="1" applyFill="1" applyBorder="1"/>
    <xf numFmtId="0" fontId="2" fillId="7" borderId="12" xfId="0" applyFont="1" applyFill="1" applyBorder="1"/>
    <xf numFmtId="0" fontId="0" fillId="7" borderId="1" xfId="0" applyFill="1" applyBorder="1"/>
    <xf numFmtId="0" fontId="10" fillId="7" borderId="2" xfId="0" applyFont="1" applyFill="1" applyBorder="1" applyAlignment="1"/>
    <xf numFmtId="0" fontId="10" fillId="7" borderId="3" xfId="0" applyFont="1" applyFill="1" applyBorder="1" applyAlignment="1"/>
    <xf numFmtId="0" fontId="14" fillId="0" borderId="0" xfId="0" applyFont="1" applyFill="1" applyBorder="1"/>
    <xf numFmtId="0" fontId="14" fillId="5" borderId="0" xfId="0" applyFont="1" applyFill="1" applyBorder="1"/>
    <xf numFmtId="0" fontId="14" fillId="5" borderId="11" xfId="0" applyFont="1" applyFill="1" applyBorder="1"/>
    <xf numFmtId="0" fontId="14" fillId="5" borderId="9" xfId="0" applyFont="1" applyFill="1" applyBorder="1"/>
    <xf numFmtId="0" fontId="14" fillId="0" borderId="9" xfId="0" applyFont="1" applyFill="1" applyBorder="1"/>
    <xf numFmtId="169" fontId="2" fillId="0" borderId="12" xfId="0" applyNumberFormat="1" applyFont="1" applyFill="1" applyBorder="1"/>
    <xf numFmtId="2" fontId="2" fillId="5" borderId="0" xfId="0" applyNumberFormat="1" applyFont="1" applyFill="1" applyBorder="1"/>
    <xf numFmtId="2" fontId="0" fillId="0" borderId="0" xfId="0" applyNumberFormat="1" applyFont="1" applyFill="1" applyBorder="1"/>
    <xf numFmtId="165" fontId="0" fillId="0" borderId="0" xfId="0" applyNumberFormat="1" applyFill="1" applyBorder="1"/>
    <xf numFmtId="165" fontId="2" fillId="0" borderId="0" xfId="0" applyNumberFormat="1" applyFont="1" applyFill="1" applyBorder="1"/>
    <xf numFmtId="165" fontId="2" fillId="5" borderId="11" xfId="0" applyNumberFormat="1" applyFont="1" applyFill="1" applyBorder="1"/>
    <xf numFmtId="0" fontId="0" fillId="7" borderId="2" xfId="0" applyFill="1" applyBorder="1"/>
    <xf numFmtId="0" fontId="0" fillId="7" borderId="3" xfId="0" applyFill="1" applyBorder="1"/>
    <xf numFmtId="0" fontId="14" fillId="0" borderId="2" xfId="0" applyFont="1" applyFill="1" applyBorder="1"/>
    <xf numFmtId="0" fontId="0" fillId="0" borderId="3" xfId="0" applyFill="1" applyBorder="1"/>
    <xf numFmtId="0" fontId="10" fillId="7" borderId="1" xfId="0" applyFont="1" applyFill="1" applyBorder="1"/>
    <xf numFmtId="0" fontId="2" fillId="7" borderId="11" xfId="0" applyFont="1" applyFill="1" applyBorder="1" applyAlignment="1">
      <alignment horizontal="center"/>
    </xf>
    <xf numFmtId="0" fontId="2" fillId="7" borderId="12" xfId="0" applyFont="1" applyFill="1" applyBorder="1" applyAlignment="1">
      <alignment horizontal="center"/>
    </xf>
    <xf numFmtId="2" fontId="0" fillId="5" borderId="9" xfId="0" applyNumberFormat="1" applyFill="1" applyBorder="1"/>
    <xf numFmtId="169" fontId="0" fillId="5" borderId="0" xfId="0" applyNumberFormat="1" applyFill="1" applyBorder="1"/>
    <xf numFmtId="2" fontId="2" fillId="5" borderId="12" xfId="0" applyNumberFormat="1" applyFont="1" applyFill="1" applyBorder="1"/>
    <xf numFmtId="0" fontId="14" fillId="0" borderId="6" xfId="0" applyFont="1" applyBorder="1"/>
    <xf numFmtId="0" fontId="14" fillId="0" borderId="0" xfId="0" applyFont="1" applyBorder="1"/>
    <xf numFmtId="166" fontId="14" fillId="5" borderId="0" xfId="0" applyNumberFormat="1" applyFont="1" applyFill="1" applyBorder="1"/>
    <xf numFmtId="0" fontId="2" fillId="0" borderId="9" xfId="0" applyFont="1" applyFill="1" applyBorder="1"/>
    <xf numFmtId="0" fontId="0" fillId="0" borderId="9" xfId="0" applyBorder="1" applyAlignment="1">
      <alignment horizontal="center"/>
    </xf>
    <xf numFmtId="0" fontId="0" fillId="5" borderId="10" xfId="0" applyFont="1" applyFill="1" applyBorder="1" applyAlignment="1">
      <alignment horizontal="left"/>
    </xf>
    <xf numFmtId="0" fontId="0" fillId="5" borderId="12" xfId="0" applyFont="1" applyFill="1" applyBorder="1" applyAlignment="1">
      <alignment horizontal="left"/>
    </xf>
    <xf numFmtId="0" fontId="0" fillId="0" borderId="9" xfId="0" applyFont="1" applyFill="1" applyBorder="1"/>
    <xf numFmtId="0" fontId="0" fillId="5" borderId="9" xfId="0" applyFont="1" applyFill="1" applyBorder="1"/>
    <xf numFmtId="0" fontId="2" fillId="5" borderId="12" xfId="0" applyFont="1" applyFill="1" applyBorder="1"/>
    <xf numFmtId="0" fontId="0" fillId="5" borderId="10" xfId="0" applyFill="1" applyBorder="1" applyAlignment="1">
      <alignment horizontal="left"/>
    </xf>
    <xf numFmtId="0" fontId="0" fillId="5" borderId="12" xfId="0" applyFill="1" applyBorder="1" applyAlignment="1">
      <alignment horizontal="left"/>
    </xf>
    <xf numFmtId="0" fontId="2" fillId="0" borderId="11" xfId="0" applyFont="1" applyFill="1" applyBorder="1"/>
    <xf numFmtId="0" fontId="0" fillId="5" borderId="0" xfId="0" applyFont="1" applyFill="1" applyBorder="1"/>
    <xf numFmtId="2" fontId="2" fillId="0" borderId="11" xfId="0" applyNumberFormat="1" applyFont="1" applyFill="1" applyBorder="1"/>
    <xf numFmtId="169" fontId="2" fillId="0" borderId="11" xfId="0" applyNumberFormat="1" applyFont="1" applyFill="1" applyBorder="1"/>
    <xf numFmtId="165" fontId="0" fillId="5" borderId="0" xfId="0" applyNumberFormat="1" applyFont="1" applyFill="1" applyBorder="1"/>
    <xf numFmtId="2" fontId="0" fillId="5" borderId="0" xfId="0" applyNumberFormat="1" applyFont="1" applyFill="1" applyBorder="1"/>
    <xf numFmtId="169" fontId="0" fillId="5" borderId="0" xfId="0" applyNumberFormat="1" applyFont="1" applyFill="1" applyBorder="1"/>
    <xf numFmtId="169" fontId="0" fillId="5" borderId="9" xfId="0" applyNumberFormat="1" applyFill="1" applyBorder="1"/>
    <xf numFmtId="169" fontId="0" fillId="0" borderId="9" xfId="0" applyNumberFormat="1" applyFill="1" applyBorder="1"/>
    <xf numFmtId="169" fontId="0" fillId="5" borderId="9" xfId="0" applyNumberFormat="1" applyFont="1" applyFill="1" applyBorder="1"/>
    <xf numFmtId="169" fontId="2" fillId="0" borderId="9" xfId="0" applyNumberFormat="1" applyFont="1" applyFill="1" applyBorder="1"/>
    <xf numFmtId="0" fontId="3" fillId="0" borderId="0" xfId="0" applyNumberFormat="1" applyFont="1" applyFill="1" applyBorder="1"/>
    <xf numFmtId="166" fontId="2" fillId="5" borderId="0" xfId="0" applyNumberFormat="1" applyFont="1" applyFill="1" applyBorder="1"/>
    <xf numFmtId="169" fontId="2" fillId="5" borderId="0" xfId="0" applyNumberFormat="1" applyFont="1" applyFill="1" applyBorder="1"/>
    <xf numFmtId="0" fontId="3" fillId="0" borderId="9" xfId="0" applyFont="1" applyFill="1" applyBorder="1"/>
    <xf numFmtId="0" fontId="3" fillId="5" borderId="8" xfId="0" applyFont="1" applyFill="1" applyBorder="1"/>
    <xf numFmtId="165" fontId="0" fillId="0" borderId="11" xfId="0" applyNumberFormat="1" applyFill="1" applyBorder="1"/>
    <xf numFmtId="0" fontId="0" fillId="0" borderId="12" xfId="0" applyFont="1" applyFill="1" applyBorder="1"/>
    <xf numFmtId="11" fontId="0" fillId="0" borderId="0" xfId="0" applyNumberFormat="1" applyFill="1" applyBorder="1"/>
    <xf numFmtId="11" fontId="0" fillId="5" borderId="0" xfId="0" applyNumberFormat="1" applyFill="1" applyBorder="1"/>
    <xf numFmtId="166" fontId="0" fillId="5" borderId="11" xfId="0" applyNumberFormat="1" applyFill="1" applyBorder="1"/>
    <xf numFmtId="2" fontId="0" fillId="0" borderId="6" xfId="0" applyNumberFormat="1" applyFill="1" applyBorder="1"/>
    <xf numFmtId="169" fontId="2" fillId="0" borderId="6" xfId="0" applyNumberFormat="1" applyFont="1" applyFill="1" applyBorder="1"/>
    <xf numFmtId="169" fontId="2" fillId="5" borderId="11" xfId="0" applyNumberFormat="1" applyFont="1" applyFill="1" applyBorder="1"/>
    <xf numFmtId="169" fontId="2" fillId="0" borderId="0" xfId="0" applyNumberFormat="1" applyFont="1" applyFill="1" applyBorder="1"/>
    <xf numFmtId="0" fontId="2" fillId="7" borderId="5" xfId="0" applyFont="1" applyFill="1" applyBorder="1" applyAlignment="1">
      <alignment horizontal="center"/>
    </xf>
    <xf numFmtId="1" fontId="2" fillId="5" borderId="11" xfId="0" applyNumberFormat="1" applyFont="1" applyFill="1" applyBorder="1"/>
    <xf numFmtId="0" fontId="10" fillId="0" borderId="0" xfId="0" applyFont="1" applyFill="1" applyBorder="1" applyAlignment="1"/>
    <xf numFmtId="166" fontId="2" fillId="5" borderId="10" xfId="0" applyNumberFormat="1" applyFont="1" applyFill="1" applyBorder="1"/>
    <xf numFmtId="0" fontId="5" fillId="7" borderId="2" xfId="0" applyFont="1" applyFill="1" applyBorder="1"/>
    <xf numFmtId="0" fontId="5" fillId="0" borderId="8" xfId="0" applyFont="1" applyFill="1" applyBorder="1"/>
    <xf numFmtId="0" fontId="5" fillId="0" borderId="10" xfId="0" applyFont="1" applyFill="1" applyBorder="1"/>
    <xf numFmtId="2" fontId="0" fillId="0" borderId="11" xfId="0" applyNumberFormat="1" applyFill="1" applyBorder="1"/>
    <xf numFmtId="0" fontId="5" fillId="5" borderId="8" xfId="0" applyFont="1" applyFill="1" applyBorder="1"/>
    <xf numFmtId="169" fontId="14" fillId="5" borderId="0" xfId="0" applyNumberFormat="1" applyFont="1" applyFill="1" applyBorder="1"/>
    <xf numFmtId="1" fontId="14" fillId="5" borderId="0" xfId="0" applyNumberFormat="1" applyFont="1" applyFill="1" applyBorder="1"/>
    <xf numFmtId="1" fontId="15" fillId="5" borderId="0" xfId="0" applyNumberFormat="1" applyFont="1" applyFill="1" applyBorder="1"/>
    <xf numFmtId="9" fontId="14" fillId="5" borderId="0" xfId="2" applyFont="1" applyFill="1" applyBorder="1"/>
    <xf numFmtId="169" fontId="14" fillId="0" borderId="0" xfId="0" applyNumberFormat="1" applyFont="1" applyFill="1" applyBorder="1"/>
    <xf numFmtId="0" fontId="6" fillId="4" borderId="1" xfId="0" applyFont="1" applyFill="1" applyBorder="1"/>
    <xf numFmtId="0" fontId="0" fillId="4" borderId="3" xfId="0" applyFill="1" applyBorder="1"/>
    <xf numFmtId="0" fontId="8" fillId="3" borderId="0" xfId="0" applyFont="1" applyFill="1"/>
    <xf numFmtId="0" fontId="13" fillId="3" borderId="0" xfId="0" applyFont="1" applyFill="1"/>
    <xf numFmtId="0" fontId="8" fillId="3" borderId="0" xfId="0" applyFont="1" applyFill="1" applyBorder="1"/>
    <xf numFmtId="0" fontId="0" fillId="3" borderId="0" xfId="0" applyFill="1"/>
    <xf numFmtId="0" fontId="5" fillId="7" borderId="1" xfId="0" applyFont="1" applyFill="1" applyBorder="1"/>
    <xf numFmtId="0" fontId="5" fillId="7" borderId="3" xfId="0" applyFont="1" applyFill="1" applyBorder="1"/>
    <xf numFmtId="2" fontId="2" fillId="0" borderId="2" xfId="0" applyNumberFormat="1" applyFont="1" applyFill="1" applyBorder="1"/>
    <xf numFmtId="0" fontId="14" fillId="0" borderId="6" xfId="0" applyFont="1" applyFill="1" applyBorder="1"/>
    <xf numFmtId="0" fontId="9" fillId="3" borderId="0" xfId="0" applyFont="1" applyFill="1"/>
    <xf numFmtId="0" fontId="6" fillId="4" borderId="4" xfId="0" applyFont="1" applyFill="1" applyBorder="1"/>
    <xf numFmtId="2" fontId="2" fillId="5" borderId="11" xfId="0" applyNumberFormat="1" applyFont="1" applyFill="1" applyBorder="1"/>
    <xf numFmtId="0" fontId="0" fillId="0" borderId="0" xfId="0" applyBorder="1" applyAlignment="1">
      <alignment horizontal="center"/>
    </xf>
    <xf numFmtId="0" fontId="2" fillId="0" borderId="5" xfId="0" applyFont="1" applyFill="1" applyBorder="1" applyAlignment="1">
      <alignment horizontal="left"/>
    </xf>
    <xf numFmtId="165" fontId="0" fillId="0" borderId="6" xfId="2" applyNumberFormat="1" applyFont="1" applyFill="1" applyBorder="1"/>
    <xf numFmtId="165" fontId="0" fillId="5" borderId="0" xfId="2" applyNumberFormat="1" applyFont="1" applyFill="1" applyBorder="1"/>
    <xf numFmtId="169" fontId="0" fillId="0" borderId="0" xfId="2" applyNumberFormat="1" applyFont="1" applyFill="1" applyBorder="1"/>
    <xf numFmtId="169" fontId="0" fillId="5" borderId="0" xfId="2" applyNumberFormat="1" applyFont="1" applyFill="1" applyBorder="1"/>
    <xf numFmtId="0" fontId="5" fillId="0" borderId="0" xfId="0" applyFont="1" applyAlignment="1">
      <alignment horizontal="left"/>
    </xf>
    <xf numFmtId="169" fontId="0" fillId="0" borderId="6" xfId="2" applyNumberFormat="1" applyFont="1" applyFill="1" applyBorder="1"/>
    <xf numFmtId="1" fontId="0" fillId="5" borderId="0" xfId="2" applyNumberFormat="1" applyFont="1" applyFill="1" applyBorder="1"/>
    <xf numFmtId="1" fontId="0" fillId="0" borderId="0" xfId="0" applyNumberFormat="1"/>
    <xf numFmtId="0" fontId="0" fillId="0" borderId="0" xfId="0" applyBorder="1" applyAlignment="1">
      <alignment horizontal="center"/>
    </xf>
    <xf numFmtId="0" fontId="0" fillId="7" borderId="10" xfId="0" applyFont="1" applyFill="1" applyBorder="1"/>
    <xf numFmtId="0" fontId="0" fillId="7" borderId="12" xfId="0" applyFont="1" applyFill="1" applyBorder="1"/>
    <xf numFmtId="0" fontId="7" fillId="0" borderId="0" xfId="0" applyFont="1" applyFill="1" applyBorder="1" applyAlignment="1">
      <alignment horizontal="left"/>
    </xf>
    <xf numFmtId="0" fontId="0" fillId="5" borderId="11" xfId="0" applyFill="1" applyBorder="1" applyAlignment="1">
      <alignment horizontal="right"/>
    </xf>
    <xf numFmtId="0" fontId="0" fillId="5" borderId="11" xfId="0" applyFill="1" applyBorder="1" applyAlignment="1"/>
    <xf numFmtId="2" fontId="0" fillId="5" borderId="11" xfId="0" applyNumberFormat="1" applyFill="1" applyBorder="1"/>
    <xf numFmtId="2" fontId="2" fillId="4" borderId="11" xfId="0" applyNumberFormat="1" applyFont="1" applyFill="1" applyBorder="1"/>
    <xf numFmtId="0" fontId="0" fillId="0" borderId="1" xfId="0" applyBorder="1" applyAlignment="1">
      <alignment horizontal="left"/>
    </xf>
    <xf numFmtId="0" fontId="0" fillId="0" borderId="2" xfId="0" applyBorder="1" applyAlignment="1">
      <alignment horizontal="left"/>
    </xf>
    <xf numFmtId="0" fontId="9" fillId="0" borderId="0" xfId="0" applyFont="1" applyFill="1" applyAlignment="1">
      <alignment horizontal="left" wrapText="1"/>
    </xf>
    <xf numFmtId="0" fontId="9" fillId="0" borderId="0" xfId="0" applyFont="1"/>
    <xf numFmtId="0" fontId="8" fillId="0" borderId="0" xfId="0" applyFont="1" applyFill="1" applyAlignment="1">
      <alignment horizontal="left"/>
    </xf>
    <xf numFmtId="0" fontId="0" fillId="0" borderId="0" xfId="2" applyNumberFormat="1" applyFont="1" applyBorder="1" applyAlignment="1">
      <alignment horizontal="center"/>
    </xf>
    <xf numFmtId="0" fontId="0" fillId="0" borderId="0" xfId="0" applyNumberFormat="1" applyBorder="1" applyAlignment="1">
      <alignment horizontal="center"/>
    </xf>
    <xf numFmtId="0" fontId="0" fillId="5" borderId="0" xfId="2" applyNumberFormat="1" applyFont="1" applyFill="1" applyBorder="1" applyAlignment="1">
      <alignment horizontal="center"/>
    </xf>
    <xf numFmtId="0" fontId="0" fillId="5" borderId="0" xfId="0" applyNumberFormat="1" applyFill="1" applyBorder="1" applyAlignment="1">
      <alignment horizontal="center"/>
    </xf>
    <xf numFmtId="0" fontId="0" fillId="0" borderId="9" xfId="0" applyNumberFormat="1" applyBorder="1" applyAlignment="1">
      <alignment horizontal="center"/>
    </xf>
    <xf numFmtId="0" fontId="0" fillId="5" borderId="9" xfId="0" applyNumberFormat="1" applyFill="1" applyBorder="1" applyAlignment="1">
      <alignment horizontal="center"/>
    </xf>
    <xf numFmtId="166" fontId="0" fillId="0" borderId="0" xfId="0" applyNumberFormat="1" applyBorder="1" applyAlignment="1">
      <alignment horizontal="center"/>
    </xf>
    <xf numFmtId="169" fontId="0" fillId="0" borderId="11" xfId="0" applyNumberFormat="1" applyBorder="1" applyAlignment="1">
      <alignment horizontal="center"/>
    </xf>
    <xf numFmtId="1" fontId="0" fillId="0" borderId="11" xfId="2" applyNumberFormat="1" applyFont="1" applyBorder="1" applyAlignment="1">
      <alignment horizontal="center"/>
    </xf>
    <xf numFmtId="1" fontId="0" fillId="0" borderId="12" xfId="0" applyNumberFormat="1" applyBorder="1" applyAlignment="1">
      <alignment horizontal="center"/>
    </xf>
    <xf numFmtId="1" fontId="0" fillId="5" borderId="0" xfId="0" applyNumberFormat="1" applyFill="1" applyBorder="1" applyAlignment="1"/>
    <xf numFmtId="0" fontId="2" fillId="0" borderId="0" xfId="0" applyFont="1" applyFill="1"/>
    <xf numFmtId="0" fontId="10" fillId="0" borderId="0" xfId="0" applyFont="1" applyFill="1"/>
    <xf numFmtId="0" fontId="6" fillId="0" borderId="0" xfId="0" applyFont="1" applyFill="1" applyBorder="1" applyAlignment="1">
      <alignment vertical="center"/>
    </xf>
    <xf numFmtId="0" fontId="0" fillId="0" borderId="0" xfId="0" applyFill="1" applyBorder="1" applyAlignment="1"/>
    <xf numFmtId="0" fontId="7" fillId="0" borderId="0" xfId="0" applyFont="1" applyFill="1" applyBorder="1" applyAlignment="1"/>
    <xf numFmtId="0" fontId="2" fillId="4" borderId="8" xfId="0" applyFont="1" applyFill="1" applyBorder="1" applyAlignment="1">
      <alignment horizontal="left"/>
    </xf>
    <xf numFmtId="0" fontId="0" fillId="5" borderId="0" xfId="0" applyFont="1" applyFill="1" applyBorder="1" applyAlignment="1">
      <alignment horizontal="right"/>
    </xf>
    <xf numFmtId="0" fontId="0" fillId="0" borderId="0" xfId="0" applyFont="1" applyFill="1" applyBorder="1" applyAlignment="1">
      <alignment horizontal="right"/>
    </xf>
    <xf numFmtId="0" fontId="0" fillId="5" borderId="0" xfId="0" applyFont="1" applyFill="1" applyBorder="1" applyAlignment="1">
      <alignment horizontal="left"/>
    </xf>
    <xf numFmtId="0" fontId="0" fillId="0" borderId="0" xfId="0" applyFont="1" applyFill="1" applyBorder="1" applyAlignment="1">
      <alignment horizontal="left"/>
    </xf>
    <xf numFmtId="1" fontId="0" fillId="5" borderId="0" xfId="0" applyNumberFormat="1" applyFont="1" applyFill="1" applyBorder="1" applyAlignment="1">
      <alignment horizontal="right"/>
    </xf>
    <xf numFmtId="1" fontId="0" fillId="0" borderId="0" xfId="0" applyNumberFormat="1" applyFont="1" applyFill="1" applyBorder="1" applyAlignment="1">
      <alignment horizontal="right"/>
    </xf>
    <xf numFmtId="0" fontId="0" fillId="0" borderId="9" xfId="2" applyNumberFormat="1" applyFont="1" applyBorder="1" applyAlignment="1">
      <alignment horizontal="center"/>
    </xf>
    <xf numFmtId="0" fontId="0" fillId="5" borderId="9" xfId="2" applyNumberFormat="1" applyFont="1" applyFill="1" applyBorder="1" applyAlignment="1">
      <alignment horizontal="center"/>
    </xf>
    <xf numFmtId="1" fontId="0" fillId="0" borderId="12" xfId="2" applyNumberFormat="1" applyFont="1" applyBorder="1" applyAlignment="1">
      <alignment horizontal="center"/>
    </xf>
    <xf numFmtId="169" fontId="0" fillId="5" borderId="11" xfId="0" applyNumberFormat="1" applyFont="1" applyFill="1" applyBorder="1"/>
    <xf numFmtId="0" fontId="0" fillId="5" borderId="12" xfId="0" applyFont="1" applyFill="1" applyBorder="1"/>
    <xf numFmtId="169" fontId="0" fillId="4" borderId="0" xfId="2" applyNumberFormat="1" applyFont="1" applyFill="1" applyBorder="1"/>
    <xf numFmtId="0" fontId="2" fillId="10" borderId="1" xfId="0" applyFont="1" applyFill="1" applyBorder="1"/>
    <xf numFmtId="0" fontId="2" fillId="10" borderId="2" xfId="0" applyFont="1" applyFill="1" applyBorder="1"/>
    <xf numFmtId="0" fontId="2" fillId="10" borderId="3" xfId="0" applyFont="1" applyFill="1" applyBorder="1"/>
    <xf numFmtId="165" fontId="0" fillId="5" borderId="0" xfId="0" applyNumberFormat="1" applyFont="1" applyFill="1" applyBorder="1" applyAlignment="1">
      <alignment horizontal="right"/>
    </xf>
    <xf numFmtId="165" fontId="0" fillId="0" borderId="0" xfId="0" applyNumberFormat="1" applyFont="1" applyFill="1" applyBorder="1" applyAlignment="1">
      <alignment horizontal="right"/>
    </xf>
    <xf numFmtId="0" fontId="0" fillId="0" borderId="6" xfId="0" applyFill="1" applyBorder="1" applyAlignment="1">
      <alignment horizontal="right"/>
    </xf>
    <xf numFmtId="0" fontId="0" fillId="0" borderId="6" xfId="0" applyFill="1" applyBorder="1" applyAlignment="1"/>
    <xf numFmtId="0" fontId="0" fillId="0" borderId="6" xfId="0" applyFill="1" applyBorder="1"/>
    <xf numFmtId="166" fontId="0" fillId="0" borderId="6" xfId="0" applyNumberFormat="1" applyFill="1" applyBorder="1"/>
    <xf numFmtId="2" fontId="2" fillId="0" borderId="6" xfId="0" applyNumberFormat="1" applyFont="1" applyFill="1" applyBorder="1"/>
    <xf numFmtId="166" fontId="0" fillId="0" borderId="11" xfId="0" applyNumberFormat="1" applyFill="1" applyBorder="1"/>
    <xf numFmtId="165" fontId="0" fillId="0" borderId="11" xfId="0" applyNumberFormat="1" applyFill="1" applyBorder="1" applyAlignment="1">
      <alignment horizontal="right"/>
    </xf>
    <xf numFmtId="165" fontId="0" fillId="5" borderId="0" xfId="0" applyNumberFormat="1" applyFill="1" applyBorder="1" applyAlignment="1">
      <alignment horizontal="right"/>
    </xf>
    <xf numFmtId="166" fontId="0" fillId="5" borderId="0" xfId="0" applyNumberFormat="1" applyFill="1" applyBorder="1" applyAlignment="1">
      <alignment horizontal="center"/>
    </xf>
    <xf numFmtId="0" fontId="0" fillId="6" borderId="0" xfId="0" applyFill="1" applyAlignment="1">
      <alignment horizontal="left" wrapText="1"/>
    </xf>
    <xf numFmtId="0" fontId="0" fillId="0" borderId="0" xfId="0" applyFill="1" applyBorder="1" applyAlignment="1">
      <alignment horizontal="left"/>
    </xf>
    <xf numFmtId="169" fontId="0" fillId="0" borderId="11" xfId="0" applyNumberFormat="1" applyFill="1" applyBorder="1"/>
    <xf numFmtId="170" fontId="0" fillId="0" borderId="0" xfId="0" applyNumberFormat="1" applyBorder="1" applyAlignment="1">
      <alignment horizontal="center"/>
    </xf>
    <xf numFmtId="170" fontId="0" fillId="5" borderId="0" xfId="0" applyNumberFormat="1" applyFill="1" applyBorder="1" applyAlignment="1">
      <alignment horizontal="center"/>
    </xf>
    <xf numFmtId="170" fontId="0" fillId="0" borderId="11" xfId="0" applyNumberFormat="1" applyBorder="1" applyAlignment="1">
      <alignment horizontal="center"/>
    </xf>
    <xf numFmtId="0" fontId="13" fillId="0" borderId="0" xfId="0" applyFont="1" applyAlignment="1">
      <alignment horizontal="left"/>
    </xf>
    <xf numFmtId="0" fontId="5" fillId="0" borderId="0" xfId="0" applyFont="1" applyAlignment="1">
      <alignment horizontal="left"/>
    </xf>
    <xf numFmtId="0" fontId="0" fillId="6" borderId="0" xfId="0" applyFill="1" applyAlignment="1">
      <alignment horizontal="left" wrapText="1"/>
    </xf>
    <xf numFmtId="0" fontId="0" fillId="0" borderId="2" xfId="0" applyFill="1" applyBorder="1" applyAlignment="1">
      <alignment horizontal="left"/>
    </xf>
    <xf numFmtId="0" fontId="0" fillId="0" borderId="3" xfId="0" applyFill="1" applyBorder="1" applyAlignment="1">
      <alignment horizontal="left"/>
    </xf>
    <xf numFmtId="0" fontId="0" fillId="0" borderId="11" xfId="0" applyFill="1" applyBorder="1" applyAlignment="1"/>
    <xf numFmtId="0" fontId="0" fillId="0" borderId="30" xfId="0" applyFill="1" applyBorder="1" applyAlignment="1">
      <alignment horizontal="right"/>
    </xf>
    <xf numFmtId="1" fontId="0" fillId="0" borderId="6" xfId="0" applyNumberFormat="1" applyFill="1" applyBorder="1"/>
    <xf numFmtId="166" fontId="0" fillId="0" borderId="26" xfId="0" applyNumberFormat="1" applyFill="1" applyBorder="1"/>
    <xf numFmtId="166" fontId="0" fillId="0" borderId="7" xfId="0" applyNumberFormat="1" applyFill="1" applyBorder="1"/>
    <xf numFmtId="0" fontId="2" fillId="0" borderId="6" xfId="0" applyFont="1" applyFill="1" applyBorder="1" applyAlignment="1">
      <alignment horizontal="left"/>
    </xf>
    <xf numFmtId="0" fontId="2" fillId="5" borderId="0" xfId="0" applyFont="1" applyFill="1" applyBorder="1" applyAlignment="1">
      <alignment horizontal="left"/>
    </xf>
    <xf numFmtId="0" fontId="2" fillId="0" borderId="11" xfId="0" applyFont="1" applyFill="1" applyBorder="1" applyAlignment="1">
      <alignment horizontal="left"/>
    </xf>
    <xf numFmtId="1" fontId="0" fillId="0" borderId="6" xfId="2" applyNumberFormat="1" applyFont="1" applyFill="1" applyBorder="1" applyAlignment="1">
      <alignment horizontal="center"/>
    </xf>
    <xf numFmtId="1" fontId="0" fillId="0" borderId="7" xfId="0" applyNumberFormat="1" applyFill="1" applyBorder="1" applyAlignment="1">
      <alignment horizontal="center"/>
    </xf>
    <xf numFmtId="1" fontId="0" fillId="5" borderId="0" xfId="2" applyNumberFormat="1" applyFont="1" applyFill="1" applyBorder="1" applyAlignment="1">
      <alignment horizontal="center"/>
    </xf>
    <xf numFmtId="1" fontId="0" fillId="5" borderId="9" xfId="0" applyNumberFormat="1" applyFill="1" applyBorder="1" applyAlignment="1">
      <alignment horizontal="center"/>
    </xf>
    <xf numFmtId="1" fontId="0" fillId="0" borderId="0" xfId="2" applyNumberFormat="1" applyFont="1" applyFill="1" applyBorder="1" applyAlignment="1">
      <alignment horizontal="center"/>
    </xf>
    <xf numFmtId="1" fontId="0" fillId="0" borderId="9" xfId="0" applyNumberFormat="1" applyFill="1" applyBorder="1" applyAlignment="1">
      <alignment horizontal="center"/>
    </xf>
    <xf numFmtId="1" fontId="0" fillId="0" borderId="11" xfId="2" applyNumberFormat="1" applyFont="1" applyFill="1" applyBorder="1" applyAlignment="1">
      <alignment horizontal="center"/>
    </xf>
    <xf numFmtId="1" fontId="0" fillId="0" borderId="12" xfId="0" applyNumberFormat="1" applyFill="1" applyBorder="1" applyAlignment="1">
      <alignment horizontal="center"/>
    </xf>
    <xf numFmtId="0" fontId="0" fillId="6" borderId="0" xfId="0" applyFill="1" applyAlignment="1">
      <alignment wrapText="1"/>
    </xf>
    <xf numFmtId="0" fontId="0" fillId="6" borderId="0" xfId="0" applyFill="1" applyAlignment="1"/>
    <xf numFmtId="2" fontId="0" fillId="0" borderId="0" xfId="0" applyNumberFormat="1" applyBorder="1" applyAlignment="1">
      <alignment horizontal="right"/>
    </xf>
    <xf numFmtId="2" fontId="0" fillId="5" borderId="9" xfId="0" applyNumberFormat="1" applyFill="1" applyBorder="1" applyAlignment="1">
      <alignment horizontal="right"/>
    </xf>
    <xf numFmtId="0" fontId="2" fillId="0" borderId="6" xfId="0" applyFont="1" applyBorder="1" applyAlignment="1">
      <alignment horizontal="center"/>
    </xf>
    <xf numFmtId="0" fontId="5" fillId="0" borderId="0" xfId="0" applyFont="1" applyAlignment="1"/>
    <xf numFmtId="0" fontId="0" fillId="0" borderId="11" xfId="0" applyFont="1" applyFill="1" applyBorder="1"/>
    <xf numFmtId="0" fontId="0" fillId="3" borderId="9" xfId="0" applyFont="1" applyFill="1" applyBorder="1"/>
    <xf numFmtId="0" fontId="0" fillId="5" borderId="5" xfId="0" applyFont="1" applyFill="1" applyBorder="1"/>
    <xf numFmtId="0" fontId="0" fillId="3" borderId="0" xfId="0" applyFill="1" applyBorder="1" applyAlignment="1">
      <alignment horizontal="right"/>
    </xf>
    <xf numFmtId="0" fontId="0" fillId="5" borderId="6" xfId="0" applyFont="1" applyFill="1" applyBorder="1"/>
    <xf numFmtId="0" fontId="0" fillId="5" borderId="7" xfId="0" applyFont="1" applyFill="1" applyBorder="1" applyAlignment="1">
      <alignment horizontal="right"/>
    </xf>
    <xf numFmtId="2" fontId="0" fillId="3" borderId="0" xfId="0" applyNumberFormat="1" applyFill="1" applyBorder="1" applyAlignment="1">
      <alignment horizontal="right"/>
    </xf>
    <xf numFmtId="0" fontId="8" fillId="0" borderId="0" xfId="0" applyFont="1" applyAlignment="1"/>
    <xf numFmtId="3" fontId="2" fillId="7" borderId="1" xfId="0" applyNumberFormat="1" applyFont="1" applyFill="1" applyBorder="1" applyAlignment="1">
      <alignment horizontal="center"/>
    </xf>
    <xf numFmtId="3" fontId="2" fillId="7" borderId="2" xfId="0" applyNumberFormat="1" applyFont="1" applyFill="1" applyBorder="1" applyAlignment="1">
      <alignment horizontal="center"/>
    </xf>
    <xf numFmtId="3" fontId="2" fillId="7" borderId="3" xfId="0" applyNumberFormat="1" applyFont="1" applyFill="1" applyBorder="1" applyAlignment="1">
      <alignment horizontal="center"/>
    </xf>
    <xf numFmtId="2" fontId="0" fillId="0" borderId="6" xfId="0" applyNumberFormat="1" applyFont="1" applyBorder="1"/>
    <xf numFmtId="2" fontId="0" fillId="0" borderId="11" xfId="0" applyNumberFormat="1" applyFont="1" applyBorder="1"/>
    <xf numFmtId="2" fontId="0" fillId="0" borderId="7" xfId="0" applyNumberFormat="1" applyFont="1" applyBorder="1"/>
    <xf numFmtId="2" fontId="0" fillId="0" borderId="9" xfId="0" applyNumberFormat="1" applyFont="1" applyBorder="1"/>
    <xf numFmtId="2" fontId="0" fillId="0" borderId="12" xfId="0" applyNumberFormat="1" applyFont="1" applyBorder="1"/>
    <xf numFmtId="2" fontId="0" fillId="0" borderId="9" xfId="0" applyNumberFormat="1" applyFont="1" applyFill="1" applyBorder="1"/>
    <xf numFmtId="3" fontId="0" fillId="0" borderId="0" xfId="0" applyNumberFormat="1" applyFill="1" applyBorder="1"/>
    <xf numFmtId="0" fontId="3" fillId="0" borderId="0" xfId="0" applyFont="1" applyFill="1" applyBorder="1" applyAlignment="1">
      <alignment horizontal="right"/>
    </xf>
    <xf numFmtId="166" fontId="0" fillId="4" borderId="16" xfId="0" applyNumberFormat="1" applyFill="1" applyBorder="1"/>
    <xf numFmtId="0" fontId="0" fillId="5" borderId="29" xfId="0" applyFill="1" applyBorder="1" applyAlignment="1">
      <alignment horizontal="right"/>
    </xf>
    <xf numFmtId="2" fontId="0" fillId="5" borderId="16" xfId="0" applyNumberFormat="1" applyFill="1" applyBorder="1"/>
    <xf numFmtId="1" fontId="0" fillId="5" borderId="11" xfId="0" applyNumberFormat="1" applyFill="1" applyBorder="1"/>
    <xf numFmtId="2" fontId="0" fillId="3" borderId="0" xfId="0" applyNumberFormat="1" applyFont="1" applyFill="1" applyBorder="1"/>
    <xf numFmtId="2" fontId="0" fillId="3" borderId="9" xfId="0" applyNumberFormat="1" applyFont="1" applyFill="1" applyBorder="1"/>
    <xf numFmtId="2" fontId="0" fillId="3" borderId="11" xfId="0" applyNumberFormat="1" applyFont="1" applyFill="1" applyBorder="1"/>
    <xf numFmtId="2" fontId="0" fillId="3" borderId="12" xfId="0" applyNumberFormat="1" applyFont="1" applyFill="1" applyBorder="1"/>
    <xf numFmtId="0" fontId="2" fillId="4" borderId="5" xfId="0" applyFont="1" applyFill="1" applyBorder="1"/>
    <xf numFmtId="0" fontId="0" fillId="5" borderId="6" xfId="0" applyFill="1" applyBorder="1" applyAlignment="1">
      <alignment horizontal="right"/>
    </xf>
    <xf numFmtId="0" fontId="0" fillId="5" borderId="6" xfId="0" applyFill="1" applyBorder="1" applyAlignment="1"/>
    <xf numFmtId="2" fontId="0" fillId="5" borderId="6" xfId="0" applyNumberFormat="1" applyFill="1" applyBorder="1"/>
    <xf numFmtId="0" fontId="0" fillId="5" borderId="6" xfId="0" applyFill="1" applyBorder="1"/>
    <xf numFmtId="166" fontId="0" fillId="5" borderId="6" xfId="0" applyNumberFormat="1" applyFill="1" applyBorder="1"/>
    <xf numFmtId="2" fontId="2" fillId="4" borderId="6" xfId="0" applyNumberFormat="1" applyFont="1" applyFill="1" applyBorder="1"/>
    <xf numFmtId="0" fontId="0" fillId="5" borderId="7" xfId="0" applyFill="1" applyBorder="1"/>
    <xf numFmtId="2" fontId="2" fillId="0" borderId="7" xfId="0" applyNumberFormat="1" applyFont="1" applyFill="1" applyBorder="1"/>
    <xf numFmtId="2" fontId="2" fillId="4" borderId="9" xfId="0" applyNumberFormat="1" applyFont="1" applyFill="1" applyBorder="1"/>
    <xf numFmtId="2" fontId="2" fillId="0" borderId="9" xfId="0" applyNumberFormat="1" applyFont="1" applyFill="1" applyBorder="1" applyAlignment="1">
      <alignment horizontal="right"/>
    </xf>
    <xf numFmtId="2" fontId="2" fillId="0" borderId="12" xfId="0" applyNumberFormat="1" applyFont="1" applyFill="1" applyBorder="1"/>
    <xf numFmtId="2" fontId="2" fillId="0" borderId="9" xfId="0" applyNumberFormat="1" applyFont="1" applyFill="1" applyBorder="1"/>
    <xf numFmtId="2" fontId="2" fillId="0" borderId="7" xfId="0" applyNumberFormat="1" applyFont="1" applyBorder="1"/>
    <xf numFmtId="2" fontId="2" fillId="0" borderId="9" xfId="0" applyNumberFormat="1" applyFont="1" applyBorder="1"/>
    <xf numFmtId="2" fontId="2" fillId="0" borderId="12" xfId="0" applyNumberFormat="1" applyFont="1" applyBorder="1"/>
    <xf numFmtId="0" fontId="2" fillId="4" borderId="5" xfId="0" applyFont="1" applyFill="1" applyBorder="1" applyAlignment="1">
      <alignment horizontal="left"/>
    </xf>
    <xf numFmtId="0" fontId="0" fillId="5" borderId="6" xfId="0" applyFont="1" applyFill="1" applyBorder="1" applyAlignment="1">
      <alignment horizontal="right"/>
    </xf>
    <xf numFmtId="0" fontId="0" fillId="5" borderId="6" xfId="0" applyFont="1" applyFill="1" applyBorder="1" applyAlignment="1">
      <alignment horizontal="left"/>
    </xf>
    <xf numFmtId="1" fontId="0" fillId="5" borderId="6" xfId="0" applyNumberFormat="1" applyFont="1" applyFill="1" applyBorder="1" applyAlignment="1">
      <alignment horizontal="right"/>
    </xf>
    <xf numFmtId="2" fontId="2" fillId="4" borderId="7" xfId="0" applyNumberFormat="1" applyFont="1" applyFill="1" applyBorder="1" applyAlignment="1">
      <alignment horizontal="right"/>
    </xf>
    <xf numFmtId="0" fontId="0" fillId="0" borderId="8" xfId="0" applyBorder="1" applyAlignment="1">
      <alignment vertical="center"/>
    </xf>
    <xf numFmtId="0" fontId="0" fillId="0" borderId="8" xfId="0" applyFill="1" applyBorder="1" applyAlignment="1">
      <alignment vertical="center"/>
    </xf>
    <xf numFmtId="0" fontId="0" fillId="0" borderId="10" xfId="0" applyFill="1" applyBorder="1" applyAlignment="1">
      <alignment vertical="center"/>
    </xf>
    <xf numFmtId="0" fontId="0" fillId="0" borderId="5" xfId="0" applyBorder="1" applyAlignment="1">
      <alignment vertical="center"/>
    </xf>
    <xf numFmtId="0" fontId="0" fillId="0" borderId="0" xfId="0" applyBorder="1" applyAlignment="1">
      <alignment horizontal="left"/>
    </xf>
    <xf numFmtId="0" fontId="3" fillId="0" borderId="6" xfId="0" applyFont="1" applyFill="1" applyBorder="1"/>
    <xf numFmtId="11" fontId="3" fillId="0" borderId="6" xfId="0" applyNumberFormat="1" applyFont="1" applyFill="1" applyBorder="1"/>
    <xf numFmtId="0" fontId="3" fillId="0" borderId="7" xfId="0" applyFont="1" applyFill="1" applyBorder="1"/>
    <xf numFmtId="0" fontId="3" fillId="5" borderId="11" xfId="0" applyFont="1" applyFill="1" applyBorder="1"/>
    <xf numFmtId="0" fontId="3" fillId="5" borderId="12" xfId="0" applyFont="1" applyFill="1" applyBorder="1"/>
    <xf numFmtId="2" fontId="0" fillId="5" borderId="12" xfId="0" applyNumberFormat="1" applyFill="1" applyBorder="1"/>
    <xf numFmtId="0" fontId="14" fillId="0" borderId="0" xfId="0" applyFont="1" applyBorder="1" applyAlignment="1"/>
    <xf numFmtId="0" fontId="2" fillId="3" borderId="0" xfId="0" applyFont="1" applyFill="1" applyBorder="1" applyAlignment="1">
      <alignment horizontal="center"/>
    </xf>
    <xf numFmtId="0" fontId="2" fillId="3" borderId="9" xfId="0" applyFont="1" applyFill="1" applyBorder="1"/>
    <xf numFmtId="0" fontId="0" fillId="3" borderId="0" xfId="0" applyFont="1" applyFill="1" applyBorder="1" applyAlignment="1">
      <alignment horizontal="right"/>
    </xf>
    <xf numFmtId="0" fontId="0" fillId="0" borderId="0" xfId="0" applyFont="1" applyBorder="1" applyAlignment="1">
      <alignment horizontal="right"/>
    </xf>
    <xf numFmtId="0" fontId="14" fillId="3" borderId="8" xfId="0" applyFont="1" applyFill="1" applyBorder="1" applyAlignment="1">
      <alignment horizontal="right"/>
    </xf>
    <xf numFmtId="0" fontId="14" fillId="0" borderId="8" xfId="0" applyFont="1" applyFill="1" applyBorder="1" applyAlignment="1">
      <alignment horizontal="right"/>
    </xf>
    <xf numFmtId="0" fontId="14" fillId="0" borderId="8" xfId="0" applyFont="1" applyBorder="1" applyAlignment="1">
      <alignment horizontal="right"/>
    </xf>
    <xf numFmtId="169" fontId="0" fillId="4" borderId="11" xfId="2" applyNumberFormat="1" applyFont="1" applyFill="1" applyBorder="1"/>
    <xf numFmtId="167" fontId="0" fillId="0" borderId="0" xfId="2" applyNumberFormat="1" applyFont="1" applyFill="1" applyBorder="1"/>
    <xf numFmtId="0" fontId="2" fillId="0" borderId="10" xfId="0" applyFont="1" applyFill="1" applyBorder="1" applyAlignment="1">
      <alignment horizontal="center"/>
    </xf>
    <xf numFmtId="0" fontId="2" fillId="4" borderId="10" xfId="0" applyFont="1" applyFill="1" applyBorder="1" applyAlignment="1">
      <alignment horizontal="center"/>
    </xf>
    <xf numFmtId="0" fontId="10" fillId="9" borderId="4" xfId="0" applyFont="1" applyFill="1" applyBorder="1"/>
    <xf numFmtId="0" fontId="0" fillId="0" borderId="5" xfId="0" applyFont="1" applyFill="1" applyBorder="1"/>
    <xf numFmtId="0" fontId="0" fillId="0" borderId="6" xfId="0" applyFont="1" applyFill="1" applyBorder="1"/>
    <xf numFmtId="0" fontId="0" fillId="0" borderId="7" xfId="0" applyFont="1" applyFill="1" applyBorder="1"/>
    <xf numFmtId="2" fontId="0" fillId="3" borderId="0" xfId="0" applyNumberFormat="1" applyFill="1" applyBorder="1"/>
    <xf numFmtId="169" fontId="0" fillId="3" borderId="0" xfId="0" applyNumberFormat="1" applyFill="1" applyBorder="1"/>
    <xf numFmtId="169" fontId="14" fillId="0" borderId="6" xfId="0" applyNumberFormat="1" applyFont="1" applyFill="1" applyBorder="1"/>
    <xf numFmtId="0" fontId="0" fillId="0" borderId="6" xfId="0" applyBorder="1" applyAlignment="1">
      <alignment horizontal="left"/>
    </xf>
    <xf numFmtId="2" fontId="14" fillId="0" borderId="0" xfId="0" applyNumberFormat="1" applyFont="1" applyBorder="1"/>
    <xf numFmtId="0" fontId="2" fillId="0" borderId="5" xfId="0" applyFont="1" applyBorder="1" applyAlignment="1">
      <alignment horizontal="left"/>
    </xf>
    <xf numFmtId="9" fontId="0" fillId="0" borderId="6" xfId="2" applyFont="1" applyBorder="1"/>
    <xf numFmtId="0" fontId="0" fillId="6" borderId="0" xfId="0" applyFill="1" applyAlignment="1">
      <alignment horizontal="left" wrapText="1"/>
    </xf>
    <xf numFmtId="0" fontId="7" fillId="6" borderId="0" xfId="0" applyFont="1" applyFill="1" applyAlignment="1">
      <alignment horizontal="left"/>
    </xf>
    <xf numFmtId="2" fontId="14" fillId="0" borderId="11" xfId="0" applyNumberFormat="1" applyFont="1" applyBorder="1"/>
    <xf numFmtId="0" fontId="2" fillId="0" borderId="1" xfId="0" applyFont="1" applyBorder="1"/>
    <xf numFmtId="0" fontId="0" fillId="0" borderId="2" xfId="0" applyBorder="1"/>
    <xf numFmtId="1" fontId="0" fillId="0" borderId="2" xfId="0" applyNumberFormat="1" applyBorder="1"/>
    <xf numFmtId="171" fontId="0" fillId="5" borderId="0" xfId="0" applyNumberFormat="1" applyFill="1" applyBorder="1"/>
    <xf numFmtId="1" fontId="10" fillId="3" borderId="2" xfId="0" applyNumberFormat="1" applyFont="1" applyFill="1" applyBorder="1"/>
    <xf numFmtId="0" fontId="20" fillId="0" borderId="0" xfId="0" applyFont="1"/>
    <xf numFmtId="0" fontId="21" fillId="0" borderId="0" xfId="0" applyFont="1"/>
    <xf numFmtId="172" fontId="0" fillId="0" borderId="6" xfId="0" applyNumberFormat="1" applyBorder="1"/>
    <xf numFmtId="166" fontId="10" fillId="3" borderId="6" xfId="0" applyNumberFormat="1" applyFont="1" applyFill="1" applyBorder="1"/>
    <xf numFmtId="166" fontId="10" fillId="3" borderId="11" xfId="0" applyNumberFormat="1" applyFont="1" applyFill="1" applyBorder="1"/>
    <xf numFmtId="0" fontId="10" fillId="11" borderId="5" xfId="0" applyFont="1" applyFill="1" applyBorder="1"/>
    <xf numFmtId="166" fontId="10" fillId="11" borderId="6" xfId="0" applyNumberFormat="1" applyFont="1" applyFill="1" applyBorder="1"/>
    <xf numFmtId="0" fontId="10" fillId="11" borderId="7" xfId="0" applyFont="1" applyFill="1" applyBorder="1"/>
    <xf numFmtId="0" fontId="10" fillId="11" borderId="10" xfId="0" applyFont="1" applyFill="1" applyBorder="1"/>
    <xf numFmtId="166" fontId="10" fillId="11" borderId="11" xfId="0" applyNumberFormat="1" applyFont="1" applyFill="1" applyBorder="1"/>
    <xf numFmtId="0" fontId="10" fillId="11" borderId="12" xfId="0" applyFont="1" applyFill="1" applyBorder="1"/>
    <xf numFmtId="0" fontId="2" fillId="4" borderId="10" xfId="0" applyFont="1" applyFill="1" applyBorder="1" applyAlignment="1">
      <alignment horizontal="left"/>
    </xf>
    <xf numFmtId="166" fontId="0" fillId="0" borderId="6" xfId="2" applyNumberFormat="1" applyFont="1" applyFill="1" applyBorder="1"/>
    <xf numFmtId="166" fontId="0" fillId="4" borderId="11" xfId="2" applyNumberFormat="1" applyFont="1" applyFill="1" applyBorder="1"/>
    <xf numFmtId="1" fontId="2" fillId="0" borderId="0" xfId="0" applyNumberFormat="1" applyFont="1" applyBorder="1"/>
    <xf numFmtId="1" fontId="2" fillId="0" borderId="11" xfId="0" applyNumberFormat="1" applyFont="1" applyBorder="1"/>
    <xf numFmtId="1" fontId="2" fillId="0" borderId="2" xfId="0" applyNumberFormat="1" applyFont="1" applyBorder="1"/>
    <xf numFmtId="165" fontId="2" fillId="0" borderId="3" xfId="0" applyNumberFormat="1" applyFont="1" applyBorder="1"/>
    <xf numFmtId="1" fontId="2" fillId="5" borderId="0" xfId="0" applyNumberFormat="1" applyFont="1" applyFill="1" applyBorder="1"/>
    <xf numFmtId="165" fontId="2" fillId="0" borderId="9" xfId="0" applyNumberFormat="1" applyFont="1" applyBorder="1"/>
    <xf numFmtId="165" fontId="2" fillId="4" borderId="9" xfId="0" applyNumberFormat="1" applyFont="1" applyFill="1" applyBorder="1"/>
    <xf numFmtId="165" fontId="2" fillId="4" borderId="12" xfId="0" applyNumberFormat="1" applyFont="1" applyFill="1" applyBorder="1"/>
    <xf numFmtId="165" fontId="2" fillId="0" borderId="12" xfId="0" applyNumberFormat="1" applyFont="1" applyBorder="1"/>
    <xf numFmtId="1" fontId="2" fillId="0" borderId="6" xfId="0" applyNumberFormat="1" applyFont="1" applyBorder="1"/>
    <xf numFmtId="165" fontId="2" fillId="0" borderId="7" xfId="0" applyNumberFormat="1" applyFont="1" applyBorder="1"/>
    <xf numFmtId="0" fontId="10" fillId="3" borderId="2" xfId="0" applyFont="1" applyFill="1" applyBorder="1"/>
    <xf numFmtId="165" fontId="10" fillId="3" borderId="2" xfId="0" applyNumberFormat="1" applyFont="1" applyFill="1" applyBorder="1"/>
    <xf numFmtId="0" fontId="10" fillId="3" borderId="6" xfId="0" applyFont="1" applyFill="1" applyBorder="1"/>
    <xf numFmtId="0" fontId="10" fillId="3" borderId="11" xfId="0" applyFont="1" applyFill="1" applyBorder="1"/>
    <xf numFmtId="0" fontId="10" fillId="11" borderId="6" xfId="0" applyFont="1" applyFill="1" applyBorder="1"/>
    <xf numFmtId="0" fontId="10" fillId="11" borderId="11" xfId="0" applyFont="1" applyFill="1" applyBorder="1"/>
    <xf numFmtId="1" fontId="0" fillId="0" borderId="0" xfId="0" applyNumberFormat="1" applyBorder="1" applyAlignment="1">
      <alignment horizontal="center"/>
    </xf>
    <xf numFmtId="1" fontId="0" fillId="5" borderId="0" xfId="0" applyNumberFormat="1" applyFill="1" applyBorder="1" applyAlignment="1">
      <alignment horizontal="center"/>
    </xf>
    <xf numFmtId="0" fontId="2" fillId="3" borderId="10" xfId="0" applyFont="1" applyFill="1" applyBorder="1" applyAlignment="1">
      <alignment horizontal="left"/>
    </xf>
    <xf numFmtId="0" fontId="0" fillId="3" borderId="11" xfId="0" applyFont="1" applyFill="1" applyBorder="1"/>
    <xf numFmtId="0" fontId="0" fillId="3" borderId="12" xfId="0" applyFont="1" applyFill="1" applyBorder="1"/>
    <xf numFmtId="1" fontId="0" fillId="0" borderId="0" xfId="2" applyNumberFormat="1" applyFont="1" applyFill="1" applyBorder="1"/>
    <xf numFmtId="0" fontId="0" fillId="11" borderId="13" xfId="0" applyFill="1" applyBorder="1"/>
    <xf numFmtId="166" fontId="0" fillId="0" borderId="0" xfId="0" applyNumberFormat="1"/>
    <xf numFmtId="0" fontId="0" fillId="0" borderId="0" xfId="0" applyFill="1" applyBorder="1" applyAlignment="1">
      <alignment horizontal="left"/>
    </xf>
    <xf numFmtId="169" fontId="0" fillId="0" borderId="0" xfId="0" applyNumberFormat="1" applyBorder="1" applyAlignment="1">
      <alignment horizontal="center"/>
    </xf>
    <xf numFmtId="169" fontId="0" fillId="5" borderId="0" xfId="0" applyNumberFormat="1" applyFill="1" applyBorder="1" applyAlignment="1">
      <alignment horizontal="center"/>
    </xf>
    <xf numFmtId="169" fontId="0" fillId="0" borderId="0" xfId="0" applyNumberFormat="1"/>
    <xf numFmtId="169" fontId="0" fillId="0" borderId="0" xfId="2" applyNumberFormat="1" applyFont="1" applyBorder="1" applyAlignment="1">
      <alignment horizontal="center"/>
    </xf>
    <xf numFmtId="169" fontId="0" fillId="5" borderId="0" xfId="2" applyNumberFormat="1" applyFont="1" applyFill="1" applyBorder="1" applyAlignment="1">
      <alignment horizontal="center"/>
    </xf>
    <xf numFmtId="1" fontId="0" fillId="0" borderId="0" xfId="2" applyNumberFormat="1" applyFont="1" applyBorder="1" applyAlignment="1">
      <alignment horizontal="center"/>
    </xf>
    <xf numFmtId="1" fontId="0" fillId="0" borderId="9" xfId="0" applyNumberFormat="1" applyBorder="1" applyAlignment="1">
      <alignment horizontal="center"/>
    </xf>
    <xf numFmtId="0" fontId="2" fillId="0" borderId="27" xfId="0" applyFont="1" applyBorder="1"/>
    <xf numFmtId="0" fontId="0" fillId="5" borderId="27" xfId="0" applyFill="1" applyBorder="1"/>
    <xf numFmtId="0" fontId="0" fillId="0" borderId="27" xfId="0" applyBorder="1"/>
    <xf numFmtId="0" fontId="0" fillId="4" borderId="27" xfId="0" applyFill="1" applyBorder="1"/>
    <xf numFmtId="0" fontId="0" fillId="4" borderId="29" xfId="0" applyFill="1" applyBorder="1"/>
    <xf numFmtId="2" fontId="0" fillId="0" borderId="0" xfId="0" applyNumberFormat="1" applyFill="1" applyBorder="1" applyAlignment="1">
      <alignment horizontal="center"/>
    </xf>
    <xf numFmtId="0" fontId="8" fillId="0" borderId="0" xfId="0" applyFont="1" applyAlignment="1">
      <alignment horizontal="left"/>
    </xf>
    <xf numFmtId="0" fontId="2" fillId="7" borderId="7" xfId="0" applyFont="1" applyFill="1" applyBorder="1"/>
    <xf numFmtId="2" fontId="0" fillId="0" borderId="9" xfId="0" applyNumberFormat="1" applyFill="1" applyBorder="1" applyAlignment="1">
      <alignment horizontal="right"/>
    </xf>
    <xf numFmtId="2" fontId="0" fillId="0" borderId="8" xfId="0" applyNumberFormat="1" applyFill="1" applyBorder="1" applyAlignment="1">
      <alignment horizontal="left"/>
    </xf>
    <xf numFmtId="2" fontId="0" fillId="0" borderId="12" xfId="0" applyNumberFormat="1" applyFill="1" applyBorder="1" applyAlignment="1">
      <alignment horizontal="right"/>
    </xf>
    <xf numFmtId="0" fontId="0" fillId="5" borderId="0" xfId="0" applyNumberFormat="1" applyFont="1" applyFill="1" applyBorder="1" applyAlignment="1">
      <alignment horizontal="center"/>
    </xf>
    <xf numFmtId="0" fontId="13" fillId="0" borderId="0" xfId="0" applyFont="1" applyAlignment="1">
      <alignment horizontal="left"/>
    </xf>
    <xf numFmtId="0" fontId="8" fillId="0" borderId="0" xfId="0" applyFont="1" applyAlignment="1">
      <alignment horizontal="left"/>
    </xf>
    <xf numFmtId="0" fontId="10" fillId="9" borderId="1" xfId="0" applyFont="1" applyFill="1" applyBorder="1" applyAlignment="1">
      <alignment horizontal="center"/>
    </xf>
    <xf numFmtId="0" fontId="10" fillId="9" borderId="2" xfId="0" applyFont="1" applyFill="1" applyBorder="1" applyAlignment="1">
      <alignment horizontal="center"/>
    </xf>
    <xf numFmtId="0" fontId="10" fillId="9" borderId="3" xfId="0" applyFont="1" applyFill="1" applyBorder="1" applyAlignment="1">
      <alignment horizontal="center"/>
    </xf>
    <xf numFmtId="0" fontId="10" fillId="3" borderId="2" xfId="0" applyFont="1" applyFill="1" applyBorder="1" applyAlignment="1">
      <alignment horizontal="center"/>
    </xf>
    <xf numFmtId="0" fontId="10" fillId="3" borderId="3" xfId="0" applyFont="1" applyFill="1" applyBorder="1" applyAlignment="1">
      <alignment horizontal="center"/>
    </xf>
    <xf numFmtId="0" fontId="5" fillId="0" borderId="0" xfId="0" applyFont="1" applyAlignment="1">
      <alignment horizontal="left"/>
    </xf>
    <xf numFmtId="0" fontId="10" fillId="9" borderId="5" xfId="0" applyFont="1" applyFill="1" applyBorder="1" applyAlignment="1">
      <alignment horizontal="center"/>
    </xf>
    <xf numFmtId="0" fontId="10" fillId="9" borderId="6" xfId="0" applyFont="1" applyFill="1" applyBorder="1" applyAlignment="1">
      <alignment horizontal="center"/>
    </xf>
    <xf numFmtId="0" fontId="10" fillId="9" borderId="7" xfId="0" applyFont="1" applyFill="1" applyBorder="1" applyAlignment="1">
      <alignment horizontal="center"/>
    </xf>
    <xf numFmtId="0" fontId="0" fillId="6" borderId="0" xfId="0" applyFill="1" applyAlignment="1">
      <alignment horizontal="left" wrapText="1"/>
    </xf>
    <xf numFmtId="0" fontId="6" fillId="6" borderId="0" xfId="0" applyFont="1" applyFill="1" applyAlignment="1">
      <alignment horizontal="left"/>
    </xf>
    <xf numFmtId="0" fontId="0" fillId="0" borderId="0" xfId="0" applyFill="1" applyAlignment="1">
      <alignment horizontal="left" wrapText="1"/>
    </xf>
    <xf numFmtId="0" fontId="16" fillId="0" borderId="0" xfId="0" applyFont="1" applyAlignment="1">
      <alignment horizontal="left"/>
    </xf>
    <xf numFmtId="0" fontId="0" fillId="6" borderId="0" xfId="0" applyFill="1" applyAlignment="1">
      <alignment horizontal="left"/>
    </xf>
    <xf numFmtId="0" fontId="0" fillId="6" borderId="1" xfId="0" applyFont="1" applyFill="1" applyBorder="1" applyAlignment="1">
      <alignment horizontal="center"/>
    </xf>
    <xf numFmtId="0" fontId="0" fillId="6" borderId="3" xfId="0" applyFont="1" applyFill="1" applyBorder="1" applyAlignment="1">
      <alignment horizontal="center"/>
    </xf>
    <xf numFmtId="0" fontId="0" fillId="0" borderId="0" xfId="0" applyFont="1" applyFill="1" applyBorder="1" applyAlignment="1">
      <alignment horizontal="center"/>
    </xf>
    <xf numFmtId="0" fontId="10" fillId="7" borderId="28" xfId="0" applyFont="1" applyFill="1" applyBorder="1" applyAlignment="1">
      <alignment horizontal="center"/>
    </xf>
    <xf numFmtId="0" fontId="10" fillId="7" borderId="2" xfId="0" applyFont="1" applyFill="1" applyBorder="1" applyAlignment="1">
      <alignment horizontal="center"/>
    </xf>
    <xf numFmtId="0" fontId="10" fillId="7" borderId="25" xfId="0" applyFont="1" applyFill="1" applyBorder="1" applyAlignment="1">
      <alignment horizontal="center"/>
    </xf>
    <xf numFmtId="0" fontId="10" fillId="7" borderId="3" xfId="0" applyFont="1" applyFill="1" applyBorder="1" applyAlignment="1">
      <alignment horizontal="center"/>
    </xf>
    <xf numFmtId="0" fontId="5" fillId="0" borderId="0" xfId="0" applyFont="1" applyFill="1" applyBorder="1" applyAlignment="1">
      <alignment horizontal="center"/>
    </xf>
    <xf numFmtId="0" fontId="6" fillId="0" borderId="0" xfId="0" applyFont="1" applyFill="1" applyBorder="1" applyAlignment="1">
      <alignment horizontal="left"/>
    </xf>
    <xf numFmtId="0" fontId="0" fillId="7" borderId="1" xfId="0" applyFill="1" applyBorder="1" applyAlignment="1">
      <alignment horizontal="center"/>
    </xf>
    <xf numFmtId="0" fontId="0" fillId="7" borderId="2" xfId="0" applyFill="1" applyBorder="1" applyAlignment="1">
      <alignment horizontal="center"/>
    </xf>
    <xf numFmtId="0" fontId="6" fillId="0" borderId="0" xfId="0" applyFont="1" applyFill="1" applyBorder="1" applyAlignment="1">
      <alignment horizontal="left" vertical="center"/>
    </xf>
    <xf numFmtId="0" fontId="0" fillId="0" borderId="0" xfId="0" applyFill="1" applyBorder="1" applyAlignment="1">
      <alignment horizontal="left"/>
    </xf>
    <xf numFmtId="0" fontId="7" fillId="0" borderId="0" xfId="0" applyFont="1" applyFill="1" applyBorder="1" applyAlignment="1">
      <alignment horizontal="left"/>
    </xf>
    <xf numFmtId="0" fontId="6" fillId="6" borderId="0" xfId="0" applyFont="1" applyFill="1" applyAlignment="1">
      <alignment horizontal="left" vertical="center"/>
    </xf>
    <xf numFmtId="0" fontId="7" fillId="6" borderId="0" xfId="0" applyFont="1" applyFill="1" applyAlignment="1">
      <alignment horizontal="left"/>
    </xf>
    <xf numFmtId="0" fontId="2" fillId="7" borderId="2" xfId="0" applyFont="1" applyFill="1" applyBorder="1" applyAlignment="1">
      <alignment horizontal="left"/>
    </xf>
    <xf numFmtId="0" fontId="2" fillId="7" borderId="3" xfId="0" applyFont="1" applyFill="1" applyBorder="1" applyAlignment="1">
      <alignment horizontal="left"/>
    </xf>
    <xf numFmtId="0" fontId="0" fillId="0" borderId="0" xfId="0" applyBorder="1" applyAlignment="1">
      <alignment horizontal="left"/>
    </xf>
    <xf numFmtId="0" fontId="0" fillId="0" borderId="9" xfId="0" applyBorder="1" applyAlignment="1">
      <alignment horizontal="left"/>
    </xf>
    <xf numFmtId="0" fontId="0" fillId="0" borderId="0" xfId="0" applyFont="1" applyBorder="1" applyAlignment="1">
      <alignment horizontal="left"/>
    </xf>
    <xf numFmtId="0" fontId="0" fillId="0" borderId="9" xfId="0" applyFont="1"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14" fillId="0" borderId="0" xfId="0" applyFont="1" applyBorder="1" applyAlignment="1">
      <alignment horizontal="left"/>
    </xf>
    <xf numFmtId="0" fontId="14" fillId="0" borderId="9" xfId="0" applyFont="1" applyBorder="1" applyAlignment="1">
      <alignment horizontal="left"/>
    </xf>
    <xf numFmtId="0" fontId="10" fillId="7" borderId="1" xfId="0" applyFont="1" applyFill="1" applyBorder="1" applyAlignment="1">
      <alignment horizontal="center"/>
    </xf>
    <xf numFmtId="0" fontId="8" fillId="3" borderId="0" xfId="0" applyFont="1" applyFill="1" applyAlignment="1">
      <alignment horizontal="left"/>
    </xf>
    <xf numFmtId="0" fontId="10" fillId="7" borderId="5" xfId="0" applyFont="1" applyFill="1" applyBorder="1" applyAlignment="1">
      <alignment horizontal="center"/>
    </xf>
    <xf numFmtId="0" fontId="10" fillId="7" borderId="7" xfId="0" applyFont="1" applyFill="1" applyBorder="1" applyAlignment="1">
      <alignment horizontal="center"/>
    </xf>
    <xf numFmtId="0" fontId="0" fillId="0" borderId="8" xfId="0" applyBorder="1" applyAlignment="1">
      <alignment horizontal="left"/>
    </xf>
    <xf numFmtId="0" fontId="0" fillId="5" borderId="8" xfId="0" applyFill="1" applyBorder="1" applyAlignment="1">
      <alignment horizontal="left"/>
    </xf>
    <xf numFmtId="0" fontId="0" fillId="5" borderId="9" xfId="0" applyFill="1" applyBorder="1" applyAlignment="1">
      <alignment horizontal="left"/>
    </xf>
    <xf numFmtId="0" fontId="2" fillId="0" borderId="5" xfId="0" applyFont="1" applyBorder="1" applyAlignment="1">
      <alignment horizontal="left" vertical="top"/>
    </xf>
    <xf numFmtId="0" fontId="2" fillId="0" borderId="7" xfId="0" applyFont="1" applyBorder="1" applyAlignment="1">
      <alignment horizontal="left" vertical="top"/>
    </xf>
    <xf numFmtId="0" fontId="10" fillId="0" borderId="0" xfId="0" applyFont="1" applyFill="1" applyBorder="1" applyAlignment="1">
      <alignment horizontal="left"/>
    </xf>
    <xf numFmtId="0" fontId="0" fillId="5" borderId="8" xfId="0" applyFont="1" applyFill="1" applyBorder="1" applyAlignment="1">
      <alignment horizontal="left"/>
    </xf>
    <xf numFmtId="0" fontId="0" fillId="5" borderId="9" xfId="0" applyFont="1" applyFill="1" applyBorder="1" applyAlignment="1">
      <alignment horizontal="left"/>
    </xf>
    <xf numFmtId="0" fontId="0" fillId="0" borderId="8" xfId="0" applyFont="1" applyBorder="1" applyAlignment="1">
      <alignment horizontal="left"/>
    </xf>
    <xf numFmtId="0" fontId="0" fillId="6" borderId="0" xfId="0" applyFill="1" applyAlignment="1">
      <alignment horizontal="right"/>
    </xf>
    <xf numFmtId="0" fontId="0" fillId="6" borderId="15" xfId="0" applyFill="1" applyBorder="1" applyAlignment="1">
      <alignment horizontal="right"/>
    </xf>
    <xf numFmtId="0" fontId="10" fillId="7" borderId="1" xfId="0" applyFont="1" applyFill="1" applyBorder="1" applyAlignment="1">
      <alignment horizontal="left"/>
    </xf>
    <xf numFmtId="0" fontId="10" fillId="7" borderId="2" xfId="0" applyFont="1" applyFill="1" applyBorder="1" applyAlignment="1">
      <alignment horizontal="left"/>
    </xf>
    <xf numFmtId="0" fontId="10" fillId="7" borderId="3" xfId="0" applyFont="1" applyFill="1" applyBorder="1" applyAlignment="1">
      <alignment horizontal="left"/>
    </xf>
    <xf numFmtId="0" fontId="8" fillId="0" borderId="0" xfId="0" applyFont="1" applyFill="1" applyAlignment="1">
      <alignment horizontal="left"/>
    </xf>
    <xf numFmtId="0" fontId="0" fillId="0" borderId="0" xfId="0" applyBorder="1" applyAlignment="1">
      <alignment horizontal="left" wrapText="1"/>
    </xf>
    <xf numFmtId="0" fontId="0" fillId="0" borderId="9" xfId="0"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2" fillId="7" borderId="6" xfId="0" applyFont="1" applyFill="1" applyBorder="1" applyAlignment="1">
      <alignment horizontal="left"/>
    </xf>
    <xf numFmtId="0" fontId="2" fillId="7" borderId="7" xfId="0" applyFont="1" applyFill="1" applyBorder="1" applyAlignment="1">
      <alignment horizontal="left"/>
    </xf>
  </cellXfs>
  <cellStyles count="4">
    <cellStyle name="Currency" xfId="1" builtinId="4"/>
    <cellStyle name="Good 2" xfId="3" xr:uid="{F8C6E3A1-C68A-0C4A-B968-6936CD1C964E}"/>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n-US" sz="2000"/>
              <a:t>Net Present Value Results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(Economics!$BP$17,Economics!$AT$17,Economics!$X$17,Economics!$B$17)</c:f>
              <c:strCache>
                <c:ptCount val="4"/>
                <c:pt idx="0">
                  <c:v>Additional Hydrothermal Liquefaction</c:v>
                </c:pt>
                <c:pt idx="1">
                  <c:v>Biocatalysis Subprocess</c:v>
                </c:pt>
                <c:pt idx="2">
                  <c:v>Electrocatalysis Subprocess</c:v>
                </c:pt>
                <c:pt idx="3">
                  <c:v>Full Process</c:v>
                </c:pt>
              </c:strCache>
            </c:strRef>
          </c:cat>
          <c:val>
            <c:numRef>
              <c:f>('Summary Table'!$M$30,'Summary Table'!$M$55,'Summary Table'!$M$42,'Summary Table'!$M$29)</c:f>
              <c:numCache>
                <c:formatCode>0.0</c:formatCode>
                <c:ptCount val="4"/>
                <c:pt idx="0">
                  <c:v>-2171.7736772570847</c:v>
                </c:pt>
                <c:pt idx="1">
                  <c:v>-2039.0508099518515</c:v>
                </c:pt>
                <c:pt idx="2">
                  <c:v>-693.54012059289835</c:v>
                </c:pt>
                <c:pt idx="3">
                  <c:v>-886.56727530464684</c:v>
                </c:pt>
              </c:numCache>
            </c:numRef>
          </c:val>
          <c:extLst>
            <c:ext xmlns:c16="http://schemas.microsoft.com/office/drawing/2014/chart" uri="{C3380CC4-5D6E-409C-BE32-E72D297353CC}">
              <c16:uniqueId val="{00000000-4911-4648-8E7B-0CB863EE702E}"/>
            </c:ext>
          </c:extLst>
        </c:ser>
        <c:dLbls>
          <c:dLblPos val="inEnd"/>
          <c:showLegendKey val="0"/>
          <c:showVal val="1"/>
          <c:showCatName val="0"/>
          <c:showSerName val="0"/>
          <c:showPercent val="0"/>
          <c:showBubbleSize val="0"/>
        </c:dLbls>
        <c:gapWidth val="115"/>
        <c:overlap val="-20"/>
        <c:axId val="900959152"/>
        <c:axId val="900745600"/>
      </c:barChart>
      <c:catAx>
        <c:axId val="900959152"/>
        <c:scaling>
          <c:orientation val="minMax"/>
        </c:scaling>
        <c:delete val="0"/>
        <c:axPos val="l"/>
        <c:numFmt formatCode="General" sourceLinked="1"/>
        <c:majorTickMark val="none"/>
        <c:minorTickMark val="none"/>
        <c:tickLblPos val="high"/>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900745600"/>
        <c:crosses val="autoZero"/>
        <c:auto val="1"/>
        <c:lblAlgn val="ctr"/>
        <c:lblOffset val="100"/>
        <c:noMultiLvlLbl val="0"/>
      </c:catAx>
      <c:valAx>
        <c:axId val="9007456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en-US" sz="1600">
                    <a:solidFill>
                      <a:schemeClr val="tx1"/>
                    </a:solidFill>
                  </a:rPr>
                  <a:t>Net</a:t>
                </a:r>
                <a:r>
                  <a:rPr lang="en-US" sz="1600" baseline="0">
                    <a:solidFill>
                      <a:schemeClr val="tx1"/>
                    </a:solidFill>
                  </a:rPr>
                  <a:t> Present Value ($M USD)</a:t>
                </a:r>
                <a:endParaRPr lang="en-US" sz="1600">
                  <a:solidFill>
                    <a:schemeClr val="tx1"/>
                  </a:solidFill>
                </a:endParaRP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900959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n-US" sz="2000"/>
              <a:t>Capital Expenses by Major Subprocess Results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(Economics!$B$218,Economics!$B$217,Economics!$B$216,Economics!$B$215,Economics!$B$214)</c:f>
              <c:strCache>
                <c:ptCount val="5"/>
                <c:pt idx="0">
                  <c:v>Bioproduct Recovery and Purification</c:v>
                </c:pt>
                <c:pt idx="1">
                  <c:v>Biocatalysis</c:v>
                </c:pt>
                <c:pt idx="2">
                  <c:v>Gas Separation</c:v>
                </c:pt>
                <c:pt idx="3">
                  <c:v>Liquid Separation</c:v>
                </c:pt>
                <c:pt idx="4">
                  <c:v>Electrocatalysis</c:v>
                </c:pt>
              </c:strCache>
            </c:strRef>
          </c:cat>
          <c:val>
            <c:numRef>
              <c:f>(Economics!$C$218,Economics!$C$217,Economics!$C$216,Economics!$C$215,Economics!$C$214)</c:f>
              <c:numCache>
                <c:formatCode>0.00</c:formatCode>
                <c:ptCount val="5"/>
                <c:pt idx="0">
                  <c:v>229.02266677501223</c:v>
                </c:pt>
                <c:pt idx="1">
                  <c:v>362.1545685261583</c:v>
                </c:pt>
                <c:pt idx="2">
                  <c:v>43.230921749234881</c:v>
                </c:pt>
                <c:pt idx="3">
                  <c:v>37.088241750000002</c:v>
                </c:pt>
                <c:pt idx="4">
                  <c:v>390.57398410469051</c:v>
                </c:pt>
              </c:numCache>
            </c:numRef>
          </c:val>
          <c:extLst>
            <c:ext xmlns:c16="http://schemas.microsoft.com/office/drawing/2014/chart" uri="{C3380CC4-5D6E-409C-BE32-E72D297353CC}">
              <c16:uniqueId val="{00000000-6DE9-5A43-A56F-1B233497D248}"/>
            </c:ext>
          </c:extLst>
        </c:ser>
        <c:dLbls>
          <c:dLblPos val="inEnd"/>
          <c:showLegendKey val="0"/>
          <c:showVal val="1"/>
          <c:showCatName val="0"/>
          <c:showSerName val="0"/>
          <c:showPercent val="0"/>
          <c:showBubbleSize val="0"/>
        </c:dLbls>
        <c:gapWidth val="115"/>
        <c:overlap val="-20"/>
        <c:axId val="900959152"/>
        <c:axId val="900745600"/>
      </c:barChart>
      <c:catAx>
        <c:axId val="900959152"/>
        <c:scaling>
          <c:orientation val="minMax"/>
        </c:scaling>
        <c:delete val="0"/>
        <c:axPos val="l"/>
        <c:numFmt formatCode="General" sourceLinked="1"/>
        <c:majorTickMark val="none"/>
        <c:minorTickMark val="none"/>
        <c:tickLblPos val="high"/>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900745600"/>
        <c:crosses val="autoZero"/>
        <c:auto val="1"/>
        <c:lblAlgn val="ctr"/>
        <c:lblOffset val="100"/>
        <c:noMultiLvlLbl val="0"/>
      </c:catAx>
      <c:valAx>
        <c:axId val="9007456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en-US" sz="1600">
                    <a:solidFill>
                      <a:schemeClr val="tx1"/>
                    </a:solidFill>
                  </a:rPr>
                  <a:t>Capital Expense </a:t>
                </a:r>
                <a:r>
                  <a:rPr lang="en-US" sz="1600" baseline="0">
                    <a:solidFill>
                      <a:schemeClr val="tx1"/>
                    </a:solidFill>
                  </a:rPr>
                  <a:t>($M USD)</a:t>
                </a:r>
                <a:endParaRPr lang="en-US" sz="1600">
                  <a:solidFill>
                    <a:schemeClr val="tx1"/>
                  </a:solidFill>
                </a:endParaRP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900959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n-US" sz="2000"/>
              <a:t>Operating Expenses by Major Subprocess Results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(Economics!$B$218,Economics!$B$217,Economics!$B$216,Economics!$B$215,Economics!$B$214)</c:f>
              <c:strCache>
                <c:ptCount val="5"/>
                <c:pt idx="0">
                  <c:v>Bioproduct Recovery and Purification</c:v>
                </c:pt>
                <c:pt idx="1">
                  <c:v>Biocatalysis</c:v>
                </c:pt>
                <c:pt idx="2">
                  <c:v>Gas Separation</c:v>
                </c:pt>
                <c:pt idx="3">
                  <c:v>Liquid Separation</c:v>
                </c:pt>
                <c:pt idx="4">
                  <c:v>Electrocatalysis</c:v>
                </c:pt>
              </c:strCache>
            </c:strRef>
          </c:cat>
          <c:val>
            <c:numRef>
              <c:f>(Economics!$D$218,Economics!$D$217,Economics!$D$216,Economics!$D$215,Economics!$D$214)</c:f>
              <c:numCache>
                <c:formatCode>0.00</c:formatCode>
                <c:ptCount val="5"/>
                <c:pt idx="0">
                  <c:v>70.389851362889672</c:v>
                </c:pt>
                <c:pt idx="1">
                  <c:v>19.542372978450185</c:v>
                </c:pt>
                <c:pt idx="2">
                  <c:v>4.0045277717729011</c:v>
                </c:pt>
                <c:pt idx="3">
                  <c:v>183.64387326941426</c:v>
                </c:pt>
                <c:pt idx="4">
                  <c:v>193.10457472998834</c:v>
                </c:pt>
              </c:numCache>
            </c:numRef>
          </c:val>
          <c:extLst>
            <c:ext xmlns:c16="http://schemas.microsoft.com/office/drawing/2014/chart" uri="{C3380CC4-5D6E-409C-BE32-E72D297353CC}">
              <c16:uniqueId val="{00000000-2E84-614C-B3A9-E4747D611EFB}"/>
            </c:ext>
          </c:extLst>
        </c:ser>
        <c:dLbls>
          <c:dLblPos val="inEnd"/>
          <c:showLegendKey val="0"/>
          <c:showVal val="1"/>
          <c:showCatName val="0"/>
          <c:showSerName val="0"/>
          <c:showPercent val="0"/>
          <c:showBubbleSize val="0"/>
        </c:dLbls>
        <c:gapWidth val="115"/>
        <c:overlap val="-20"/>
        <c:axId val="900959152"/>
        <c:axId val="900745600"/>
      </c:barChart>
      <c:catAx>
        <c:axId val="900959152"/>
        <c:scaling>
          <c:orientation val="minMax"/>
        </c:scaling>
        <c:delete val="0"/>
        <c:axPos val="l"/>
        <c:numFmt formatCode="General" sourceLinked="1"/>
        <c:majorTickMark val="none"/>
        <c:minorTickMark val="none"/>
        <c:tickLblPos val="high"/>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900745600"/>
        <c:crosses val="autoZero"/>
        <c:auto val="1"/>
        <c:lblAlgn val="ctr"/>
        <c:lblOffset val="100"/>
        <c:noMultiLvlLbl val="0"/>
      </c:catAx>
      <c:valAx>
        <c:axId val="9007456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en-US" sz="1600">
                    <a:solidFill>
                      <a:schemeClr val="tx1"/>
                    </a:solidFill>
                  </a:rPr>
                  <a:t>Operating Expense </a:t>
                </a:r>
                <a:r>
                  <a:rPr lang="en-US" sz="1600" baseline="0">
                    <a:solidFill>
                      <a:schemeClr val="tx1"/>
                    </a:solidFill>
                  </a:rPr>
                  <a:t>($M USD/year)</a:t>
                </a:r>
                <a:endParaRPr lang="en-US" sz="1600">
                  <a:solidFill>
                    <a:schemeClr val="tx1"/>
                  </a:solidFill>
                </a:endParaRP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900959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1984</xdr:colOff>
      <xdr:row>14</xdr:row>
      <xdr:rowOff>195133</xdr:rowOff>
    </xdr:from>
    <xdr:to>
      <xdr:col>32</xdr:col>
      <xdr:colOff>218488</xdr:colOff>
      <xdr:row>37</xdr:row>
      <xdr:rowOff>102212</xdr:rowOff>
    </xdr:to>
    <xdr:graphicFrame macro="">
      <xdr:nvGraphicFramePr>
        <xdr:cNvPr id="5" name="Chart 4">
          <a:extLst>
            <a:ext uri="{FF2B5EF4-FFF2-40B4-BE49-F238E27FC236}">
              <a16:creationId xmlns:a16="http://schemas.microsoft.com/office/drawing/2014/main" id="{951F6F09-5C55-C749-AF72-9F981CB842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5242</xdr:colOff>
      <xdr:row>43</xdr:row>
      <xdr:rowOff>4311</xdr:rowOff>
    </xdr:from>
    <xdr:to>
      <xdr:col>32</xdr:col>
      <xdr:colOff>221746</xdr:colOff>
      <xdr:row>68</xdr:row>
      <xdr:rowOff>194661</xdr:rowOff>
    </xdr:to>
    <xdr:graphicFrame macro="">
      <xdr:nvGraphicFramePr>
        <xdr:cNvPr id="6" name="Chart 5">
          <a:extLst>
            <a:ext uri="{FF2B5EF4-FFF2-40B4-BE49-F238E27FC236}">
              <a16:creationId xmlns:a16="http://schemas.microsoft.com/office/drawing/2014/main" id="{5CB97060-F806-7B4C-8096-234533FC6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5242</xdr:colOff>
      <xdr:row>73</xdr:row>
      <xdr:rowOff>194454</xdr:rowOff>
    </xdr:from>
    <xdr:to>
      <xdr:col>32</xdr:col>
      <xdr:colOff>221746</xdr:colOff>
      <xdr:row>98</xdr:row>
      <xdr:rowOff>154569</xdr:rowOff>
    </xdr:to>
    <xdr:graphicFrame macro="">
      <xdr:nvGraphicFramePr>
        <xdr:cNvPr id="7" name="Chart 6">
          <a:extLst>
            <a:ext uri="{FF2B5EF4-FFF2-40B4-BE49-F238E27FC236}">
              <a16:creationId xmlns:a16="http://schemas.microsoft.com/office/drawing/2014/main" id="{43FE4762-5055-1142-ABD1-3FC5BB1D8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18907</xdr:colOff>
      <xdr:row>116</xdr:row>
      <xdr:rowOff>75984</xdr:rowOff>
    </xdr:from>
    <xdr:to>
      <xdr:col>59</xdr:col>
      <xdr:colOff>790449</xdr:colOff>
      <xdr:row>188</xdr:row>
      <xdr:rowOff>0</xdr:rowOff>
    </xdr:to>
    <xdr:pic>
      <xdr:nvPicPr>
        <xdr:cNvPr id="3" name="Picture 2">
          <a:extLst>
            <a:ext uri="{FF2B5EF4-FFF2-40B4-BE49-F238E27FC236}">
              <a16:creationId xmlns:a16="http://schemas.microsoft.com/office/drawing/2014/main" id="{1D433E80-2421-9E47-8D90-4B974B15306F}"/>
            </a:ext>
          </a:extLst>
        </xdr:cNvPr>
        <xdr:cNvPicPr>
          <a:picLocks noChangeAspect="1"/>
        </xdr:cNvPicPr>
      </xdr:nvPicPr>
      <xdr:blipFill>
        <a:blip xmlns:r="http://schemas.openxmlformats.org/officeDocument/2006/relationships" r:embed="rId1"/>
        <a:stretch>
          <a:fillRect/>
        </a:stretch>
      </xdr:blipFill>
      <xdr:spPr>
        <a:xfrm>
          <a:off x="844407" y="23158234"/>
          <a:ext cx="49380792" cy="136400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A30FE-CBFA-2E48-9AEF-EAA11B21DA8F}">
  <dimension ref="B3:Y112"/>
  <sheetViews>
    <sheetView tabSelected="1" topLeftCell="D43" zoomScale="75" zoomScaleNormal="75" workbookViewId="0">
      <selection activeCell="L66" sqref="L66"/>
    </sheetView>
  </sheetViews>
  <sheetFormatPr baseColWidth="10" defaultRowHeight="16"/>
  <cols>
    <col min="2" max="2" width="48.83203125" bestFit="1" customWidth="1"/>
    <col min="3" max="3" width="31.5" bestFit="1" customWidth="1"/>
    <col min="4" max="4" width="21.33203125" customWidth="1"/>
    <col min="5" max="6" width="17.5" customWidth="1"/>
    <col min="7" max="7" width="36.6640625" bestFit="1" customWidth="1"/>
    <col min="8" max="8" width="33.1640625" bestFit="1" customWidth="1"/>
    <col min="9" max="9" width="19.6640625" bestFit="1" customWidth="1"/>
    <col min="10" max="10" width="9.1640625" customWidth="1"/>
    <col min="12" max="12" width="34.1640625" bestFit="1" customWidth="1"/>
    <col min="13" max="13" width="11.1640625" bestFit="1" customWidth="1"/>
    <col min="14" max="14" width="12.33203125" bestFit="1" customWidth="1"/>
  </cols>
  <sheetData>
    <row r="3" spans="2:14" ht="37">
      <c r="B3" s="689" t="s">
        <v>655</v>
      </c>
      <c r="C3" s="689"/>
      <c r="D3" s="689"/>
    </row>
    <row r="4" spans="2:14">
      <c r="B4" s="69"/>
      <c r="C4" s="69"/>
      <c r="D4" s="69"/>
    </row>
    <row r="5" spans="2:14">
      <c r="B5" s="688" t="s">
        <v>647</v>
      </c>
      <c r="C5" s="688"/>
      <c r="D5" s="688"/>
    </row>
    <row r="6" spans="2:14">
      <c r="B6" s="688"/>
      <c r="C6" s="688"/>
      <c r="D6" s="688"/>
    </row>
    <row r="7" spans="2:14">
      <c r="B7" s="69"/>
      <c r="C7" s="69"/>
      <c r="D7" s="69"/>
    </row>
    <row r="8" spans="2:14">
      <c r="B8" s="247" t="s">
        <v>659</v>
      </c>
      <c r="C8" s="249"/>
      <c r="D8" s="69"/>
    </row>
    <row r="9" spans="2:14">
      <c r="B9" s="247" t="s">
        <v>660</v>
      </c>
      <c r="C9" s="284"/>
      <c r="D9" s="69"/>
    </row>
    <row r="10" spans="2:14">
      <c r="B10" s="247" t="s">
        <v>1114</v>
      </c>
      <c r="C10" s="248"/>
      <c r="D10" s="69"/>
    </row>
    <row r="11" spans="2:14">
      <c r="B11" s="69"/>
      <c r="C11" s="69"/>
      <c r="D11" s="69"/>
    </row>
    <row r="12" spans="2:14">
      <c r="B12" s="234"/>
      <c r="C12" s="234"/>
      <c r="D12" s="234"/>
    </row>
    <row r="13" spans="2:14" ht="17" thickBot="1">
      <c r="B13" s="139"/>
      <c r="C13" s="139"/>
      <c r="D13" s="139"/>
      <c r="E13" s="30"/>
      <c r="F13" s="30"/>
      <c r="G13" s="30"/>
      <c r="H13" s="30"/>
      <c r="I13" s="30"/>
      <c r="J13" s="30"/>
      <c r="K13" s="30"/>
      <c r="L13" s="30"/>
      <c r="M13" s="30"/>
      <c r="N13" s="30"/>
    </row>
    <row r="14" spans="2:14">
      <c r="B14" s="9"/>
      <c r="C14" s="9"/>
      <c r="D14" s="9"/>
      <c r="E14" s="5"/>
      <c r="F14" s="5"/>
      <c r="G14" s="5"/>
      <c r="H14" s="5"/>
      <c r="I14" s="5"/>
      <c r="J14" s="5"/>
    </row>
    <row r="15" spans="2:14" ht="16" customHeight="1">
      <c r="B15" s="690" t="s">
        <v>656</v>
      </c>
      <c r="C15" s="690"/>
      <c r="D15" s="690"/>
      <c r="E15" s="690"/>
      <c r="F15" s="690"/>
      <c r="G15" s="690"/>
      <c r="H15" s="286"/>
      <c r="I15" s="286"/>
      <c r="J15" s="286"/>
    </row>
    <row r="16" spans="2:14">
      <c r="B16" s="690"/>
      <c r="C16" s="690"/>
      <c r="D16" s="690"/>
      <c r="E16" s="690"/>
      <c r="F16" s="690"/>
      <c r="G16" s="690"/>
      <c r="H16" s="286"/>
      <c r="I16" s="286"/>
      <c r="J16" s="286"/>
    </row>
    <row r="18" spans="2:14" ht="26">
      <c r="B18" s="678" t="s">
        <v>650</v>
      </c>
      <c r="C18" s="678"/>
      <c r="G18" s="678" t="s">
        <v>651</v>
      </c>
      <c r="H18" s="678"/>
      <c r="I18" s="678"/>
      <c r="L18" s="677" t="s">
        <v>726</v>
      </c>
      <c r="M18" s="677"/>
      <c r="N18" s="677"/>
    </row>
    <row r="19" spans="2:14" s="10" customFormat="1">
      <c r="B19" s="272"/>
      <c r="C19" s="272"/>
      <c r="L19" s="502"/>
      <c r="M19" s="502"/>
      <c r="N19" s="502"/>
    </row>
    <row r="20" spans="2:14">
      <c r="B20" s="272"/>
      <c r="C20" s="272"/>
      <c r="D20" s="10"/>
      <c r="L20" s="527"/>
      <c r="M20" s="527"/>
      <c r="N20" s="527"/>
    </row>
    <row r="21" spans="2:14" ht="21">
      <c r="B21" s="273" t="s">
        <v>649</v>
      </c>
      <c r="C21" s="273"/>
      <c r="D21" s="273"/>
      <c r="G21" s="273" t="s">
        <v>652</v>
      </c>
      <c r="L21" s="691" t="s">
        <v>664</v>
      </c>
      <c r="M21" s="691"/>
      <c r="N21" s="691"/>
    </row>
    <row r="22" spans="2:14" ht="17" thickBot="1">
      <c r="L22" s="271"/>
      <c r="M22" s="9"/>
      <c r="N22" s="9"/>
    </row>
    <row r="23" spans="2:14" ht="22" thickBot="1">
      <c r="B23" s="599" t="s">
        <v>342</v>
      </c>
      <c r="C23" s="682" t="s">
        <v>1069</v>
      </c>
      <c r="D23" s="683"/>
      <c r="G23" s="679" t="s">
        <v>636</v>
      </c>
      <c r="H23" s="680"/>
      <c r="I23" s="681"/>
      <c r="L23" s="481" t="s">
        <v>727</v>
      </c>
      <c r="M23" s="482" t="s">
        <v>728</v>
      </c>
      <c r="N23" s="483" t="s">
        <v>217</v>
      </c>
    </row>
    <row r="24" spans="2:14">
      <c r="B24" s="17"/>
      <c r="C24" s="271"/>
      <c r="D24" s="271"/>
      <c r="G24" s="42" t="s">
        <v>216</v>
      </c>
      <c r="H24" s="86" t="s">
        <v>478</v>
      </c>
      <c r="I24" s="44" t="s">
        <v>217</v>
      </c>
      <c r="L24" s="430" t="s">
        <v>618</v>
      </c>
      <c r="M24" s="436">
        <f>Economics!C53</f>
        <v>1062.0703829050956</v>
      </c>
      <c r="N24" s="311" t="s">
        <v>614</v>
      </c>
    </row>
    <row r="25" spans="2:14">
      <c r="B25" s="17" t="s">
        <v>648</v>
      </c>
      <c r="C25" s="271"/>
      <c r="D25" s="271"/>
      <c r="G25" s="282" t="s">
        <v>316</v>
      </c>
      <c r="H25" s="278">
        <v>102748</v>
      </c>
      <c r="I25" s="277" t="s">
        <v>317</v>
      </c>
      <c r="L25" s="468" t="s">
        <v>629</v>
      </c>
      <c r="M25" s="480">
        <f>Economics!C148</f>
        <v>569.29473808911291</v>
      </c>
      <c r="N25" s="58" t="s">
        <v>616</v>
      </c>
    </row>
    <row r="26" spans="2:14">
      <c r="B26" s="17"/>
      <c r="C26" s="271"/>
      <c r="D26" s="271"/>
      <c r="G26" s="42" t="s">
        <v>319</v>
      </c>
      <c r="H26" s="5">
        <v>350</v>
      </c>
      <c r="I26" s="28" t="s">
        <v>318</v>
      </c>
      <c r="L26" s="261" t="s">
        <v>630</v>
      </c>
      <c r="M26" s="433">
        <f>Economics!C149</f>
        <v>-592.38306357009424</v>
      </c>
      <c r="N26" s="372" t="s">
        <v>616</v>
      </c>
    </row>
    <row r="27" spans="2:14" ht="21">
      <c r="B27" s="273" t="s">
        <v>486</v>
      </c>
      <c r="C27" s="273"/>
      <c r="D27" s="273"/>
      <c r="G27" s="282" t="s">
        <v>673</v>
      </c>
      <c r="H27" s="278">
        <v>30</v>
      </c>
      <c r="I27" s="277" t="s">
        <v>674</v>
      </c>
      <c r="L27" s="468" t="s">
        <v>1032</v>
      </c>
      <c r="M27" s="480">
        <f>Economics!C147</f>
        <v>-23.088325480981325</v>
      </c>
      <c r="N27" s="58" t="s">
        <v>616</v>
      </c>
    </row>
    <row r="28" spans="2:14" ht="17" thickBot="1">
      <c r="G28" s="153" t="s">
        <v>359</v>
      </c>
      <c r="H28" s="262">
        <v>0.2</v>
      </c>
      <c r="I28" s="263" t="s">
        <v>641</v>
      </c>
      <c r="L28" s="261"/>
      <c r="M28" s="433"/>
      <c r="N28" s="263"/>
    </row>
    <row r="29" spans="2:14" ht="17" thickBot="1">
      <c r="B29" s="279" t="s">
        <v>216</v>
      </c>
      <c r="C29" s="280" t="s">
        <v>478</v>
      </c>
      <c r="D29" s="281" t="s">
        <v>217</v>
      </c>
      <c r="G29" s="282" t="s">
        <v>101</v>
      </c>
      <c r="H29" s="276">
        <v>0.05</v>
      </c>
      <c r="I29" s="277" t="s">
        <v>641</v>
      </c>
      <c r="L29" s="157" t="s">
        <v>626</v>
      </c>
      <c r="M29" s="480">
        <f>Economics!C207</f>
        <v>-886.56727530464684</v>
      </c>
      <c r="N29" s="58" t="s">
        <v>614</v>
      </c>
    </row>
    <row r="30" spans="2:14" ht="17" thickBot="1">
      <c r="B30" s="608" t="s">
        <v>487</v>
      </c>
      <c r="C30" s="609">
        <v>0.8</v>
      </c>
      <c r="D30" s="33" t="s">
        <v>219</v>
      </c>
      <c r="G30" s="153" t="s">
        <v>360</v>
      </c>
      <c r="H30" s="596">
        <v>0.25700000000000001</v>
      </c>
      <c r="I30" s="263" t="s">
        <v>219</v>
      </c>
      <c r="L30" s="597" t="s">
        <v>786</v>
      </c>
      <c r="M30" s="497">
        <f>Economics!BQ152</f>
        <v>-2171.7736772570847</v>
      </c>
      <c r="N30" s="266" t="s">
        <v>614</v>
      </c>
    </row>
    <row r="31" spans="2:14">
      <c r="B31" s="275" t="s">
        <v>488</v>
      </c>
      <c r="C31" s="276">
        <v>0.91</v>
      </c>
      <c r="D31" s="277" t="s">
        <v>219</v>
      </c>
      <c r="G31" s="282" t="s">
        <v>98</v>
      </c>
      <c r="H31" s="276">
        <v>0.1</v>
      </c>
      <c r="I31" s="277" t="s">
        <v>219</v>
      </c>
    </row>
    <row r="32" spans="2:14" ht="17" thickBot="1">
      <c r="B32" s="258" t="s">
        <v>489</v>
      </c>
      <c r="C32" s="256">
        <v>0.77600000000000002</v>
      </c>
      <c r="D32" s="28" t="s">
        <v>219</v>
      </c>
      <c r="G32" s="42"/>
      <c r="H32" s="5"/>
      <c r="I32" s="28"/>
    </row>
    <row r="33" spans="2:25" ht="22" thickBot="1">
      <c r="B33" s="275" t="s">
        <v>490</v>
      </c>
      <c r="C33" s="276">
        <v>0.97</v>
      </c>
      <c r="D33" s="277" t="s">
        <v>219</v>
      </c>
      <c r="G33" s="679" t="s">
        <v>639</v>
      </c>
      <c r="H33" s="680"/>
      <c r="I33" s="681"/>
    </row>
    <row r="34" spans="2:25" ht="21">
      <c r="B34" s="258" t="s">
        <v>480</v>
      </c>
      <c r="C34" s="257">
        <v>0.5</v>
      </c>
      <c r="D34" s="28" t="s">
        <v>293</v>
      </c>
      <c r="G34" s="42" t="s">
        <v>216</v>
      </c>
      <c r="H34" s="86" t="s">
        <v>478</v>
      </c>
      <c r="I34" s="44" t="s">
        <v>217</v>
      </c>
      <c r="L34" s="691" t="s">
        <v>737</v>
      </c>
      <c r="M34" s="691"/>
      <c r="N34" s="691"/>
    </row>
    <row r="35" spans="2:25" ht="17" thickBot="1">
      <c r="B35" s="282" t="s">
        <v>1147</v>
      </c>
      <c r="C35" s="278">
        <v>200</v>
      </c>
      <c r="D35" s="277" t="s">
        <v>189</v>
      </c>
      <c r="G35" s="282" t="s">
        <v>88</v>
      </c>
      <c r="H35" s="603">
        <v>32</v>
      </c>
      <c r="I35" s="277" t="s">
        <v>87</v>
      </c>
      <c r="L35" s="271"/>
      <c r="M35" s="9"/>
      <c r="N35" s="9"/>
    </row>
    <row r="36" spans="2:25" ht="17" thickBot="1">
      <c r="B36" s="153" t="s">
        <v>1148</v>
      </c>
      <c r="C36" s="9">
        <v>200</v>
      </c>
      <c r="D36" s="263" t="s">
        <v>189</v>
      </c>
      <c r="G36" s="153" t="s">
        <v>1134</v>
      </c>
      <c r="H36" s="9">
        <v>0.2</v>
      </c>
      <c r="I36" s="263" t="s">
        <v>188</v>
      </c>
      <c r="L36" s="481" t="s">
        <v>727</v>
      </c>
      <c r="M36" s="482" t="s">
        <v>728</v>
      </c>
      <c r="N36" s="483" t="s">
        <v>217</v>
      </c>
    </row>
    <row r="37" spans="2:25">
      <c r="B37" s="275" t="s">
        <v>481</v>
      </c>
      <c r="C37" s="278">
        <v>0.61299999999999999</v>
      </c>
      <c r="D37" s="277" t="s">
        <v>479</v>
      </c>
      <c r="G37" s="282" t="s">
        <v>310</v>
      </c>
      <c r="H37" s="604">
        <v>1</v>
      </c>
      <c r="I37" s="277" t="s">
        <v>311</v>
      </c>
      <c r="L37" s="430" t="s">
        <v>618</v>
      </c>
      <c r="M37" s="436">
        <f>Economics!Y98</f>
        <v>991.62037602963892</v>
      </c>
      <c r="N37" s="311" t="s">
        <v>614</v>
      </c>
      <c r="S37" s="22"/>
      <c r="T37" s="22"/>
      <c r="U37" s="22"/>
      <c r="V37" s="22"/>
      <c r="W37" s="22"/>
      <c r="X37" s="22"/>
      <c r="Y37" s="22"/>
    </row>
    <row r="38" spans="2:25">
      <c r="B38" s="261" t="s">
        <v>482</v>
      </c>
      <c r="C38" s="9">
        <v>0.15</v>
      </c>
      <c r="D38" s="263" t="s">
        <v>479</v>
      </c>
      <c r="G38" s="153" t="s">
        <v>1149</v>
      </c>
      <c r="H38" s="262">
        <v>1</v>
      </c>
      <c r="I38" s="263" t="s">
        <v>1058</v>
      </c>
      <c r="L38" s="468" t="s">
        <v>629</v>
      </c>
      <c r="M38" s="480">
        <f>Economics!Y100</f>
        <v>584.57813610346443</v>
      </c>
      <c r="N38" s="58" t="s">
        <v>616</v>
      </c>
    </row>
    <row r="39" spans="2:25" ht="17" thickBot="1">
      <c r="B39" s="275" t="s">
        <v>483</v>
      </c>
      <c r="C39" s="278">
        <v>0.54</v>
      </c>
      <c r="D39" s="277" t="s">
        <v>479</v>
      </c>
      <c r="G39" s="42"/>
      <c r="H39" s="5"/>
      <c r="I39" s="28"/>
      <c r="L39" s="261" t="s">
        <v>630</v>
      </c>
      <c r="M39" s="433">
        <f>Economics!Y101</f>
        <v>-620.85990886832712</v>
      </c>
      <c r="N39" s="372" t="s">
        <v>616</v>
      </c>
    </row>
    <row r="40" spans="2:25" ht="22" thickBot="1">
      <c r="B40" s="261" t="s">
        <v>484</v>
      </c>
      <c r="C40" s="9">
        <v>0.13</v>
      </c>
      <c r="D40" s="263" t="s">
        <v>479</v>
      </c>
      <c r="G40" s="679" t="s">
        <v>638</v>
      </c>
      <c r="H40" s="680"/>
      <c r="I40" s="681"/>
      <c r="L40" s="468" t="s">
        <v>1032</v>
      </c>
      <c r="M40" s="480">
        <f>Economics!Y99</f>
        <v>-36.281772764862694</v>
      </c>
      <c r="N40" s="58" t="s">
        <v>616</v>
      </c>
    </row>
    <row r="41" spans="2:25">
      <c r="B41" s="275" t="s">
        <v>332</v>
      </c>
      <c r="C41" s="278">
        <v>4</v>
      </c>
      <c r="D41" s="277" t="s">
        <v>734</v>
      </c>
      <c r="G41" s="111" t="s">
        <v>216</v>
      </c>
      <c r="H41" s="526" t="s">
        <v>478</v>
      </c>
      <c r="I41" s="66" t="s">
        <v>217</v>
      </c>
      <c r="L41" s="261"/>
      <c r="M41" s="433"/>
      <c r="N41" s="263"/>
    </row>
    <row r="42" spans="2:25" s="10" customFormat="1" ht="17" thickBot="1">
      <c r="B42" s="261" t="s">
        <v>333</v>
      </c>
      <c r="C42" s="9">
        <v>20</v>
      </c>
      <c r="D42" s="263" t="s">
        <v>734</v>
      </c>
      <c r="G42" s="282" t="s">
        <v>349</v>
      </c>
      <c r="H42" s="603">
        <v>30</v>
      </c>
      <c r="I42" s="277" t="s">
        <v>63</v>
      </c>
      <c r="L42" s="598" t="s">
        <v>626</v>
      </c>
      <c r="M42" s="595">
        <f>Economics!Y159</f>
        <v>-693.54012059289835</v>
      </c>
      <c r="N42" s="61" t="s">
        <v>614</v>
      </c>
    </row>
    <row r="43" spans="2:25" s="10" customFormat="1" ht="17" thickBot="1">
      <c r="B43" s="651" t="s">
        <v>485</v>
      </c>
      <c r="C43" s="652">
        <v>4.2999999999999997E-2</v>
      </c>
      <c r="D43" s="653" t="s">
        <v>178</v>
      </c>
      <c r="G43" s="42" t="s">
        <v>346</v>
      </c>
      <c r="H43" s="5">
        <v>0.5</v>
      </c>
      <c r="I43" s="28" t="s">
        <v>347</v>
      </c>
      <c r="L43" s="187"/>
      <c r="M43" s="433"/>
      <c r="N43" s="9"/>
    </row>
    <row r="44" spans="2:25">
      <c r="B44" s="271"/>
      <c r="C44" s="327"/>
      <c r="D44" s="327"/>
      <c r="G44" s="282" t="s">
        <v>770</v>
      </c>
      <c r="H44" s="590" t="s">
        <v>1036</v>
      </c>
      <c r="I44" s="529" t="s">
        <v>63</v>
      </c>
    </row>
    <row r="45" spans="2:25">
      <c r="B45" s="271"/>
      <c r="C45" s="351"/>
      <c r="D45" s="327"/>
      <c r="G45" s="295"/>
      <c r="H45" s="327"/>
      <c r="I45" s="372"/>
      <c r="L45" s="10"/>
      <c r="M45" s="10"/>
      <c r="N45" s="10"/>
    </row>
    <row r="46" spans="2:25">
      <c r="B46" s="271"/>
      <c r="C46" s="9"/>
      <c r="D46" s="9"/>
      <c r="G46" s="282" t="s">
        <v>738</v>
      </c>
      <c r="H46" s="278">
        <v>388.25</v>
      </c>
      <c r="I46" s="277" t="s">
        <v>63</v>
      </c>
    </row>
    <row r="47" spans="2:25" ht="21">
      <c r="B47" s="271"/>
      <c r="C47" s="9"/>
      <c r="D47" s="9"/>
      <c r="G47" s="153" t="s">
        <v>739</v>
      </c>
      <c r="H47" s="9">
        <v>369.3</v>
      </c>
      <c r="I47" s="263" t="s">
        <v>63</v>
      </c>
      <c r="L47" s="691" t="s">
        <v>1059</v>
      </c>
      <c r="M47" s="691"/>
      <c r="N47" s="691"/>
    </row>
    <row r="48" spans="2:25" ht="17" thickBot="1">
      <c r="B48" s="271"/>
      <c r="C48" s="9"/>
      <c r="D48" s="9"/>
      <c r="G48" s="282" t="s">
        <v>59</v>
      </c>
      <c r="H48" s="278">
        <v>0.51380000000000003</v>
      </c>
      <c r="I48" s="277" t="s">
        <v>65</v>
      </c>
      <c r="L48" s="271"/>
      <c r="M48" s="9"/>
      <c r="N48" s="9"/>
    </row>
    <row r="49" spans="2:23" ht="17" thickBot="1">
      <c r="G49" s="153" t="s">
        <v>60</v>
      </c>
      <c r="H49" s="9">
        <v>4482</v>
      </c>
      <c r="I49" s="263" t="s">
        <v>63</v>
      </c>
      <c r="L49" s="481" t="s">
        <v>727</v>
      </c>
      <c r="M49" s="482" t="s">
        <v>728</v>
      </c>
      <c r="N49" s="483" t="s">
        <v>217</v>
      </c>
    </row>
    <row r="50" spans="2:23" s="10" customFormat="1" ht="17" thickBot="1">
      <c r="B50"/>
      <c r="C50"/>
      <c r="D50"/>
      <c r="G50" s="153"/>
      <c r="H50" s="9"/>
      <c r="I50" s="263"/>
      <c r="L50" s="430" t="s">
        <v>618</v>
      </c>
      <c r="M50" s="436">
        <f>Economics!AU133</f>
        <v>591.17723530117064</v>
      </c>
      <c r="N50" s="311" t="s">
        <v>614</v>
      </c>
    </row>
    <row r="51" spans="2:23" ht="22" thickBot="1">
      <c r="B51" s="273" t="s">
        <v>657</v>
      </c>
      <c r="G51" s="685" t="s">
        <v>350</v>
      </c>
      <c r="H51" s="686"/>
      <c r="I51" s="687"/>
      <c r="L51" s="468" t="s">
        <v>629</v>
      </c>
      <c r="M51" s="480">
        <f>Economics!AU135</f>
        <v>743.73530039232685</v>
      </c>
      <c r="N51" s="58" t="s">
        <v>616</v>
      </c>
    </row>
    <row r="52" spans="2:23" ht="17" thickBot="1">
      <c r="G52" s="111" t="s">
        <v>216</v>
      </c>
      <c r="H52" s="526" t="s">
        <v>478</v>
      </c>
      <c r="I52" s="66" t="s">
        <v>217</v>
      </c>
      <c r="L52" s="261" t="s">
        <v>630</v>
      </c>
      <c r="M52" s="433">
        <f>Economics!AU136</f>
        <v>-592.38306357009424</v>
      </c>
      <c r="N52" s="372" t="s">
        <v>616</v>
      </c>
      <c r="V52" s="22"/>
      <c r="W52" s="22"/>
    </row>
    <row r="53" spans="2:23" ht="17" thickBot="1">
      <c r="B53" s="279" t="s">
        <v>666</v>
      </c>
      <c r="C53" s="280" t="s">
        <v>263</v>
      </c>
      <c r="D53" s="281" t="s">
        <v>665</v>
      </c>
      <c r="G53" s="592" t="s">
        <v>1041</v>
      </c>
      <c r="H53" s="531" t="s">
        <v>351</v>
      </c>
      <c r="I53" s="277"/>
      <c r="L53" s="468" t="s">
        <v>1032</v>
      </c>
      <c r="M53" s="480">
        <f>Economics!AU134</f>
        <v>151.35223682223261</v>
      </c>
      <c r="N53" s="58" t="s">
        <v>616</v>
      </c>
    </row>
    <row r="54" spans="2:23">
      <c r="B54" s="42" t="s">
        <v>148</v>
      </c>
      <c r="C54" s="289">
        <f>'Design Calculations'!C186-'Design Calculations'!C189*LN('Design Calculations'!D143/'Design Calculations'!D150)/'Design Calculations'!D153</f>
        <v>3.8110566862314954E-6</v>
      </c>
      <c r="D54" s="126">
        <v>0.64605790873024749</v>
      </c>
      <c r="G54" s="593" t="s">
        <v>866</v>
      </c>
      <c r="H54" s="137">
        <v>40</v>
      </c>
      <c r="I54" s="263" t="s">
        <v>901</v>
      </c>
      <c r="L54" s="261"/>
      <c r="M54" s="433"/>
      <c r="N54" s="263"/>
    </row>
    <row r="55" spans="2:23" ht="17" thickBot="1">
      <c r="B55" s="283" t="s">
        <v>149</v>
      </c>
      <c r="C55" s="290">
        <f>'Design Calculations'!I186-'Design Calculations'!I189*LN('Design Calculations'!J143/'Design Calculations'!J150)/'Design Calculations'!J153</f>
        <v>5.4535529159238649E-6</v>
      </c>
      <c r="D55" s="291">
        <v>0.48493161332091933</v>
      </c>
      <c r="G55" s="282" t="s">
        <v>350</v>
      </c>
      <c r="H55" s="534">
        <f>IF(H53="User Specified",H54,VLOOKUP('Summary Table'!H53,'Market Variable Data'!H15:J81,3,FALSE))</f>
        <v>40</v>
      </c>
      <c r="I55" s="277" t="s">
        <v>901</v>
      </c>
      <c r="L55" s="598" t="s">
        <v>626</v>
      </c>
      <c r="M55" s="595">
        <f>Economics!AU194</f>
        <v>-2039.0508099518515</v>
      </c>
      <c r="N55" s="61" t="s">
        <v>614</v>
      </c>
    </row>
    <row r="56" spans="2:23" ht="17" thickBot="1">
      <c r="G56" s="172"/>
      <c r="H56" s="139"/>
      <c r="I56" s="266"/>
    </row>
    <row r="57" spans="2:23" ht="22" thickBot="1">
      <c r="G57" s="679" t="s">
        <v>637</v>
      </c>
      <c r="H57" s="680"/>
      <c r="I57" s="681"/>
    </row>
    <row r="58" spans="2:23">
      <c r="G58" s="42" t="s">
        <v>216</v>
      </c>
      <c r="H58" s="86" t="s">
        <v>478</v>
      </c>
      <c r="I58" s="44" t="s">
        <v>217</v>
      </c>
    </row>
    <row r="59" spans="2:23">
      <c r="G59" s="592" t="s">
        <v>1026</v>
      </c>
      <c r="H59" s="590" t="s">
        <v>351</v>
      </c>
      <c r="I59" s="529" t="s">
        <v>344</v>
      </c>
    </row>
    <row r="60" spans="2:23">
      <c r="G60" s="594" t="s">
        <v>866</v>
      </c>
      <c r="H60" s="591">
        <v>0.03</v>
      </c>
      <c r="I60" s="219" t="s">
        <v>344</v>
      </c>
    </row>
    <row r="61" spans="2:23">
      <c r="G61" s="592"/>
      <c r="H61" s="590"/>
      <c r="I61" s="529"/>
    </row>
    <row r="62" spans="2:23" ht="26">
      <c r="G62" s="593" t="s">
        <v>1027</v>
      </c>
      <c r="H62" s="470" t="s">
        <v>67</v>
      </c>
      <c r="I62" s="372" t="s">
        <v>64</v>
      </c>
      <c r="L62" s="677" t="s">
        <v>1113</v>
      </c>
      <c r="M62" s="677"/>
      <c r="N62" s="677"/>
    </row>
    <row r="63" spans="2:23" ht="17" thickBot="1">
      <c r="G63" s="282"/>
      <c r="H63" s="588"/>
      <c r="I63" s="589"/>
    </row>
    <row r="64" spans="2:23" ht="17" thickBot="1">
      <c r="G64" s="153" t="s">
        <v>343</v>
      </c>
      <c r="H64" s="9">
        <f>IF(H59="User Specified",H60,VLOOKUP('Summary Table'!H59,'Market Variable Data'!B22:C28,2,FALSE))</f>
        <v>0.03</v>
      </c>
      <c r="I64" s="263" t="s">
        <v>344</v>
      </c>
      <c r="L64" s="481" t="s">
        <v>76</v>
      </c>
      <c r="M64" s="482" t="s">
        <v>1073</v>
      </c>
      <c r="N64" s="483" t="s">
        <v>217</v>
      </c>
    </row>
    <row r="65" spans="2:14">
      <c r="G65" s="282" t="s">
        <v>477</v>
      </c>
      <c r="H65" s="278">
        <v>5.7000000000000002E-2</v>
      </c>
      <c r="I65" s="277" t="s">
        <v>347</v>
      </c>
      <c r="L65" s="430" t="s">
        <v>1180</v>
      </c>
      <c r="M65" s="630">
        <f>'Process Emissions'!E58</f>
        <v>1.0074762016336138</v>
      </c>
      <c r="N65" s="311" t="s">
        <v>1128</v>
      </c>
    </row>
    <row r="66" spans="2:14" ht="17" thickBot="1">
      <c r="G66" s="172" t="s">
        <v>348</v>
      </c>
      <c r="H66" s="139">
        <f>IF(H62="Electricity",VLOOKUP('Summary Table'!H62,'Market Variable Data'!B17:C18,2,FALSE)*(H64/0.03),VLOOKUP('Summary Table'!H62,'Market Variable Data'!B17:C18,2,FALSE))</f>
        <v>2.1718683666666665E-2</v>
      </c>
      <c r="I66" s="266" t="s">
        <v>64</v>
      </c>
      <c r="L66" s="629" t="s">
        <v>1179</v>
      </c>
      <c r="M66" s="631">
        <f>'Process Emissions'!E61</f>
        <v>4.8491509787582299</v>
      </c>
      <c r="N66" s="61" t="s">
        <v>1128</v>
      </c>
    </row>
    <row r="67" spans="2:14">
      <c r="G67" s="17"/>
      <c r="H67" s="9"/>
      <c r="I67" s="9"/>
      <c r="L67" s="271"/>
      <c r="M67" s="433"/>
      <c r="N67" s="9"/>
    </row>
    <row r="68" spans="2:14">
      <c r="G68" s="17"/>
      <c r="H68" s="318"/>
      <c r="I68" s="137"/>
    </row>
    <row r="69" spans="2:14" ht="17" thickBot="1">
      <c r="B69" s="30"/>
      <c r="C69" s="30"/>
      <c r="D69" s="30"/>
      <c r="E69" s="30"/>
      <c r="F69" s="30"/>
      <c r="G69" s="30"/>
      <c r="H69" s="30"/>
      <c r="I69" s="109"/>
      <c r="J69" s="30"/>
      <c r="K69" s="30"/>
      <c r="L69" s="30"/>
      <c r="M69" s="30"/>
      <c r="N69" s="30"/>
    </row>
    <row r="71" spans="2:14">
      <c r="B71" s="287" t="s">
        <v>658</v>
      </c>
      <c r="C71" s="287"/>
      <c r="D71" s="287"/>
      <c r="E71" s="287"/>
      <c r="F71" s="287"/>
      <c r="G71" s="287"/>
    </row>
    <row r="72" spans="2:14">
      <c r="B72" s="3"/>
    </row>
    <row r="73" spans="2:14" ht="26">
      <c r="B73" s="333" t="s">
        <v>640</v>
      </c>
      <c r="C73" s="333"/>
      <c r="D73" s="333"/>
      <c r="E73" s="333"/>
      <c r="G73" s="501" t="s">
        <v>654</v>
      </c>
      <c r="H73" s="501"/>
      <c r="I73" s="501"/>
    </row>
    <row r="75" spans="2:14" ht="17" thickBot="1"/>
    <row r="76" spans="2:14" ht="17" thickBot="1">
      <c r="B76" s="114" t="s">
        <v>216</v>
      </c>
      <c r="C76" s="115" t="s">
        <v>478</v>
      </c>
      <c r="D76" s="116" t="s">
        <v>217</v>
      </c>
      <c r="G76" s="114" t="s">
        <v>216</v>
      </c>
      <c r="H76" s="115" t="s">
        <v>478</v>
      </c>
      <c r="I76" s="116" t="s">
        <v>217</v>
      </c>
    </row>
    <row r="77" spans="2:14" s="10" customFormat="1">
      <c r="B77" s="261" t="s">
        <v>487</v>
      </c>
      <c r="C77" s="262">
        <f>VLOOKUP('Summary Table'!C23,'Scenarios Data'!B14:AR22,2,FALSE)</f>
        <v>0.8</v>
      </c>
      <c r="D77" s="263" t="s">
        <v>219</v>
      </c>
      <c r="E77"/>
      <c r="F77"/>
      <c r="G77" s="430" t="s">
        <v>709</v>
      </c>
      <c r="H77" s="431">
        <f>'Design Calculations'!D48</f>
        <v>0.20769380651434124</v>
      </c>
      <c r="I77" s="311" t="s">
        <v>163</v>
      </c>
      <c r="J77"/>
      <c r="K77"/>
      <c r="L77"/>
      <c r="M77"/>
      <c r="N77"/>
    </row>
    <row r="78" spans="2:14">
      <c r="B78" s="274" t="s">
        <v>488</v>
      </c>
      <c r="C78" s="259">
        <f>VLOOKUP('Summary Table'!C23,'Scenarios Data'!B14:AR22,3,FALSE)</f>
        <v>0.91</v>
      </c>
      <c r="D78" s="55" t="s">
        <v>219</v>
      </c>
      <c r="G78" s="274" t="s">
        <v>710</v>
      </c>
      <c r="H78" s="432">
        <f>'Design Calculations'!D49</f>
        <v>0.18108954788526982</v>
      </c>
      <c r="I78" s="55" t="s">
        <v>164</v>
      </c>
    </row>
    <row r="79" spans="2:14">
      <c r="B79" s="261" t="s">
        <v>489</v>
      </c>
      <c r="C79" s="262">
        <f>VLOOKUP('Summary Table'!C23,'Scenarios Data'!B14:AR22,4,FALSE)</f>
        <v>0.77600000000000002</v>
      </c>
      <c r="D79" s="372" t="s">
        <v>219</v>
      </c>
      <c r="E79" s="10"/>
      <c r="F79" s="10"/>
      <c r="G79" s="261" t="s">
        <v>711</v>
      </c>
      <c r="H79" s="433">
        <f>'Design Calculations'!E88</f>
        <v>51.774769001125804</v>
      </c>
      <c r="I79" s="372" t="s">
        <v>254</v>
      </c>
      <c r="J79" s="10"/>
      <c r="K79" s="10"/>
    </row>
    <row r="80" spans="2:14">
      <c r="B80" s="274" t="s">
        <v>490</v>
      </c>
      <c r="C80" s="259">
        <f>VLOOKUP('Summary Table'!C23,'Scenarios Data'!B14:AR22,5,FALSE)</f>
        <v>0.97</v>
      </c>
      <c r="D80" s="55" t="s">
        <v>219</v>
      </c>
      <c r="G80" s="274" t="s">
        <v>712</v>
      </c>
      <c r="H80" s="434">
        <f>'Design Calculations'!K88</f>
        <v>147.55253697542321</v>
      </c>
      <c r="I80" s="55" t="s">
        <v>254</v>
      </c>
    </row>
    <row r="81" spans="2:14">
      <c r="B81" s="261" t="s">
        <v>480</v>
      </c>
      <c r="C81" s="264">
        <f>VLOOKUP('Summary Table'!C23,'Scenarios Data'!B14:AR22,6,FALSE)</f>
        <v>0.5</v>
      </c>
      <c r="D81" s="263" t="s">
        <v>293</v>
      </c>
      <c r="G81" s="261" t="s">
        <v>247</v>
      </c>
      <c r="H81" s="433">
        <f>'Design Calculations'!C179</f>
        <v>10202.06293954689</v>
      </c>
      <c r="I81" s="263" t="s">
        <v>43</v>
      </c>
    </row>
    <row r="82" spans="2:14">
      <c r="B82" s="336" t="s">
        <v>1147</v>
      </c>
      <c r="C82" s="437">
        <f>VLOOKUP('Summary Table'!C23,'Scenarios Data'!B14:AR22,43,FALSE)</f>
        <v>200</v>
      </c>
      <c r="D82" s="55" t="s">
        <v>189</v>
      </c>
      <c r="G82" s="274" t="s">
        <v>713</v>
      </c>
      <c r="H82" s="363">
        <f>'Design Calculations'!C184</f>
        <v>32.205066040851193</v>
      </c>
      <c r="I82" s="55" t="s">
        <v>43</v>
      </c>
    </row>
    <row r="83" spans="2:14">
      <c r="B83" s="153" t="s">
        <v>1148</v>
      </c>
      <c r="C83" s="654">
        <f>VLOOKUP('Summary Table'!C23,'Scenarios Data'!B14:AS22,44,FALSE)</f>
        <v>200</v>
      </c>
      <c r="D83" s="263" t="s">
        <v>189</v>
      </c>
      <c r="G83" s="261" t="s">
        <v>714</v>
      </c>
      <c r="H83" s="137">
        <f>'Design Calculations'!C183</f>
        <v>5.3675110068085319</v>
      </c>
      <c r="I83" s="263" t="s">
        <v>43</v>
      </c>
    </row>
    <row r="84" spans="2:14">
      <c r="B84" s="274" t="s">
        <v>481</v>
      </c>
      <c r="C84" s="54">
        <f>VLOOKUP('Summary Table'!C23,'Scenarios Data'!B14:AR22,7,FALSE)</f>
        <v>0.61299999999999999</v>
      </c>
      <c r="D84" s="55" t="s">
        <v>479</v>
      </c>
      <c r="G84" s="274" t="s">
        <v>248</v>
      </c>
      <c r="H84" s="363">
        <f>'Design Calculations'!I179</f>
        <v>15673.363879611792</v>
      </c>
      <c r="I84" s="55" t="s">
        <v>222</v>
      </c>
    </row>
    <row r="85" spans="2:14">
      <c r="B85" s="261" t="s">
        <v>482</v>
      </c>
      <c r="C85" s="9">
        <f>VLOOKUP('Summary Table'!C23,'Scenarios Data'!B14:AR22,8,FALSE)</f>
        <v>0.15</v>
      </c>
      <c r="D85" s="263" t="s">
        <v>479</v>
      </c>
      <c r="G85" s="261" t="s">
        <v>716</v>
      </c>
      <c r="H85" s="137">
        <f>'Design Calculations'!I184</f>
        <v>32.995011196565102</v>
      </c>
      <c r="I85" s="263" t="s">
        <v>222</v>
      </c>
    </row>
    <row r="86" spans="2:14">
      <c r="B86" s="274" t="s">
        <v>483</v>
      </c>
      <c r="C86" s="54">
        <f>VLOOKUP('Summary Table'!C23,'Scenarios Data'!B14:AR22,9,FALSE)</f>
        <v>0.54</v>
      </c>
      <c r="D86" s="55" t="s">
        <v>479</v>
      </c>
      <c r="G86" s="274" t="s">
        <v>715</v>
      </c>
      <c r="H86" s="119">
        <f>'Design Calculations'!I183</f>
        <v>5.4991685327608497</v>
      </c>
      <c r="I86" s="55" t="s">
        <v>222</v>
      </c>
    </row>
    <row r="87" spans="2:14">
      <c r="B87" s="261" t="s">
        <v>484</v>
      </c>
      <c r="C87" s="9">
        <f>VLOOKUP('Summary Table'!C23,'Scenarios Data'!B14:AR22,10,FALSE)</f>
        <v>0.13</v>
      </c>
      <c r="D87" s="263" t="s">
        <v>479</v>
      </c>
      <c r="G87" s="261" t="s">
        <v>717</v>
      </c>
      <c r="H87" s="318">
        <f>'Design Calculations'!C231</f>
        <v>257717.18400452076</v>
      </c>
      <c r="I87" s="263" t="s">
        <v>124</v>
      </c>
    </row>
    <row r="88" spans="2:14">
      <c r="B88" s="274" t="s">
        <v>332</v>
      </c>
      <c r="C88" s="54">
        <f>VLOOKUP('Summary Table'!C23,'Scenarios Data'!B14:AR22,11,FALSE)</f>
        <v>4</v>
      </c>
      <c r="D88" s="55" t="s">
        <v>734</v>
      </c>
      <c r="G88" s="274" t="s">
        <v>718</v>
      </c>
      <c r="H88" s="363">
        <f>'Design Calculations'!C232</f>
        <v>20617.374720361662</v>
      </c>
      <c r="I88" s="55" t="s">
        <v>128</v>
      </c>
    </row>
    <row r="89" spans="2:14">
      <c r="B89" s="261" t="s">
        <v>333</v>
      </c>
      <c r="C89" s="9">
        <f>VLOOKUP('Summary Table'!C23,'Scenarios Data'!B14:AR22,12,FALSE)</f>
        <v>20</v>
      </c>
      <c r="D89" s="263" t="s">
        <v>734</v>
      </c>
      <c r="G89" s="261" t="s">
        <v>719</v>
      </c>
      <c r="H89" s="318">
        <f>'Design Calculations'!C236</f>
        <v>8659.2973825518984</v>
      </c>
      <c r="I89" s="263" t="s">
        <v>74</v>
      </c>
    </row>
    <row r="90" spans="2:14">
      <c r="B90" s="274" t="s">
        <v>491</v>
      </c>
      <c r="C90" s="54">
        <f>VLOOKUP('Summary Table'!C23,'Scenarios Data'!B14:AR22,38,FALSE)</f>
        <v>6.0603000000000002E-3</v>
      </c>
      <c r="D90" s="55" t="s">
        <v>178</v>
      </c>
      <c r="G90" s="274" t="s">
        <v>723</v>
      </c>
      <c r="H90" s="363">
        <f>'Design Calculations'!E251/4.24</f>
        <v>5223.3539556788364</v>
      </c>
      <c r="I90" s="55" t="s">
        <v>724</v>
      </c>
    </row>
    <row r="91" spans="2:14" ht="17" thickBot="1">
      <c r="B91" s="265" t="s">
        <v>492</v>
      </c>
      <c r="C91" s="139">
        <f>VLOOKUP('Summary Table'!C23,'Scenarios Data'!B14:AR22,39,FALSE)</f>
        <v>4.2571499999999998E-2</v>
      </c>
      <c r="D91" s="266" t="s">
        <v>178</v>
      </c>
      <c r="G91" s="261" t="s">
        <v>720</v>
      </c>
      <c r="H91" s="318">
        <f>'Design Calculations'!I231</f>
        <v>343622.91200602771</v>
      </c>
      <c r="I91" s="263" t="s">
        <v>124</v>
      </c>
    </row>
    <row r="92" spans="2:14" s="10" customFormat="1">
      <c r="B92" s="271"/>
      <c r="C92" s="9"/>
      <c r="D92" s="9"/>
      <c r="E92"/>
      <c r="F92"/>
      <c r="G92" s="274" t="s">
        <v>721</v>
      </c>
      <c r="H92" s="363">
        <f>'Design Calculations'!I232</f>
        <v>27489.832960482217</v>
      </c>
      <c r="I92" s="55" t="s">
        <v>128</v>
      </c>
      <c r="J92"/>
      <c r="K92"/>
      <c r="L92"/>
      <c r="M92"/>
      <c r="N92"/>
    </row>
    <row r="93" spans="2:14" s="10" customFormat="1">
      <c r="B93" s="271"/>
      <c r="C93" s="9"/>
      <c r="D93" s="9"/>
      <c r="E93"/>
      <c r="F93"/>
      <c r="G93" s="261" t="s">
        <v>722</v>
      </c>
      <c r="H93" s="318">
        <f>'Design Calculations'!I236</f>
        <v>11545.729843402531</v>
      </c>
      <c r="I93" s="263" t="s">
        <v>74</v>
      </c>
      <c r="J93"/>
      <c r="K93"/>
      <c r="L93"/>
      <c r="M93"/>
      <c r="N93"/>
    </row>
    <row r="94" spans="2:14" s="10" customFormat="1" ht="17" thickBot="1">
      <c r="B94" s="684"/>
      <c r="C94" s="684"/>
      <c r="D94" s="684"/>
      <c r="G94" s="337" t="s">
        <v>725</v>
      </c>
      <c r="H94" s="478">
        <f>'Design Calculations'!K251/4.24</f>
        <v>2391.353955678836</v>
      </c>
      <c r="I94" s="479" t="s">
        <v>724</v>
      </c>
      <c r="L94"/>
      <c r="M94"/>
      <c r="N94"/>
    </row>
    <row r="95" spans="2:14">
      <c r="B95" s="10"/>
      <c r="C95" s="10"/>
      <c r="D95" s="10"/>
      <c r="E95" s="10"/>
      <c r="F95" s="10"/>
      <c r="G95" s="10"/>
      <c r="H95" s="10"/>
      <c r="I95" s="10"/>
      <c r="J95" s="10"/>
      <c r="K95" s="10"/>
    </row>
    <row r="96" spans="2:14" s="10" customFormat="1" ht="26">
      <c r="B96" s="677" t="s">
        <v>732</v>
      </c>
      <c r="C96" s="677"/>
      <c r="D96" s="677"/>
      <c r="E96"/>
      <c r="F96"/>
      <c r="G96"/>
      <c r="H96"/>
      <c r="I96"/>
      <c r="L96"/>
      <c r="M96"/>
      <c r="N96"/>
    </row>
    <row r="97" spans="2:16">
      <c r="B97" s="435"/>
      <c r="C97" s="435"/>
      <c r="D97" s="435"/>
      <c r="I97" s="438"/>
    </row>
    <row r="98" spans="2:16" ht="17" thickBot="1">
      <c r="B98" s="271"/>
      <c r="C98" s="9"/>
      <c r="D98" s="9"/>
      <c r="J98" s="10"/>
      <c r="K98" s="10"/>
    </row>
    <row r="99" spans="2:16" ht="17" thickBot="1">
      <c r="B99" s="160" t="s">
        <v>137</v>
      </c>
      <c r="C99" s="167"/>
      <c r="D99" s="106" t="s">
        <v>478</v>
      </c>
      <c r="E99" s="106" t="s">
        <v>170</v>
      </c>
      <c r="F99" s="106" t="s">
        <v>730</v>
      </c>
      <c r="G99" s="106" t="s">
        <v>731</v>
      </c>
      <c r="H99" s="106" t="s">
        <v>733</v>
      </c>
      <c r="I99" s="107" t="s">
        <v>729</v>
      </c>
    </row>
    <row r="100" spans="2:16">
      <c r="B100" s="430" t="s">
        <v>51</v>
      </c>
      <c r="C100" s="511"/>
      <c r="D100" s="514">
        <f>'Carbon Flow'!C22</f>
        <v>1295.904330011454</v>
      </c>
      <c r="E100" s="514">
        <f>'Carbon Flow'!R22+'Carbon Flow'!U22</f>
        <v>1917.645026279896</v>
      </c>
      <c r="F100" s="514">
        <f>('Carbon Flow'!E22-'Carbon Flow'!F22)+('Carbon Flow'!J22-'Carbon Flow'!K22)</f>
        <v>2984.748822034634</v>
      </c>
      <c r="G100" s="514">
        <f>'Carbon Flow'!W22</f>
        <v>2059.2048083104446</v>
      </c>
      <c r="H100" s="514">
        <f>'Carbon Flow'!X22+SUM('Carbon Flow'!Z22:AB22)</f>
        <v>228.80053425671605</v>
      </c>
      <c r="I100" s="515">
        <f>0</f>
        <v>0</v>
      </c>
    </row>
    <row r="101" spans="2:16">
      <c r="B101" s="274" t="s">
        <v>305</v>
      </c>
      <c r="C101" s="512"/>
      <c r="D101" s="516">
        <f>'Carbon Flow'!C23</f>
        <v>0</v>
      </c>
      <c r="E101" s="516">
        <f>'Carbon Flow'!F23-'Carbon Flow'!E23</f>
        <v>497.45813700577241</v>
      </c>
      <c r="F101" s="516">
        <f>'Carbon Flow'!O23-'Carbon Flow'!Q23-'Carbon Flow'!T23</f>
        <v>497.45813700577241</v>
      </c>
      <c r="G101" s="516">
        <f>'Carbon Flow'!I23</f>
        <v>1750.9893882646691</v>
      </c>
      <c r="H101" s="516">
        <f>0</f>
        <v>0</v>
      </c>
      <c r="I101" s="517">
        <f>'Carbon Flow'!X23+SUM('Carbon Flow'!Z23:AB23)</f>
        <v>0</v>
      </c>
      <c r="O101" s="22"/>
      <c r="P101" s="22"/>
    </row>
    <row r="102" spans="2:16">
      <c r="B102" s="261" t="s">
        <v>443</v>
      </c>
      <c r="C102" s="271"/>
      <c r="D102" s="518">
        <f>'Carbon Flow'!C24</f>
        <v>0</v>
      </c>
      <c r="E102" s="518">
        <f>'Carbon Flow'!K24-'Carbon Flow'!J24</f>
        <v>2487.2906850288618</v>
      </c>
      <c r="F102" s="518">
        <f>'Carbon Flow'!O24-'Carbon Flow'!Q24-'Carbon Flow'!T24</f>
        <v>2487.2906850288618</v>
      </c>
      <c r="G102" s="518">
        <f>'Carbon Flow'!N24</f>
        <v>0</v>
      </c>
      <c r="H102" s="518">
        <f>0</f>
        <v>0</v>
      </c>
      <c r="I102" s="519">
        <f>'Carbon Flow'!X24+SUM('Carbon Flow'!Z24:AB24)</f>
        <v>0</v>
      </c>
    </row>
    <row r="103" spans="2:16">
      <c r="B103" s="274" t="s">
        <v>140</v>
      </c>
      <c r="C103" s="512"/>
      <c r="D103" s="516">
        <f>'Carbon Flow'!C25</f>
        <v>0</v>
      </c>
      <c r="E103" s="516">
        <f>'Carbon Flow'!T25</f>
        <v>134.10642679093965</v>
      </c>
      <c r="F103" s="516">
        <f>'Carbon Flow'!T25-'Carbon Flow'!X25-SUM('Carbon Flow'!Z25:AB25)</f>
        <v>0</v>
      </c>
      <c r="G103" s="516">
        <f>0</f>
        <v>0</v>
      </c>
      <c r="H103" s="516">
        <f>'Carbon Flow'!Z25</f>
        <v>2.6687178931396991</v>
      </c>
      <c r="I103" s="517">
        <f>'Carbon Flow'!AA25+'Carbon Flow'!AB25</f>
        <v>131.43770889779995</v>
      </c>
    </row>
    <row r="104" spans="2:16" ht="17" thickBot="1">
      <c r="B104" s="265" t="s">
        <v>141</v>
      </c>
      <c r="C104" s="513"/>
      <c r="D104" s="520">
        <f>'Carbon Flow'!C26</f>
        <v>0</v>
      </c>
      <c r="E104" s="520">
        <f>'Carbon Flow'!T26</f>
        <v>143.73330235799745</v>
      </c>
      <c r="F104" s="520">
        <f>'Carbon Flow'!T26-'Carbon Flow'!X26-SUM('Carbon Flow'!Z26:AB26)</f>
        <v>0</v>
      </c>
      <c r="G104" s="520">
        <f>0</f>
        <v>0</v>
      </c>
      <c r="H104" s="520">
        <f>'Carbon Flow'!Z26</f>
        <v>2.2600000660239288</v>
      </c>
      <c r="I104" s="521">
        <f>'Carbon Flow'!AA26+'Carbon Flow'!AB26</f>
        <v>141.47330229197351</v>
      </c>
    </row>
    <row r="105" spans="2:16">
      <c r="B105" s="3"/>
    </row>
    <row r="106" spans="2:16" ht="17" thickBot="1">
      <c r="B106" s="30"/>
      <c r="C106" s="30"/>
      <c r="D106" s="30"/>
      <c r="E106" s="30"/>
      <c r="F106" s="30"/>
      <c r="G106" s="30"/>
      <c r="H106" s="30"/>
      <c r="I106" s="30"/>
      <c r="J106" s="30"/>
      <c r="K106" s="30"/>
      <c r="L106" s="30"/>
      <c r="M106" s="30"/>
      <c r="N106" s="30"/>
    </row>
    <row r="107" spans="2:16">
      <c r="B107" s="3"/>
    </row>
    <row r="109" spans="2:16" ht="26">
      <c r="B109" s="678" t="s">
        <v>653</v>
      </c>
      <c r="C109" s="678"/>
    </row>
    <row r="110" spans="2:16" ht="17" thickBot="1"/>
    <row r="111" spans="2:16">
      <c r="B111" s="26" t="s">
        <v>337</v>
      </c>
      <c r="C111" s="32">
        <v>102748</v>
      </c>
      <c r="D111" s="33" t="s">
        <v>317</v>
      </c>
    </row>
    <row r="112" spans="2:16" ht="17" thickBot="1">
      <c r="B112" s="267" t="s">
        <v>410</v>
      </c>
      <c r="C112" s="130">
        <v>350</v>
      </c>
      <c r="D112" s="260" t="s">
        <v>411</v>
      </c>
    </row>
  </sheetData>
  <mergeCells count="19">
    <mergeCell ref="B5:D6"/>
    <mergeCell ref="B3:D3"/>
    <mergeCell ref="B15:G16"/>
    <mergeCell ref="L47:N47"/>
    <mergeCell ref="L21:N21"/>
    <mergeCell ref="L18:N18"/>
    <mergeCell ref="L34:N34"/>
    <mergeCell ref="L62:N62"/>
    <mergeCell ref="B109:C109"/>
    <mergeCell ref="B18:C18"/>
    <mergeCell ref="G33:I33"/>
    <mergeCell ref="C23:D23"/>
    <mergeCell ref="G23:I23"/>
    <mergeCell ref="G40:I40"/>
    <mergeCell ref="G18:I18"/>
    <mergeCell ref="B94:D94"/>
    <mergeCell ref="B96:D96"/>
    <mergeCell ref="G51:I51"/>
    <mergeCell ref="G57:I57"/>
  </mergeCell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6D4AD5E9-B882-5A46-BACC-6EC9B88EB95A}">
          <x14:formula1>
            <xm:f>'Scenarios Data'!$B$16:$B$22</xm:f>
          </x14:formula1>
          <xm:sqref>C23:D23</xm:sqref>
        </x14:dataValidation>
        <x14:dataValidation type="list" allowBlank="1" showInputMessage="1" showErrorMessage="1" xr:uid="{0292157F-8A03-2B44-A8CD-13B2E7022543}">
          <x14:formula1>
            <xm:f>'Market Variable Data'!$B$21:$B$28</xm:f>
          </x14:formula1>
          <xm:sqref>H59</xm:sqref>
        </x14:dataValidation>
        <x14:dataValidation type="list" allowBlank="1" showInputMessage="1" showErrorMessage="1" xr:uid="{A8B4AB91-6898-5F43-9D83-FC543CF6B9BF}">
          <x14:formula1>
            <xm:f>'Market Variable Data'!$B$17:$B$18</xm:f>
          </x14:formula1>
          <xm:sqref>H62</xm:sqref>
        </x14:dataValidation>
        <x14:dataValidation type="list" allowBlank="1" showInputMessage="1" showErrorMessage="1" xr:uid="{2F3FFEA3-3AFB-4E48-8EB0-6525DBC6F501}">
          <x14:formula1>
            <xm:f>'Market Variable Data'!$B$36:$B$38</xm:f>
          </x14:formula1>
          <xm:sqref>H44</xm:sqref>
        </x14:dataValidation>
        <x14:dataValidation type="list" allowBlank="1" showInputMessage="1" showErrorMessage="1" xr:uid="{471F1DB9-D022-1C4E-8518-2BD31652FD1D}">
          <x14:formula1>
            <xm:f>'Market Variable Data'!$H$16:$H$81</xm:f>
          </x14:formula1>
          <xm:sqref>H53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063ED-75D7-3F43-8FE0-3BAA8DFD54A3}">
  <dimension ref="B3:AB71"/>
  <sheetViews>
    <sheetView topLeftCell="A20" zoomScale="75" zoomScaleNormal="65" workbookViewId="0">
      <selection activeCell="I34" sqref="I34"/>
    </sheetView>
  </sheetViews>
  <sheetFormatPr baseColWidth="10" defaultRowHeight="16"/>
  <cols>
    <col min="2" max="2" width="48.5" bestFit="1" customWidth="1"/>
    <col min="3" max="3" width="21.5" bestFit="1" customWidth="1"/>
    <col min="4" max="4" width="16.5" bestFit="1" customWidth="1"/>
    <col min="5" max="5" width="25.5" bestFit="1" customWidth="1"/>
    <col min="6" max="7" width="27.1640625" bestFit="1" customWidth="1"/>
    <col min="8" max="8" width="40.1640625" bestFit="1" customWidth="1"/>
    <col min="9" max="9" width="30.83203125" bestFit="1" customWidth="1"/>
    <col min="10" max="10" width="24.5" bestFit="1" customWidth="1"/>
    <col min="11" max="12" width="25.1640625" bestFit="1" customWidth="1"/>
    <col min="13" max="13" width="38.1640625" bestFit="1" customWidth="1"/>
    <col min="14" max="14" width="30" bestFit="1" customWidth="1"/>
    <col min="15" max="16" width="20.6640625" bestFit="1" customWidth="1"/>
    <col min="17" max="17" width="23.33203125" bestFit="1" customWidth="1"/>
    <col min="18" max="18" width="21.6640625" bestFit="1" customWidth="1"/>
    <col min="19" max="19" width="22.1640625" bestFit="1" customWidth="1"/>
    <col min="20" max="20" width="28.5" bestFit="1" customWidth="1"/>
    <col min="21" max="21" width="25.6640625" bestFit="1" customWidth="1"/>
    <col min="22" max="22" width="15.6640625" bestFit="1" customWidth="1"/>
    <col min="23" max="23" width="20.5" bestFit="1" customWidth="1"/>
    <col min="24" max="24" width="17.83203125" bestFit="1" customWidth="1"/>
    <col min="25" max="25" width="19" bestFit="1" customWidth="1"/>
    <col min="26" max="26" width="20.83203125" bestFit="1" customWidth="1"/>
    <col min="27" max="27" width="11.6640625" bestFit="1" customWidth="1"/>
  </cols>
  <sheetData>
    <row r="3" spans="2:6" ht="37">
      <c r="B3" s="689" t="s">
        <v>442</v>
      </c>
      <c r="C3" s="689"/>
      <c r="D3" s="689"/>
      <c r="E3" s="69"/>
      <c r="F3" s="69"/>
    </row>
    <row r="4" spans="2:6">
      <c r="B4" s="69"/>
      <c r="C4" s="69"/>
      <c r="D4" s="69"/>
      <c r="E4" s="69"/>
      <c r="F4" s="69"/>
    </row>
    <row r="5" spans="2:6" ht="16" customHeight="1">
      <c r="B5" s="688" t="s">
        <v>800</v>
      </c>
      <c r="C5" s="688"/>
      <c r="D5" s="688"/>
      <c r="E5" s="688"/>
      <c r="F5" s="688"/>
    </row>
    <row r="6" spans="2:6">
      <c r="B6" s="688"/>
      <c r="C6" s="688"/>
      <c r="D6" s="688"/>
      <c r="E6" s="688"/>
      <c r="F6" s="688"/>
    </row>
    <row r="7" spans="2:6">
      <c r="B7" s="241"/>
      <c r="C7" s="241"/>
      <c r="D7" s="241"/>
      <c r="E7" s="69"/>
      <c r="F7" s="69"/>
    </row>
    <row r="8" spans="2:6" ht="16" customHeight="1">
      <c r="B8" s="692" t="s">
        <v>633</v>
      </c>
      <c r="C8" s="692"/>
      <c r="D8" s="692"/>
      <c r="E8" s="692"/>
      <c r="F8" s="69"/>
    </row>
    <row r="9" spans="2:6">
      <c r="B9" s="523"/>
      <c r="C9" s="523"/>
      <c r="D9" s="523"/>
      <c r="E9" s="523"/>
      <c r="F9" s="69"/>
    </row>
    <row r="10" spans="2:6">
      <c r="B10" s="69"/>
      <c r="C10" s="69"/>
      <c r="D10" s="69"/>
      <c r="E10" s="69"/>
      <c r="F10" s="69"/>
    </row>
    <row r="11" spans="2:6" ht="24">
      <c r="B11" s="240" t="str">
        <f>VLOOKUP('Summary Table'!C23,'Scenarios Data'!B14:AR22,1,FALSE)</f>
        <v>Future Technology, Balanced</v>
      </c>
      <c r="C11" s="69"/>
      <c r="D11" s="69"/>
      <c r="E11" s="69"/>
      <c r="F11" s="69"/>
    </row>
    <row r="12" spans="2:6">
      <c r="B12" s="242"/>
      <c r="C12" s="69"/>
      <c r="D12" s="69"/>
      <c r="E12" s="69"/>
      <c r="F12" s="69"/>
    </row>
    <row r="13" spans="2:6">
      <c r="B13" s="243" t="s">
        <v>634</v>
      </c>
      <c r="C13" s="69"/>
      <c r="D13" s="69"/>
      <c r="E13" s="69"/>
      <c r="F13" s="69"/>
    </row>
    <row r="14" spans="2:6">
      <c r="B14" s="246" t="s">
        <v>661</v>
      </c>
      <c r="C14" s="248"/>
      <c r="D14" s="69"/>
      <c r="E14" s="69"/>
      <c r="F14" s="69"/>
    </row>
    <row r="15" spans="2:6">
      <c r="B15" s="243"/>
      <c r="C15" s="69"/>
      <c r="D15" s="69"/>
      <c r="E15" s="69"/>
      <c r="F15" s="69"/>
    </row>
    <row r="16" spans="2:6">
      <c r="B16" s="288"/>
      <c r="C16" s="234"/>
      <c r="D16" s="234"/>
    </row>
    <row r="17" spans="2:28">
      <c r="B17" s="288"/>
      <c r="C17" s="234"/>
      <c r="D17" s="234"/>
    </row>
    <row r="18" spans="2:28">
      <c r="B18" s="288"/>
      <c r="C18" s="234"/>
      <c r="D18" s="234"/>
    </row>
    <row r="19" spans="2:28" ht="26">
      <c r="B19" s="294" t="s">
        <v>664</v>
      </c>
      <c r="C19" s="234"/>
      <c r="D19" s="234"/>
    </row>
    <row r="20" spans="2:28" ht="17" thickBot="1"/>
    <row r="21" spans="2:28" ht="17" thickBot="1">
      <c r="B21" s="114"/>
      <c r="C21" s="104" t="s">
        <v>902</v>
      </c>
      <c r="D21" s="104" t="s">
        <v>903</v>
      </c>
      <c r="E21" s="104" t="s">
        <v>444</v>
      </c>
      <c r="F21" s="104" t="s">
        <v>446</v>
      </c>
      <c r="G21" s="104" t="s">
        <v>448</v>
      </c>
      <c r="H21" s="104" t="s">
        <v>452</v>
      </c>
      <c r="I21" s="104" t="s">
        <v>449</v>
      </c>
      <c r="J21" s="104" t="s">
        <v>445</v>
      </c>
      <c r="K21" s="104" t="s">
        <v>447</v>
      </c>
      <c r="L21" s="104" t="s">
        <v>450</v>
      </c>
      <c r="M21" s="104" t="s">
        <v>1157</v>
      </c>
      <c r="N21" s="104" t="s">
        <v>451</v>
      </c>
      <c r="O21" s="104" t="s">
        <v>466</v>
      </c>
      <c r="P21" s="104" t="s">
        <v>453</v>
      </c>
      <c r="Q21" s="104" t="s">
        <v>454</v>
      </c>
      <c r="R21" s="104" t="s">
        <v>455</v>
      </c>
      <c r="S21" s="104" t="s">
        <v>456</v>
      </c>
      <c r="T21" s="104" t="s">
        <v>457</v>
      </c>
      <c r="U21" s="104" t="s">
        <v>458</v>
      </c>
      <c r="V21" s="104" t="s">
        <v>459</v>
      </c>
      <c r="W21" s="104" t="s">
        <v>460</v>
      </c>
      <c r="X21" s="104" t="s">
        <v>461</v>
      </c>
      <c r="Y21" s="104" t="s">
        <v>462</v>
      </c>
      <c r="Z21" s="104" t="s">
        <v>467</v>
      </c>
      <c r="AA21" s="104" t="s">
        <v>463</v>
      </c>
      <c r="AB21" s="105" t="s">
        <v>464</v>
      </c>
    </row>
    <row r="22" spans="2:28">
      <c r="B22" s="95" t="s">
        <v>51</v>
      </c>
      <c r="C22" s="24">
        <f>(D22-W22)</f>
        <v>1295.904330011454</v>
      </c>
      <c r="D22" s="24">
        <f>(E22+J22)</f>
        <v>3355.1091383218986</v>
      </c>
      <c r="E22" s="24">
        <f>(H23/VLOOKUP('Summary Table'!C23,'Scenarios Data'!B14:AR22,2,FALSE))</f>
        <v>621.82267125721546</v>
      </c>
      <c r="F22" s="24">
        <f>(E22-H23)</f>
        <v>124.36453425144305</v>
      </c>
      <c r="G22" s="24">
        <v>0</v>
      </c>
      <c r="H22" s="24">
        <v>0</v>
      </c>
      <c r="I22" s="24">
        <v>0</v>
      </c>
      <c r="J22" s="24">
        <f>K24/VLOOKUP('Summary Table'!C23,'Scenarios Data'!B14:AR22,3,FALSE)</f>
        <v>2733.2864670646832</v>
      </c>
      <c r="K22" s="24">
        <f>J22-K24</f>
        <v>245.99578203582132</v>
      </c>
      <c r="L22" s="24">
        <v>0</v>
      </c>
      <c r="M22" s="24">
        <v>0</v>
      </c>
      <c r="N22" s="24">
        <v>0</v>
      </c>
      <c r="O22" s="24">
        <v>0</v>
      </c>
      <c r="P22" s="24">
        <v>0</v>
      </c>
      <c r="Q22" s="24">
        <v>0</v>
      </c>
      <c r="R22" s="24">
        <f xml:space="preserve"> 'Design Calculations'!E77/'Constants &amp; Conversions'!H21</f>
        <v>898.08135892330108</v>
      </c>
      <c r="S22" s="24">
        <v>0</v>
      </c>
      <c r="T22" s="24">
        <v>0</v>
      </c>
      <c r="U22" s="24">
        <f>'Design Calculations'!L77/'Constants &amp; Conversions'!H21</f>
        <v>1019.5636673565949</v>
      </c>
      <c r="V22" s="24">
        <f>U22+R22+K22+F22</f>
        <v>2288.0053425671604</v>
      </c>
      <c r="W22" s="24">
        <f>0.9*V22</f>
        <v>2059.2048083104446</v>
      </c>
      <c r="X22" s="24">
        <f>0.1*V22</f>
        <v>228.80053425671605</v>
      </c>
      <c r="Y22" s="24">
        <v>0</v>
      </c>
      <c r="Z22" s="24">
        <v>0</v>
      </c>
      <c r="AA22" s="24">
        <v>0</v>
      </c>
      <c r="AB22" s="237">
        <v>0</v>
      </c>
    </row>
    <row r="23" spans="2:28">
      <c r="B23" s="100" t="s">
        <v>305</v>
      </c>
      <c r="C23" s="244">
        <v>0</v>
      </c>
      <c r="D23" s="239">
        <v>0</v>
      </c>
      <c r="E23" s="239">
        <f>I23</f>
        <v>1750.9893882646691</v>
      </c>
      <c r="F23" s="239">
        <f>G23</f>
        <v>2248.4475252704415</v>
      </c>
      <c r="G23" s="239">
        <f>(H23+I23)</f>
        <v>2248.4475252704415</v>
      </c>
      <c r="H23" s="239">
        <f>O23</f>
        <v>497.45813700577241</v>
      </c>
      <c r="I23" s="239">
        <f>VLOOKUP('Summary Table'!C23,'Scenarios Data'!B14:AR22,36,FALSE)/'Constants &amp; Conversions'!H20*('Summary Table'!H25/'Summary Table'!C111)</f>
        <v>1750.9893882646691</v>
      </c>
      <c r="J23" s="239">
        <v>0</v>
      </c>
      <c r="K23" s="239">
        <v>0</v>
      </c>
      <c r="L23" s="239">
        <v>0</v>
      </c>
      <c r="M23" s="239">
        <v>0</v>
      </c>
      <c r="N23" s="239">
        <v>0</v>
      </c>
      <c r="O23" s="239">
        <f>P23+S23</f>
        <v>497.45813700577241</v>
      </c>
      <c r="P23" s="239">
        <f>'Design Calculations'!F68/'Constants &amp; Conversions'!H20</f>
        <v>231.70865754100828</v>
      </c>
      <c r="Q23" s="239">
        <v>0</v>
      </c>
      <c r="R23" s="239">
        <v>0</v>
      </c>
      <c r="S23" s="239">
        <f>'Design Calculations'!L68/'Constants &amp; Conversions'!H20</f>
        <v>265.74947946476414</v>
      </c>
      <c r="T23" s="239">
        <v>0</v>
      </c>
      <c r="U23" s="239">
        <v>0</v>
      </c>
      <c r="V23" s="239">
        <v>0</v>
      </c>
      <c r="W23" s="239">
        <v>0</v>
      </c>
      <c r="X23" s="244">
        <v>0</v>
      </c>
      <c r="Y23" s="239">
        <v>0</v>
      </c>
      <c r="Z23" s="244">
        <v>0</v>
      </c>
      <c r="AA23" s="244">
        <v>0</v>
      </c>
      <c r="AB23" s="245">
        <v>0</v>
      </c>
    </row>
    <row r="24" spans="2:28">
      <c r="B24" s="95" t="s">
        <v>443</v>
      </c>
      <c r="C24" s="24">
        <v>0</v>
      </c>
      <c r="D24" s="24">
        <v>0</v>
      </c>
      <c r="E24" s="24">
        <v>0</v>
      </c>
      <c r="F24" s="24">
        <v>0</v>
      </c>
      <c r="G24" s="24">
        <v>0</v>
      </c>
      <c r="H24" s="24">
        <v>0</v>
      </c>
      <c r="I24" s="24">
        <v>0</v>
      </c>
      <c r="J24" s="24">
        <v>0</v>
      </c>
      <c r="K24" s="24">
        <f>L24</f>
        <v>2487.2906850288618</v>
      </c>
      <c r="L24" s="24">
        <f>M24</f>
        <v>2487.2906850288618</v>
      </c>
      <c r="M24" s="24">
        <f>O24</f>
        <v>2487.2906850288618</v>
      </c>
      <c r="N24" s="24">
        <v>0</v>
      </c>
      <c r="O24" s="24">
        <f>P24+S24</f>
        <v>2487.2906850288618</v>
      </c>
      <c r="P24" s="24">
        <f>'Design Calculations'!F69/'Constants &amp; Conversions'!H15</f>
        <v>1158.5432877050414</v>
      </c>
      <c r="Q24" s="24">
        <v>0</v>
      </c>
      <c r="R24" s="24">
        <v>0</v>
      </c>
      <c r="S24" s="24">
        <f>'Design Calculations'!L69/'Constants &amp; Conversions'!H15</f>
        <v>1328.7473973238205</v>
      </c>
      <c r="T24" s="24">
        <v>0</v>
      </c>
      <c r="U24" s="24">
        <v>0</v>
      </c>
      <c r="V24" s="24">
        <v>0</v>
      </c>
      <c r="W24" s="24">
        <v>0</v>
      </c>
      <c r="X24" s="24">
        <v>0</v>
      </c>
      <c r="Y24" s="24">
        <v>0</v>
      </c>
      <c r="Z24" s="24">
        <v>0</v>
      </c>
      <c r="AA24" s="24">
        <v>0</v>
      </c>
      <c r="AB24" s="237">
        <v>0</v>
      </c>
    </row>
    <row r="25" spans="2:28">
      <c r="B25" s="100" t="s">
        <v>140</v>
      </c>
      <c r="C25" s="244">
        <v>0</v>
      </c>
      <c r="D25" s="239">
        <v>0</v>
      </c>
      <c r="E25" s="239">
        <v>0</v>
      </c>
      <c r="F25" s="239">
        <v>0</v>
      </c>
      <c r="G25" s="239">
        <v>0</v>
      </c>
      <c r="H25" s="239">
        <v>0</v>
      </c>
      <c r="I25" s="239">
        <v>0</v>
      </c>
      <c r="J25" s="239">
        <v>0</v>
      </c>
      <c r="K25" s="239">
        <v>0</v>
      </c>
      <c r="L25" s="239">
        <v>0</v>
      </c>
      <c r="M25" s="239">
        <v>0</v>
      </c>
      <c r="N25" s="239">
        <v>0</v>
      </c>
      <c r="O25" s="239">
        <v>0</v>
      </c>
      <c r="P25" s="239">
        <v>0</v>
      </c>
      <c r="Q25" s="239">
        <f>'Design Calculations'!Q74/'Constants &amp; Conversions'!H23</f>
        <v>134.10642679093965</v>
      </c>
      <c r="R25" s="239">
        <v>0</v>
      </c>
      <c r="S25" s="239">
        <f>Q25</f>
        <v>134.10642679093965</v>
      </c>
      <c r="T25" s="239">
        <f>Q25</f>
        <v>134.10642679093965</v>
      </c>
      <c r="U25" s="239">
        <v>0</v>
      </c>
      <c r="V25" s="239">
        <v>0</v>
      </c>
      <c r="W25" s="239">
        <v>0</v>
      </c>
      <c r="X25" s="244">
        <v>0</v>
      </c>
      <c r="Y25" s="239">
        <f>Q25</f>
        <v>134.10642679093965</v>
      </c>
      <c r="Z25" s="244">
        <f>0.0199*Y25</f>
        <v>2.6687178931396991</v>
      </c>
      <c r="AA25" s="244">
        <f>Y25-Z25-AB25</f>
        <v>130.86775658393844</v>
      </c>
      <c r="AB25" s="245">
        <f>0.00425*Y25</f>
        <v>0.56995231386149359</v>
      </c>
    </row>
    <row r="26" spans="2:28" ht="17" thickBot="1">
      <c r="B26" s="101" t="s">
        <v>141</v>
      </c>
      <c r="C26" s="92">
        <v>0</v>
      </c>
      <c r="D26" s="92">
        <v>0</v>
      </c>
      <c r="E26" s="92">
        <v>0</v>
      </c>
      <c r="F26" s="92">
        <v>0</v>
      </c>
      <c r="G26" s="92">
        <v>0</v>
      </c>
      <c r="H26" s="92">
        <v>0</v>
      </c>
      <c r="I26" s="92">
        <v>0</v>
      </c>
      <c r="J26" s="92">
        <v>0</v>
      </c>
      <c r="K26" s="92">
        <v>0</v>
      </c>
      <c r="L26" s="92">
        <v>0</v>
      </c>
      <c r="M26" s="92">
        <v>0</v>
      </c>
      <c r="N26" s="92">
        <v>0</v>
      </c>
      <c r="O26" s="92">
        <v>0</v>
      </c>
      <c r="P26" s="92">
        <v>0</v>
      </c>
      <c r="Q26" s="92">
        <v>0</v>
      </c>
      <c r="R26" s="92">
        <v>0</v>
      </c>
      <c r="S26" s="92">
        <v>0</v>
      </c>
      <c r="T26" s="92">
        <f>'Design Calculations'!Q66/'Constants &amp; Conversions'!H24</f>
        <v>143.73330235799745</v>
      </c>
      <c r="U26" s="92">
        <v>0</v>
      </c>
      <c r="V26" s="92">
        <v>0</v>
      </c>
      <c r="W26" s="92">
        <v>0</v>
      </c>
      <c r="X26" s="92">
        <v>0</v>
      </c>
      <c r="Y26" s="92">
        <f>T26</f>
        <v>143.73330235799745</v>
      </c>
      <c r="Z26" s="92">
        <f>0.015723566*Y26</f>
        <v>2.2600000660239288</v>
      </c>
      <c r="AA26" s="92">
        <f>0.005705*Y26</f>
        <v>0.81999848995237545</v>
      </c>
      <c r="AB26" s="238">
        <f>Y26-Z26-AA26</f>
        <v>140.65330380202113</v>
      </c>
    </row>
    <row r="30" spans="2:28" ht="26">
      <c r="B30" s="294" t="s">
        <v>672</v>
      </c>
    </row>
    <row r="31" spans="2:28" ht="17" thickBot="1"/>
    <row r="32" spans="2:28" ht="17" thickBot="1">
      <c r="B32" s="114"/>
      <c r="C32" s="104" t="s">
        <v>902</v>
      </c>
      <c r="D32" s="104" t="s">
        <v>903</v>
      </c>
      <c r="E32" s="104" t="s">
        <v>444</v>
      </c>
      <c r="F32" s="104" t="s">
        <v>446</v>
      </c>
      <c r="G32" s="104" t="s">
        <v>448</v>
      </c>
      <c r="H32" s="104" t="s">
        <v>757</v>
      </c>
      <c r="I32" s="104" t="s">
        <v>449</v>
      </c>
      <c r="J32" s="104" t="s">
        <v>445</v>
      </c>
      <c r="K32" s="104" t="s">
        <v>447</v>
      </c>
      <c r="L32" s="104" t="s">
        <v>450</v>
      </c>
      <c r="M32" s="104" t="s">
        <v>758</v>
      </c>
      <c r="N32" s="104" t="s">
        <v>451</v>
      </c>
      <c r="O32" s="104" t="s">
        <v>459</v>
      </c>
      <c r="P32" s="104" t="s">
        <v>460</v>
      </c>
      <c r="Q32" s="104" t="s">
        <v>461</v>
      </c>
      <c r="R32" s="104" t="s">
        <v>755</v>
      </c>
      <c r="S32" s="105" t="s">
        <v>756</v>
      </c>
    </row>
    <row r="33" spans="2:19">
      <c r="B33" s="95" t="s">
        <v>51</v>
      </c>
      <c r="C33" s="24">
        <f>(D33-P33)</f>
        <v>3021.7848536633605</v>
      </c>
      <c r="D33" s="24">
        <f>(E33+J33)</f>
        <v>3355.1091383218986</v>
      </c>
      <c r="E33" s="24">
        <f>(H23/VLOOKUP('Summary Table'!C23,'Scenarios Data'!B14:AR22,2,FALSE))</f>
        <v>621.82267125721546</v>
      </c>
      <c r="F33" s="24">
        <f>(E33-H34)</f>
        <v>124.36453425144305</v>
      </c>
      <c r="G33" s="24">
        <v>0</v>
      </c>
      <c r="H33" s="24">
        <v>0</v>
      </c>
      <c r="I33" s="24">
        <v>0</v>
      </c>
      <c r="J33" s="24">
        <f>K35/VLOOKUP('Summary Table'!C23,'Scenarios Data'!B14:AR22,3,FALSE)</f>
        <v>2733.2864670646832</v>
      </c>
      <c r="K33" s="24">
        <f>J33-K35</f>
        <v>245.99578203582132</v>
      </c>
      <c r="L33" s="24">
        <v>0</v>
      </c>
      <c r="M33" s="24">
        <v>0</v>
      </c>
      <c r="N33" s="24">
        <v>0</v>
      </c>
      <c r="O33" s="24">
        <f>F33+K33</f>
        <v>370.36031628726437</v>
      </c>
      <c r="P33" s="24">
        <f>0.9*O33</f>
        <v>333.32428465853792</v>
      </c>
      <c r="Q33" s="24">
        <f>0.1*O33</f>
        <v>37.036031628726441</v>
      </c>
      <c r="R33" s="24">
        <v>0</v>
      </c>
      <c r="S33" s="237">
        <v>0</v>
      </c>
    </row>
    <row r="34" spans="2:19">
      <c r="B34" s="100" t="s">
        <v>305</v>
      </c>
      <c r="C34" s="244">
        <v>0</v>
      </c>
      <c r="D34" s="239">
        <v>0</v>
      </c>
      <c r="E34" s="239">
        <f>I34</f>
        <v>1333.8764044943821</v>
      </c>
      <c r="F34" s="239">
        <f>G34</f>
        <v>1831.3345415001545</v>
      </c>
      <c r="G34" s="239">
        <f>(H34+I34)</f>
        <v>1831.3345415001545</v>
      </c>
      <c r="H34" s="239">
        <f>R34</f>
        <v>497.45813700577241</v>
      </c>
      <c r="I34" s="239">
        <f>VLOOKUP('Summary Table'!C23,'Scenarios Data'!B29:U37,11,FALSE)/'Constants &amp; Conversions'!H20*('Summary Table'!H25/'Summary Table'!C111)</f>
        <v>1333.8764044943821</v>
      </c>
      <c r="J34" s="239">
        <v>0</v>
      </c>
      <c r="K34" s="239">
        <v>0</v>
      </c>
      <c r="L34" s="239">
        <v>0</v>
      </c>
      <c r="M34" s="239">
        <v>0</v>
      </c>
      <c r="N34" s="239">
        <v>0</v>
      </c>
      <c r="O34" s="239">
        <v>0</v>
      </c>
      <c r="P34" s="239">
        <v>0</v>
      </c>
      <c r="Q34" s="244">
        <v>0</v>
      </c>
      <c r="R34" s="244">
        <f>'Design Calculations'!O68/'Constants &amp; Conversions'!H20</f>
        <v>497.45813700577241</v>
      </c>
      <c r="S34" s="245">
        <v>0</v>
      </c>
    </row>
    <row r="35" spans="2:19">
      <c r="B35" s="95" t="s">
        <v>443</v>
      </c>
      <c r="C35" s="24">
        <v>0</v>
      </c>
      <c r="D35" s="24">
        <v>0</v>
      </c>
      <c r="E35" s="24">
        <v>0</v>
      </c>
      <c r="F35" s="24">
        <v>0</v>
      </c>
      <c r="G35" s="24">
        <v>0</v>
      </c>
      <c r="H35" s="24">
        <v>0</v>
      </c>
      <c r="I35" s="24">
        <v>0</v>
      </c>
      <c r="J35" s="24">
        <v>0</v>
      </c>
      <c r="K35" s="24">
        <f>L35</f>
        <v>2487.2906850288618</v>
      </c>
      <c r="L35" s="24">
        <f>M35</f>
        <v>2487.2906850288618</v>
      </c>
      <c r="M35" s="24">
        <f>S35</f>
        <v>2487.2906850288618</v>
      </c>
      <c r="N35" s="24">
        <v>0</v>
      </c>
      <c r="O35" s="24">
        <v>0</v>
      </c>
      <c r="P35" s="24">
        <v>0</v>
      </c>
      <c r="Q35" s="24">
        <v>0</v>
      </c>
      <c r="R35" s="24">
        <v>0</v>
      </c>
      <c r="S35" s="237">
        <f>'Design Calculations'!O70/'Constants &amp; Conversions'!H16</f>
        <v>2487.2906850288618</v>
      </c>
    </row>
    <row r="36" spans="2:19">
      <c r="B36" s="100" t="s">
        <v>140</v>
      </c>
      <c r="C36" s="244">
        <v>0</v>
      </c>
      <c r="D36" s="239">
        <v>0</v>
      </c>
      <c r="E36" s="239">
        <v>0</v>
      </c>
      <c r="F36" s="239">
        <v>0</v>
      </c>
      <c r="G36" s="239">
        <v>0</v>
      </c>
      <c r="H36" s="239">
        <v>0</v>
      </c>
      <c r="I36" s="239">
        <v>0</v>
      </c>
      <c r="J36" s="239">
        <v>0</v>
      </c>
      <c r="K36" s="239">
        <v>0</v>
      </c>
      <c r="L36" s="239">
        <v>0</v>
      </c>
      <c r="M36" s="239">
        <v>0</v>
      </c>
      <c r="N36" s="239">
        <v>0</v>
      </c>
      <c r="O36" s="239">
        <v>0</v>
      </c>
      <c r="P36" s="239">
        <v>0</v>
      </c>
      <c r="Q36" s="244">
        <v>0</v>
      </c>
      <c r="R36" s="244">
        <v>0</v>
      </c>
      <c r="S36" s="245">
        <v>0</v>
      </c>
    </row>
    <row r="37" spans="2:19" ht="17" thickBot="1">
      <c r="B37" s="101" t="s">
        <v>141</v>
      </c>
      <c r="C37" s="92">
        <v>0</v>
      </c>
      <c r="D37" s="92">
        <v>0</v>
      </c>
      <c r="E37" s="92">
        <v>0</v>
      </c>
      <c r="F37" s="92">
        <v>0</v>
      </c>
      <c r="G37" s="92">
        <v>0</v>
      </c>
      <c r="H37" s="92">
        <v>0</v>
      </c>
      <c r="I37" s="92">
        <v>0</v>
      </c>
      <c r="J37" s="92">
        <v>0</v>
      </c>
      <c r="K37" s="92">
        <v>0</v>
      </c>
      <c r="L37" s="92">
        <v>0</v>
      </c>
      <c r="M37" s="92">
        <v>0</v>
      </c>
      <c r="N37" s="92">
        <v>0</v>
      </c>
      <c r="O37" s="92">
        <v>0</v>
      </c>
      <c r="P37" s="92">
        <v>0</v>
      </c>
      <c r="Q37" s="92">
        <v>0</v>
      </c>
      <c r="R37" s="92">
        <v>0</v>
      </c>
      <c r="S37" s="238">
        <v>0</v>
      </c>
    </row>
    <row r="40" spans="2:19" ht="26">
      <c r="B40" s="294" t="s">
        <v>1060</v>
      </c>
    </row>
    <row r="41" spans="2:19" ht="17" thickBot="1"/>
    <row r="42" spans="2:19" ht="17" thickBot="1">
      <c r="B42" s="114"/>
      <c r="C42" s="104" t="s">
        <v>759</v>
      </c>
      <c r="D42" s="104" t="s">
        <v>453</v>
      </c>
      <c r="E42" s="104" t="s">
        <v>454</v>
      </c>
      <c r="F42" s="104" t="s">
        <v>455</v>
      </c>
      <c r="G42" s="104" t="s">
        <v>456</v>
      </c>
      <c r="H42" s="104" t="s">
        <v>457</v>
      </c>
      <c r="I42" s="104" t="s">
        <v>458</v>
      </c>
      <c r="J42" s="104" t="s">
        <v>462</v>
      </c>
      <c r="K42" s="104" t="s">
        <v>760</v>
      </c>
      <c r="L42" s="104" t="s">
        <v>467</v>
      </c>
      <c r="M42" s="104" t="s">
        <v>463</v>
      </c>
      <c r="N42" s="105" t="s">
        <v>464</v>
      </c>
    </row>
    <row r="43" spans="2:19">
      <c r="B43" s="95" t="s">
        <v>51</v>
      </c>
      <c r="C43" s="24">
        <v>0</v>
      </c>
      <c r="D43" s="24">
        <v>0</v>
      </c>
      <c r="E43" s="24">
        <v>0</v>
      </c>
      <c r="F43" s="24">
        <f xml:space="preserve"> 'Design Calculations'!E77/'Constants &amp; Conversions'!H21</f>
        <v>898.08135892330108</v>
      </c>
      <c r="G43" s="24">
        <v>0</v>
      </c>
      <c r="H43" s="24">
        <v>0</v>
      </c>
      <c r="I43" s="24">
        <f>'Design Calculations'!L77/'Constants &amp; Conversions'!H21</f>
        <v>1019.5636673565949</v>
      </c>
      <c r="J43" s="24">
        <v>0</v>
      </c>
      <c r="K43" s="24">
        <f>F43+I43</f>
        <v>1917.645026279896</v>
      </c>
      <c r="L43" s="24">
        <v>0</v>
      </c>
      <c r="M43" s="24">
        <v>0</v>
      </c>
      <c r="N43" s="237">
        <v>0</v>
      </c>
    </row>
    <row r="44" spans="2:19">
      <c r="B44" s="100" t="s">
        <v>305</v>
      </c>
      <c r="C44" s="244">
        <f>D44+G44</f>
        <v>497.45813700577241</v>
      </c>
      <c r="D44" s="239">
        <f>'Design Calculations'!F68/'Constants &amp; Conversions'!H20</f>
        <v>231.70865754100828</v>
      </c>
      <c r="E44" s="239">
        <v>0</v>
      </c>
      <c r="F44" s="239">
        <v>0</v>
      </c>
      <c r="G44" s="239">
        <f>'Design Calculations'!L68/'Constants &amp; Conversions'!H20</f>
        <v>265.74947946476414</v>
      </c>
      <c r="H44" s="239">
        <v>0</v>
      </c>
      <c r="I44" s="239">
        <v>0</v>
      </c>
      <c r="J44" s="239">
        <v>0</v>
      </c>
      <c r="K44" s="244">
        <v>0</v>
      </c>
      <c r="L44" s="244">
        <v>0</v>
      </c>
      <c r="M44" s="244">
        <v>0</v>
      </c>
      <c r="N44" s="245">
        <v>0</v>
      </c>
    </row>
    <row r="45" spans="2:19">
      <c r="B45" s="95" t="s">
        <v>443</v>
      </c>
      <c r="C45" s="24">
        <f>D45+G45</f>
        <v>2487.2906850288618</v>
      </c>
      <c r="D45" s="24">
        <f>'Design Calculations'!F69/'Constants &amp; Conversions'!H15</f>
        <v>1158.5432877050414</v>
      </c>
      <c r="E45" s="24">
        <v>0</v>
      </c>
      <c r="F45" s="24">
        <v>0</v>
      </c>
      <c r="G45" s="24">
        <f>'Design Calculations'!L69/'Constants &amp; Conversions'!H15</f>
        <v>1328.7473973238205</v>
      </c>
      <c r="H45" s="24">
        <v>0</v>
      </c>
      <c r="I45" s="24">
        <v>0</v>
      </c>
      <c r="J45" s="24">
        <v>0</v>
      </c>
      <c r="K45" s="24">
        <v>0</v>
      </c>
      <c r="L45" s="24">
        <v>0</v>
      </c>
      <c r="M45" s="24">
        <v>0</v>
      </c>
      <c r="N45" s="237">
        <v>0</v>
      </c>
    </row>
    <row r="46" spans="2:19">
      <c r="B46" s="100" t="s">
        <v>140</v>
      </c>
      <c r="C46" s="244">
        <v>0</v>
      </c>
      <c r="D46" s="239">
        <v>0</v>
      </c>
      <c r="E46" s="239">
        <f>'Design Calculations'!Q74/'Constants &amp; Conversions'!H23</f>
        <v>134.10642679093965</v>
      </c>
      <c r="F46" s="239">
        <v>0</v>
      </c>
      <c r="G46" s="239">
        <f>E46</f>
        <v>134.10642679093965</v>
      </c>
      <c r="H46" s="239">
        <f>E46</f>
        <v>134.10642679093965</v>
      </c>
      <c r="I46" s="239">
        <v>0</v>
      </c>
      <c r="J46" s="239">
        <f>E46</f>
        <v>134.10642679093965</v>
      </c>
      <c r="K46" s="244">
        <v>0</v>
      </c>
      <c r="L46" s="244">
        <f>0.0199*J46</f>
        <v>2.6687178931396991</v>
      </c>
      <c r="M46" s="244">
        <f>J46-L46-N46</f>
        <v>130.86775658393844</v>
      </c>
      <c r="N46" s="245">
        <f>0.00425*J46</f>
        <v>0.56995231386149359</v>
      </c>
    </row>
    <row r="47" spans="2:19" ht="17" thickBot="1">
      <c r="B47" s="101" t="s">
        <v>141</v>
      </c>
      <c r="C47" s="92">
        <v>0</v>
      </c>
      <c r="D47" s="92">
        <v>0</v>
      </c>
      <c r="E47" s="92">
        <v>0</v>
      </c>
      <c r="F47" s="92">
        <v>0</v>
      </c>
      <c r="G47" s="92">
        <v>0</v>
      </c>
      <c r="H47" s="92">
        <f>'Design Calculations'!Q66/'Constants &amp; Conversions'!H24</f>
        <v>143.73330235799745</v>
      </c>
      <c r="I47" s="92">
        <v>0</v>
      </c>
      <c r="J47" s="92">
        <f>H47</f>
        <v>143.73330235799745</v>
      </c>
      <c r="K47" s="92">
        <v>0</v>
      </c>
      <c r="L47" s="92">
        <f>0.015723566*J47</f>
        <v>2.2600000660239288</v>
      </c>
      <c r="M47" s="92">
        <f>0.005705*J47</f>
        <v>0.81999848995237545</v>
      </c>
      <c r="N47" s="238">
        <f>J47-L47-M47</f>
        <v>140.65330380202113</v>
      </c>
    </row>
    <row r="48" spans="2:19">
      <c r="B48" s="20"/>
    </row>
    <row r="51" spans="2:28">
      <c r="B51" s="242" t="s">
        <v>635</v>
      </c>
      <c r="C51" s="234"/>
      <c r="D51" s="234"/>
    </row>
    <row r="53" spans="2:28" ht="26">
      <c r="B53" s="294" t="s">
        <v>1173</v>
      </c>
      <c r="C53" s="25"/>
      <c r="D53" s="22"/>
    </row>
    <row r="54" spans="2:28" ht="17" thickBot="1"/>
    <row r="55" spans="2:28" ht="17" thickBot="1">
      <c r="B55" s="250"/>
      <c r="C55" s="251" t="s">
        <v>902</v>
      </c>
      <c r="D55" s="251" t="s">
        <v>903</v>
      </c>
      <c r="E55" s="251" t="s">
        <v>444</v>
      </c>
      <c r="F55" s="251" t="s">
        <v>446</v>
      </c>
      <c r="G55" s="251" t="s">
        <v>448</v>
      </c>
      <c r="H55" s="251" t="s">
        <v>452</v>
      </c>
      <c r="I55" s="251" t="s">
        <v>449</v>
      </c>
      <c r="J55" s="251" t="s">
        <v>445</v>
      </c>
      <c r="K55" s="251" t="s">
        <v>447</v>
      </c>
      <c r="L55" s="251" t="s">
        <v>450</v>
      </c>
      <c r="M55" s="251" t="s">
        <v>1157</v>
      </c>
      <c r="N55" s="251" t="s">
        <v>451</v>
      </c>
      <c r="O55" s="251" t="s">
        <v>466</v>
      </c>
      <c r="P55" s="251" t="s">
        <v>453</v>
      </c>
      <c r="Q55" s="251" t="s">
        <v>454</v>
      </c>
      <c r="R55" s="251" t="s">
        <v>455</v>
      </c>
      <c r="S55" s="251" t="s">
        <v>456</v>
      </c>
      <c r="T55" s="251" t="s">
        <v>457</v>
      </c>
      <c r="U55" s="251" t="s">
        <v>458</v>
      </c>
      <c r="V55" s="251" t="s">
        <v>459</v>
      </c>
      <c r="W55" s="251" t="s">
        <v>460</v>
      </c>
      <c r="X55" s="251" t="s">
        <v>461</v>
      </c>
      <c r="Y55" s="251" t="s">
        <v>462</v>
      </c>
      <c r="Z55" s="251" t="s">
        <v>467</v>
      </c>
      <c r="AA55" s="251" t="s">
        <v>463</v>
      </c>
      <c r="AB55" s="252" t="s">
        <v>464</v>
      </c>
    </row>
    <row r="56" spans="2:28">
      <c r="B56" s="95" t="s">
        <v>51</v>
      </c>
      <c r="C56" s="24">
        <v>1295.9000000000001</v>
      </c>
      <c r="D56" s="24">
        <v>3355.11</v>
      </c>
      <c r="E56" s="24">
        <v>621.82000000000005</v>
      </c>
      <c r="F56" s="24">
        <v>124.36</v>
      </c>
      <c r="G56" s="24">
        <v>0</v>
      </c>
      <c r="H56" s="24">
        <v>0</v>
      </c>
      <c r="I56" s="24">
        <v>0</v>
      </c>
      <c r="J56" s="24">
        <v>2733.29</v>
      </c>
      <c r="K56" s="24">
        <v>246</v>
      </c>
      <c r="L56" s="24">
        <v>0</v>
      </c>
      <c r="M56" s="24">
        <v>0</v>
      </c>
      <c r="N56" s="24">
        <v>0</v>
      </c>
      <c r="O56" s="24">
        <v>0</v>
      </c>
      <c r="P56" s="24">
        <v>0</v>
      </c>
      <c r="Q56" s="24">
        <v>0</v>
      </c>
      <c r="R56" s="24">
        <v>898.08</v>
      </c>
      <c r="S56" s="24">
        <v>0</v>
      </c>
      <c r="T56" s="24">
        <v>0</v>
      </c>
      <c r="U56" s="24">
        <v>1019.56</v>
      </c>
      <c r="V56" s="24">
        <v>2288.0100000000002</v>
      </c>
      <c r="W56" s="24">
        <v>2059.1999999999998</v>
      </c>
      <c r="X56" s="24">
        <v>228.8</v>
      </c>
      <c r="Y56" s="24">
        <v>0</v>
      </c>
      <c r="Z56" s="24">
        <v>0</v>
      </c>
      <c r="AA56" s="24">
        <v>0</v>
      </c>
      <c r="AB56" s="237">
        <v>0</v>
      </c>
    </row>
    <row r="57" spans="2:28">
      <c r="B57" s="253" t="s">
        <v>305</v>
      </c>
      <c r="C57" s="254">
        <v>0</v>
      </c>
      <c r="D57" s="254">
        <v>0</v>
      </c>
      <c r="E57" s="254">
        <f>I57</f>
        <v>1750.9893882646691</v>
      </c>
      <c r="F57" s="254">
        <f>G57</f>
        <v>2248.4493882646689</v>
      </c>
      <c r="G57" s="254">
        <f>I57+H57</f>
        <v>2248.4493882646689</v>
      </c>
      <c r="H57" s="254">
        <v>497.46</v>
      </c>
      <c r="I57" s="254">
        <f>'Scenarios Data'!AK20/'Constants &amp; Conversions'!H20*('Summary Table'!H25/'Summary Table'!C111)</f>
        <v>1750.9893882646691</v>
      </c>
      <c r="J57" s="254">
        <v>0</v>
      </c>
      <c r="K57" s="254">
        <v>0</v>
      </c>
      <c r="L57" s="254">
        <v>0</v>
      </c>
      <c r="M57" s="254">
        <v>0</v>
      </c>
      <c r="N57" s="254">
        <v>0</v>
      </c>
      <c r="O57" s="254">
        <v>497.46</v>
      </c>
      <c r="P57" s="254">
        <v>231.71</v>
      </c>
      <c r="Q57" s="254">
        <v>0</v>
      </c>
      <c r="R57" s="254">
        <v>0</v>
      </c>
      <c r="S57" s="254">
        <v>265.75</v>
      </c>
      <c r="T57" s="254">
        <v>0</v>
      </c>
      <c r="U57" s="254">
        <v>0</v>
      </c>
      <c r="V57" s="254">
        <v>0</v>
      </c>
      <c r="W57" s="254">
        <v>0</v>
      </c>
      <c r="X57" s="254">
        <v>0</v>
      </c>
      <c r="Y57" s="254">
        <v>0</v>
      </c>
      <c r="Z57" s="254">
        <v>0</v>
      </c>
      <c r="AA57" s="254">
        <v>0</v>
      </c>
      <c r="AB57" s="255">
        <v>0</v>
      </c>
    </row>
    <row r="58" spans="2:28">
      <c r="B58" s="95" t="s">
        <v>443</v>
      </c>
      <c r="C58" s="24">
        <v>0</v>
      </c>
      <c r="D58" s="24">
        <v>0</v>
      </c>
      <c r="E58" s="24">
        <v>0</v>
      </c>
      <c r="F58" s="24">
        <v>0</v>
      </c>
      <c r="G58" s="24">
        <v>0</v>
      </c>
      <c r="H58" s="24">
        <v>0</v>
      </c>
      <c r="I58" s="24">
        <v>0</v>
      </c>
      <c r="J58" s="24">
        <v>0</v>
      </c>
      <c r="K58" s="24">
        <v>2487.29</v>
      </c>
      <c r="L58" s="24">
        <v>2487.29</v>
      </c>
      <c r="M58" s="24">
        <v>2487.29</v>
      </c>
      <c r="N58" s="24">
        <v>0</v>
      </c>
      <c r="O58" s="24">
        <v>2487.29</v>
      </c>
      <c r="P58" s="24">
        <v>1158.54</v>
      </c>
      <c r="Q58" s="24">
        <v>0</v>
      </c>
      <c r="R58" s="24">
        <v>0</v>
      </c>
      <c r="S58" s="24">
        <v>1328.75</v>
      </c>
      <c r="T58" s="24">
        <v>0</v>
      </c>
      <c r="U58" s="24">
        <v>0</v>
      </c>
      <c r="V58" s="24">
        <v>0</v>
      </c>
      <c r="W58" s="24">
        <v>0</v>
      </c>
      <c r="X58" s="24">
        <v>0</v>
      </c>
      <c r="Y58" s="24">
        <v>0</v>
      </c>
      <c r="Z58" s="24">
        <v>0</v>
      </c>
      <c r="AA58" s="24">
        <v>0</v>
      </c>
      <c r="AB58" s="237">
        <v>0</v>
      </c>
    </row>
    <row r="59" spans="2:28">
      <c r="B59" s="253" t="s">
        <v>140</v>
      </c>
      <c r="C59" s="254">
        <v>0</v>
      </c>
      <c r="D59" s="254">
        <v>0</v>
      </c>
      <c r="E59" s="254">
        <v>0</v>
      </c>
      <c r="F59" s="254">
        <v>0</v>
      </c>
      <c r="G59" s="254">
        <v>0</v>
      </c>
      <c r="H59" s="254">
        <v>0</v>
      </c>
      <c r="I59" s="254">
        <v>0</v>
      </c>
      <c r="J59" s="254">
        <v>0</v>
      </c>
      <c r="K59" s="254">
        <v>0</v>
      </c>
      <c r="L59" s="254">
        <v>0</v>
      </c>
      <c r="M59" s="254">
        <v>0</v>
      </c>
      <c r="N59" s="254">
        <v>0</v>
      </c>
      <c r="O59" s="254">
        <v>0</v>
      </c>
      <c r="P59" s="254">
        <v>0</v>
      </c>
      <c r="Q59" s="254">
        <v>134.11000000000001</v>
      </c>
      <c r="R59" s="254">
        <v>0</v>
      </c>
      <c r="S59" s="254">
        <v>134.11000000000001</v>
      </c>
      <c r="T59" s="254">
        <v>134.11000000000001</v>
      </c>
      <c r="U59" s="254">
        <v>0</v>
      </c>
      <c r="V59" s="254">
        <v>0</v>
      </c>
      <c r="W59" s="254">
        <v>0</v>
      </c>
      <c r="X59" s="254">
        <v>0</v>
      </c>
      <c r="Y59" s="254">
        <v>134.11000000000001</v>
      </c>
      <c r="Z59" s="254">
        <v>2.67</v>
      </c>
      <c r="AA59" s="254">
        <v>130.87</v>
      </c>
      <c r="AB59" s="255">
        <v>0.56999999999999995</v>
      </c>
    </row>
    <row r="60" spans="2:28" ht="17" thickBot="1">
      <c r="B60" s="101" t="s">
        <v>141</v>
      </c>
      <c r="C60" s="92">
        <v>0</v>
      </c>
      <c r="D60" s="92">
        <v>0</v>
      </c>
      <c r="E60" s="92">
        <v>0</v>
      </c>
      <c r="F60" s="92">
        <v>0</v>
      </c>
      <c r="G60" s="92">
        <v>0</v>
      </c>
      <c r="H60" s="92">
        <v>0</v>
      </c>
      <c r="I60" s="92">
        <v>0</v>
      </c>
      <c r="J60" s="92">
        <v>0</v>
      </c>
      <c r="K60" s="92">
        <v>0</v>
      </c>
      <c r="L60" s="92">
        <v>0</v>
      </c>
      <c r="M60" s="92">
        <v>0</v>
      </c>
      <c r="N60" s="92">
        <v>0</v>
      </c>
      <c r="O60" s="92">
        <v>0</v>
      </c>
      <c r="P60" s="92">
        <v>0</v>
      </c>
      <c r="Q60" s="92">
        <v>0</v>
      </c>
      <c r="R60" s="92">
        <v>0</v>
      </c>
      <c r="S60" s="92">
        <v>0</v>
      </c>
      <c r="T60" s="92">
        <v>143.72999999999999</v>
      </c>
      <c r="U60" s="92">
        <v>0</v>
      </c>
      <c r="V60" s="92">
        <v>0</v>
      </c>
      <c r="W60" s="92">
        <v>0</v>
      </c>
      <c r="X60" s="92">
        <v>0</v>
      </c>
      <c r="Y60" s="92">
        <v>143.72999999999999</v>
      </c>
      <c r="Z60" s="92">
        <v>2.2599999999999998</v>
      </c>
      <c r="AA60" s="92">
        <v>0.82</v>
      </c>
      <c r="AB60" s="238">
        <v>140.65</v>
      </c>
    </row>
    <row r="64" spans="2:28" ht="26">
      <c r="B64" s="671" t="s">
        <v>1174</v>
      </c>
    </row>
    <row r="65" spans="2:19" ht="17" thickBot="1"/>
    <row r="66" spans="2:19" ht="17" thickBot="1">
      <c r="B66" s="250"/>
      <c r="C66" s="251" t="s">
        <v>1158</v>
      </c>
      <c r="D66" s="251" t="s">
        <v>1159</v>
      </c>
      <c r="E66" s="251" t="s">
        <v>444</v>
      </c>
      <c r="F66" s="251" t="s">
        <v>446</v>
      </c>
      <c r="G66" s="251" t="s">
        <v>448</v>
      </c>
      <c r="H66" s="251" t="s">
        <v>757</v>
      </c>
      <c r="I66" s="251" t="s">
        <v>449</v>
      </c>
      <c r="J66" s="251" t="s">
        <v>445</v>
      </c>
      <c r="K66" s="251" t="s">
        <v>447</v>
      </c>
      <c r="L66" s="251" t="s">
        <v>450</v>
      </c>
      <c r="M66" s="251" t="s">
        <v>758</v>
      </c>
      <c r="N66" s="251" t="s">
        <v>451</v>
      </c>
      <c r="O66" s="251" t="s">
        <v>459</v>
      </c>
      <c r="P66" s="251" t="s">
        <v>460</v>
      </c>
      <c r="Q66" s="251" t="s">
        <v>461</v>
      </c>
      <c r="R66" s="251" t="s">
        <v>755</v>
      </c>
      <c r="S66" s="252" t="s">
        <v>756</v>
      </c>
    </row>
    <row r="67" spans="2:19">
      <c r="B67" s="95" t="s">
        <v>51</v>
      </c>
      <c r="C67" s="24">
        <v>3021.7848536633605</v>
      </c>
      <c r="D67" s="24">
        <v>3355.1091383218986</v>
      </c>
      <c r="E67" s="24">
        <v>621.82267125721546</v>
      </c>
      <c r="F67" s="24">
        <v>124.36453425144305</v>
      </c>
      <c r="G67" s="24">
        <v>0</v>
      </c>
      <c r="H67" s="24">
        <v>0</v>
      </c>
      <c r="I67" s="24">
        <v>0</v>
      </c>
      <c r="J67" s="24">
        <v>2733.2864670646832</v>
      </c>
      <c r="K67" s="24">
        <v>245.99578203582132</v>
      </c>
      <c r="L67" s="24">
        <v>0</v>
      </c>
      <c r="M67" s="24">
        <v>0</v>
      </c>
      <c r="N67" s="24">
        <v>0</v>
      </c>
      <c r="O67" s="24">
        <v>370.36031628726437</v>
      </c>
      <c r="P67" s="24">
        <v>333.32428465853792</v>
      </c>
      <c r="Q67" s="24">
        <v>37.036031628726441</v>
      </c>
      <c r="R67" s="24">
        <v>0</v>
      </c>
      <c r="S67" s="237">
        <v>0</v>
      </c>
    </row>
    <row r="68" spans="2:19">
      <c r="B68" s="253" t="s">
        <v>305</v>
      </c>
      <c r="C68" s="254">
        <v>0</v>
      </c>
      <c r="D68" s="254">
        <v>0</v>
      </c>
      <c r="E68" s="254">
        <v>1333.8764044943821</v>
      </c>
      <c r="F68" s="254">
        <v>1831.3345415001545</v>
      </c>
      <c r="G68" s="254">
        <v>1831.3345415001545</v>
      </c>
      <c r="H68" s="254">
        <v>497.45813700577241</v>
      </c>
      <c r="I68" s="254">
        <v>1333.8764044943821</v>
      </c>
      <c r="J68" s="254">
        <v>0</v>
      </c>
      <c r="K68" s="254">
        <v>0</v>
      </c>
      <c r="L68" s="254">
        <v>0</v>
      </c>
      <c r="M68" s="254">
        <v>0</v>
      </c>
      <c r="N68" s="254">
        <v>0</v>
      </c>
      <c r="O68" s="254">
        <v>0</v>
      </c>
      <c r="P68" s="254">
        <v>0</v>
      </c>
      <c r="Q68" s="254">
        <v>0</v>
      </c>
      <c r="R68" s="254">
        <v>497.45813700577241</v>
      </c>
      <c r="S68" s="255">
        <v>0</v>
      </c>
    </row>
    <row r="69" spans="2:19">
      <c r="B69" s="95" t="s">
        <v>443</v>
      </c>
      <c r="C69" s="24">
        <v>0</v>
      </c>
      <c r="D69" s="24">
        <v>0</v>
      </c>
      <c r="E69" s="24">
        <v>0</v>
      </c>
      <c r="F69" s="24">
        <v>0</v>
      </c>
      <c r="G69" s="24">
        <v>0</v>
      </c>
      <c r="H69" s="24">
        <v>0</v>
      </c>
      <c r="I69" s="24">
        <v>0</v>
      </c>
      <c r="J69" s="24">
        <v>0</v>
      </c>
      <c r="K69" s="24">
        <v>2487.2906850288618</v>
      </c>
      <c r="L69" s="24">
        <v>2487.2906850288618</v>
      </c>
      <c r="M69" s="24">
        <v>2487.2906850288618</v>
      </c>
      <c r="N69" s="24">
        <v>0</v>
      </c>
      <c r="O69" s="24">
        <v>0</v>
      </c>
      <c r="P69" s="24">
        <v>0</v>
      </c>
      <c r="Q69" s="24">
        <v>0</v>
      </c>
      <c r="R69" s="24">
        <v>0</v>
      </c>
      <c r="S69" s="237">
        <v>2487.2906850288618</v>
      </c>
    </row>
    <row r="70" spans="2:19">
      <c r="B70" s="253" t="s">
        <v>140</v>
      </c>
      <c r="C70" s="254">
        <v>0</v>
      </c>
      <c r="D70" s="254">
        <v>0</v>
      </c>
      <c r="E70" s="254">
        <v>0</v>
      </c>
      <c r="F70" s="254">
        <v>0</v>
      </c>
      <c r="G70" s="254">
        <v>0</v>
      </c>
      <c r="H70" s="254">
        <v>0</v>
      </c>
      <c r="I70" s="254">
        <v>0</v>
      </c>
      <c r="J70" s="254">
        <v>0</v>
      </c>
      <c r="K70" s="254">
        <v>0</v>
      </c>
      <c r="L70" s="254">
        <v>0</v>
      </c>
      <c r="M70" s="254">
        <v>0</v>
      </c>
      <c r="N70" s="254">
        <v>0</v>
      </c>
      <c r="O70" s="254">
        <v>0</v>
      </c>
      <c r="P70" s="254">
        <v>0</v>
      </c>
      <c r="Q70" s="254">
        <v>0</v>
      </c>
      <c r="R70" s="254">
        <v>0</v>
      </c>
      <c r="S70" s="255">
        <v>0</v>
      </c>
    </row>
    <row r="71" spans="2:19" ht="17" thickBot="1">
      <c r="B71" s="101" t="s">
        <v>141</v>
      </c>
      <c r="C71" s="92">
        <v>0</v>
      </c>
      <c r="D71" s="92">
        <v>0</v>
      </c>
      <c r="E71" s="92">
        <v>0</v>
      </c>
      <c r="F71" s="92">
        <v>0</v>
      </c>
      <c r="G71" s="92">
        <v>0</v>
      </c>
      <c r="H71" s="92">
        <v>0</v>
      </c>
      <c r="I71" s="92">
        <v>0</v>
      </c>
      <c r="J71" s="92">
        <v>0</v>
      </c>
      <c r="K71" s="92">
        <v>0</v>
      </c>
      <c r="L71" s="92">
        <v>0</v>
      </c>
      <c r="M71" s="92">
        <v>0</v>
      </c>
      <c r="N71" s="92">
        <v>0</v>
      </c>
      <c r="O71" s="92">
        <v>0</v>
      </c>
      <c r="P71" s="92">
        <v>0</v>
      </c>
      <c r="Q71" s="92">
        <v>0</v>
      </c>
      <c r="R71" s="92">
        <v>0</v>
      </c>
      <c r="S71" s="238">
        <v>0</v>
      </c>
    </row>
  </sheetData>
  <mergeCells count="3">
    <mergeCell ref="B3:D3"/>
    <mergeCell ref="B5:F6"/>
    <mergeCell ref="B8:E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5276D-CEC2-3244-9343-367CBADAE22E}">
  <dimension ref="B3:CI256"/>
  <sheetViews>
    <sheetView topLeftCell="A44" zoomScale="78" zoomScaleNormal="50" workbookViewId="0">
      <selection activeCell="H60" sqref="H60"/>
    </sheetView>
  </sheetViews>
  <sheetFormatPr baseColWidth="10" defaultRowHeight="16"/>
  <cols>
    <col min="2" max="2" width="57.83203125" bestFit="1" customWidth="1"/>
    <col min="3" max="3" width="25.6640625" customWidth="1"/>
    <col min="4" max="4" width="32.6640625" bestFit="1" customWidth="1"/>
    <col min="5" max="5" width="25.5" bestFit="1" customWidth="1"/>
    <col min="6" max="6" width="24.6640625" bestFit="1" customWidth="1"/>
    <col min="7" max="7" width="24.6640625" customWidth="1"/>
    <col min="8" max="8" width="25.5" bestFit="1" customWidth="1"/>
    <col min="9" max="9" width="17.6640625" bestFit="1" customWidth="1"/>
    <col min="10" max="10" width="26.1640625" bestFit="1" customWidth="1"/>
    <col min="11" max="11" width="23.1640625" bestFit="1" customWidth="1"/>
    <col min="12" max="12" width="22.5" bestFit="1" customWidth="1"/>
    <col min="13" max="14" width="21.1640625" bestFit="1" customWidth="1"/>
    <col min="15" max="15" width="23.5" bestFit="1" customWidth="1"/>
    <col min="16" max="16" width="21.1640625" bestFit="1" customWidth="1"/>
    <col min="17" max="17" width="22.33203125" bestFit="1" customWidth="1"/>
    <col min="18" max="18" width="21.6640625" bestFit="1" customWidth="1"/>
    <col min="19" max="19" width="18" customWidth="1"/>
    <col min="20" max="20" width="20.83203125" bestFit="1" customWidth="1"/>
    <col min="21" max="21" width="65.33203125" bestFit="1" customWidth="1"/>
    <col min="22" max="22" width="22.1640625" bestFit="1" customWidth="1"/>
    <col min="23" max="23" width="18" bestFit="1" customWidth="1"/>
    <col min="24" max="24" width="57.83203125" bestFit="1" customWidth="1"/>
    <col min="25" max="25" width="25.6640625" customWidth="1"/>
    <col min="26" max="26" width="32.6640625" bestFit="1" customWidth="1"/>
    <col min="27" max="27" width="26.83203125" bestFit="1" customWidth="1"/>
    <col min="28" max="28" width="25.6640625" bestFit="1" customWidth="1"/>
    <col min="29" max="29" width="18.6640625" bestFit="1" customWidth="1"/>
    <col min="30" max="30" width="26.83203125" bestFit="1" customWidth="1"/>
    <col min="31" max="31" width="17.33203125" bestFit="1" customWidth="1"/>
    <col min="32" max="32" width="20.33203125" bestFit="1" customWidth="1"/>
    <col min="33" max="33" width="24.33203125" bestFit="1" customWidth="1"/>
    <col min="34" max="34" width="23.33203125" bestFit="1" customWidth="1"/>
    <col min="35" max="35" width="22.33203125" bestFit="1" customWidth="1"/>
    <col min="36" max="36" width="18.6640625" bestFit="1" customWidth="1"/>
    <col min="37" max="37" width="23.5" bestFit="1" customWidth="1"/>
    <col min="38" max="38" width="16.33203125" bestFit="1" customWidth="1"/>
    <col min="39" max="39" width="23.5" bestFit="1" customWidth="1"/>
    <col min="40" max="40" width="22.83203125" bestFit="1" customWidth="1"/>
    <col min="41" max="41" width="18.6640625" bestFit="1" customWidth="1"/>
    <col min="42" max="42" width="21.6640625" bestFit="1" customWidth="1"/>
    <col min="43" max="43" width="65.33203125" bestFit="1" customWidth="1"/>
    <col min="44" max="44" width="16.83203125" customWidth="1"/>
    <col min="46" max="46" width="57.83203125" bestFit="1" customWidth="1"/>
    <col min="47" max="47" width="24.83203125" bestFit="1" customWidth="1"/>
    <col min="48" max="48" width="32.1640625" bestFit="1" customWidth="1"/>
    <col min="49" max="49" width="25.5" bestFit="1" customWidth="1"/>
    <col min="50" max="50" width="24.5" bestFit="1" customWidth="1"/>
    <col min="51" max="51" width="18.1640625" bestFit="1" customWidth="1"/>
    <col min="52" max="52" width="26.6640625" bestFit="1" customWidth="1"/>
    <col min="53" max="53" width="16.6640625" bestFit="1" customWidth="1"/>
    <col min="54" max="54" width="19.33203125" bestFit="1" customWidth="1"/>
    <col min="55" max="55" width="23.5" bestFit="1" customWidth="1"/>
    <col min="56" max="56" width="22.6640625" bestFit="1" customWidth="1"/>
    <col min="57" max="57" width="21.5" bestFit="1" customWidth="1"/>
    <col min="58" max="58" width="18.1640625" bestFit="1" customWidth="1"/>
    <col min="59" max="59" width="23.5" bestFit="1" customWidth="1"/>
    <col min="60" max="60" width="16.33203125" bestFit="1" customWidth="1"/>
    <col min="61" max="61" width="22.5" bestFit="1" customWidth="1"/>
    <col min="62" max="62" width="22.1640625" bestFit="1" customWidth="1"/>
    <col min="63" max="63" width="18.1640625" bestFit="1" customWidth="1"/>
    <col min="64" max="64" width="21" bestFit="1" customWidth="1"/>
    <col min="65" max="65" width="64.83203125" bestFit="1" customWidth="1"/>
    <col min="68" max="68" width="57.83203125" bestFit="1" customWidth="1"/>
    <col min="69" max="69" width="24.83203125" bestFit="1" customWidth="1"/>
    <col min="70" max="70" width="31.83203125" bestFit="1" customWidth="1"/>
    <col min="71" max="71" width="25.5" bestFit="1" customWidth="1"/>
    <col min="72" max="72" width="24.83203125" bestFit="1" customWidth="1"/>
    <col min="73" max="73" width="18" bestFit="1" customWidth="1"/>
    <col min="74" max="74" width="26.6640625" bestFit="1" customWidth="1"/>
    <col min="75" max="75" width="18.6640625" bestFit="1" customWidth="1"/>
    <col min="76" max="76" width="19.5" bestFit="1" customWidth="1"/>
    <col min="77" max="77" width="23.6640625" bestFit="1" customWidth="1"/>
    <col min="78" max="78" width="22.83203125" bestFit="1" customWidth="1"/>
    <col min="79" max="79" width="21.83203125" bestFit="1" customWidth="1"/>
    <col min="80" max="80" width="18" bestFit="1" customWidth="1"/>
    <col min="81" max="81" width="23.5" bestFit="1" customWidth="1"/>
    <col min="82" max="82" width="15.6640625" bestFit="1" customWidth="1"/>
    <col min="83" max="83" width="22.5" bestFit="1" customWidth="1"/>
    <col min="84" max="84" width="22.1640625" bestFit="1" customWidth="1"/>
    <col min="85" max="85" width="33.5" bestFit="1" customWidth="1"/>
    <col min="86" max="86" width="21" bestFit="1" customWidth="1"/>
    <col min="87" max="87" width="51.33203125" bestFit="1" customWidth="1"/>
  </cols>
  <sheetData>
    <row r="3" spans="2:67" ht="37">
      <c r="B3" s="707" t="s">
        <v>631</v>
      </c>
      <c r="C3" s="707"/>
      <c r="D3" s="707"/>
      <c r="E3" s="232"/>
      <c r="F3" s="233"/>
      <c r="G3" s="233"/>
      <c r="H3" s="233"/>
      <c r="I3" s="234"/>
      <c r="J3" s="234"/>
      <c r="K3" s="234"/>
      <c r="W3" s="27"/>
      <c r="X3" s="704"/>
      <c r="Y3" s="704"/>
      <c r="Z3" s="704"/>
      <c r="AA3" s="293"/>
      <c r="AB3" s="233"/>
      <c r="AC3" s="233"/>
      <c r="AD3" s="233"/>
      <c r="AE3" s="234"/>
      <c r="AF3" s="234"/>
      <c r="AG3" s="234"/>
      <c r="AS3" s="27"/>
      <c r="AT3" s="465"/>
      <c r="AU3" s="465"/>
      <c r="AV3" s="465"/>
      <c r="AW3" s="293"/>
      <c r="AX3" s="233"/>
      <c r="AY3" s="233"/>
      <c r="AZ3" s="233"/>
      <c r="BA3" s="234"/>
      <c r="BB3" s="234"/>
      <c r="BC3" s="234"/>
      <c r="BO3" s="27"/>
    </row>
    <row r="4" spans="2:67">
      <c r="B4" s="69"/>
      <c r="C4" s="69"/>
      <c r="D4" s="69"/>
      <c r="E4" s="69"/>
      <c r="F4" s="234"/>
      <c r="G4" s="234"/>
      <c r="H4" s="234"/>
      <c r="I4" s="234"/>
      <c r="J4" s="234"/>
      <c r="K4" s="234"/>
      <c r="W4" s="27"/>
      <c r="X4" s="9"/>
      <c r="Y4" s="9"/>
      <c r="Z4" s="9"/>
      <c r="AA4" s="9"/>
      <c r="AB4" s="234"/>
      <c r="AC4" s="234"/>
      <c r="AD4" s="234"/>
      <c r="AE4" s="234"/>
      <c r="AF4" s="234"/>
      <c r="AG4" s="234"/>
      <c r="AS4" s="27"/>
      <c r="AT4" s="9"/>
      <c r="AU4" s="9"/>
      <c r="AV4" s="9"/>
      <c r="AW4" s="9"/>
      <c r="AX4" s="234"/>
      <c r="AY4" s="234"/>
      <c r="AZ4" s="234"/>
      <c r="BA4" s="234"/>
      <c r="BB4" s="234"/>
      <c r="BC4" s="234"/>
      <c r="BO4" s="27"/>
    </row>
    <row r="5" spans="2:67">
      <c r="B5" s="688" t="s">
        <v>799</v>
      </c>
      <c r="C5" s="688"/>
      <c r="D5" s="688"/>
      <c r="E5" s="688"/>
      <c r="F5" s="235"/>
      <c r="G5" s="235"/>
      <c r="H5" s="235"/>
      <c r="I5" s="235"/>
      <c r="J5" s="235"/>
      <c r="K5" s="235"/>
      <c r="W5" s="27"/>
      <c r="X5" s="705"/>
      <c r="Y5" s="705"/>
      <c r="Z5" s="705"/>
      <c r="AA5" s="705"/>
      <c r="AB5" s="235"/>
      <c r="AC5" s="235"/>
      <c r="AD5" s="235"/>
      <c r="AE5" s="235"/>
      <c r="AF5" s="235"/>
      <c r="AG5" s="235"/>
      <c r="AS5" s="27"/>
      <c r="AT5" s="466"/>
      <c r="AU5" s="466"/>
      <c r="AV5" s="466"/>
      <c r="AW5" s="466"/>
      <c r="AX5" s="235"/>
      <c r="AY5" s="235"/>
      <c r="AZ5" s="235"/>
      <c r="BA5" s="235"/>
      <c r="BB5" s="235"/>
      <c r="BC5" s="235"/>
      <c r="BO5" s="27"/>
    </row>
    <row r="6" spans="2:67">
      <c r="B6" s="688"/>
      <c r="C6" s="688"/>
      <c r="D6" s="688"/>
      <c r="E6" s="688"/>
      <c r="F6" s="235"/>
      <c r="G6" s="235"/>
      <c r="H6" s="235"/>
      <c r="I6" s="235"/>
      <c r="J6" s="235"/>
      <c r="K6" s="235"/>
      <c r="W6" s="27"/>
      <c r="X6" s="496"/>
      <c r="Y6" s="496"/>
      <c r="Z6" s="496"/>
      <c r="AA6" s="496"/>
      <c r="AB6" s="235"/>
      <c r="AC6" s="235"/>
      <c r="AD6" s="235"/>
      <c r="AE6" s="235"/>
      <c r="AF6" s="235"/>
      <c r="AG6" s="235"/>
      <c r="AS6" s="27"/>
      <c r="AT6" s="466"/>
      <c r="AU6" s="466"/>
      <c r="AV6" s="466"/>
      <c r="AW6" s="466"/>
      <c r="AX6" s="235"/>
      <c r="AY6" s="235"/>
      <c r="AZ6" s="235"/>
      <c r="BA6" s="235"/>
      <c r="BB6" s="235"/>
      <c r="BC6" s="235"/>
      <c r="BO6" s="27"/>
    </row>
    <row r="7" spans="2:67">
      <c r="B7" s="495"/>
      <c r="C7" s="495"/>
      <c r="D7" s="495"/>
      <c r="E7" s="495"/>
      <c r="F7" s="235"/>
      <c r="G7" s="235"/>
      <c r="H7" s="235"/>
      <c r="I7" s="235"/>
      <c r="J7" s="235"/>
      <c r="K7" s="235"/>
      <c r="W7" s="27"/>
      <c r="X7" s="496"/>
      <c r="Y7" s="496"/>
      <c r="Z7" s="496"/>
      <c r="AA7" s="496"/>
      <c r="AB7" s="235"/>
      <c r="AC7" s="235"/>
      <c r="AD7" s="235"/>
      <c r="AE7" s="235"/>
      <c r="AF7" s="235"/>
      <c r="AG7" s="235"/>
      <c r="AS7" s="27"/>
      <c r="AT7" s="466"/>
      <c r="AU7" s="466"/>
      <c r="AV7" s="466"/>
      <c r="AW7" s="466"/>
      <c r="AX7" s="235"/>
      <c r="AY7" s="235"/>
      <c r="AZ7" s="235"/>
      <c r="BA7" s="235"/>
      <c r="BB7" s="235"/>
      <c r="BC7" s="235"/>
      <c r="BO7" s="27"/>
    </row>
    <row r="8" spans="2:67">
      <c r="B8" s="692" t="s">
        <v>686</v>
      </c>
      <c r="C8" s="692"/>
      <c r="D8" s="692"/>
      <c r="E8" s="692"/>
      <c r="F8" s="235"/>
      <c r="G8" s="235"/>
      <c r="H8" s="235"/>
      <c r="I8" s="235"/>
      <c r="J8" s="235"/>
      <c r="K8" s="235"/>
      <c r="W8" s="27"/>
      <c r="X8" s="705"/>
      <c r="Y8" s="705"/>
      <c r="Z8" s="705"/>
      <c r="AA8" s="705"/>
      <c r="AB8" s="235"/>
      <c r="AC8" s="235"/>
      <c r="AD8" s="235"/>
      <c r="AE8" s="235"/>
      <c r="AF8" s="235"/>
      <c r="AG8" s="235"/>
      <c r="AS8" s="27"/>
      <c r="AT8" s="466"/>
      <c r="AU8" s="466"/>
      <c r="AV8" s="466"/>
      <c r="AW8" s="466"/>
      <c r="AX8" s="235"/>
      <c r="AY8" s="235"/>
      <c r="AZ8" s="235"/>
      <c r="BA8" s="235"/>
      <c r="BB8" s="235"/>
      <c r="BC8" s="235"/>
      <c r="BO8" s="27"/>
    </row>
    <row r="9" spans="2:67">
      <c r="B9" s="69"/>
      <c r="C9" s="69"/>
      <c r="D9" s="69"/>
      <c r="E9" s="69"/>
      <c r="F9" s="234"/>
      <c r="G9" s="234"/>
      <c r="H9" s="234"/>
      <c r="I9" s="234"/>
      <c r="J9" s="234"/>
      <c r="K9" s="234"/>
      <c r="W9" s="27"/>
      <c r="X9" s="9"/>
      <c r="Y9" s="9"/>
      <c r="Z9" s="9"/>
      <c r="AA9" s="9"/>
      <c r="AB9" s="234"/>
      <c r="AC9" s="234"/>
      <c r="AD9" s="234"/>
      <c r="AE9" s="234"/>
      <c r="AF9" s="234"/>
      <c r="AG9" s="234"/>
      <c r="AS9" s="27"/>
      <c r="AT9" s="9"/>
      <c r="AU9" s="9"/>
      <c r="AV9" s="9"/>
      <c r="AW9" s="9"/>
      <c r="AX9" s="234"/>
      <c r="AY9" s="234"/>
      <c r="AZ9" s="234"/>
      <c r="BA9" s="234"/>
      <c r="BB9" s="234"/>
      <c r="BC9" s="234"/>
      <c r="BO9" s="27"/>
    </row>
    <row r="10" spans="2:67" ht="24">
      <c r="B10" s="708" t="str">
        <f>VLOOKUP('Summary Table'!C23,'Scenarios Data'!B14:AR22,1,FALSE)</f>
        <v>Future Technology, Balanced</v>
      </c>
      <c r="C10" s="708"/>
      <c r="D10" s="71"/>
      <c r="E10" s="71"/>
      <c r="F10" s="235"/>
      <c r="G10" s="234"/>
      <c r="H10" s="234"/>
      <c r="I10" s="234"/>
      <c r="J10" s="234"/>
      <c r="K10" s="234"/>
      <c r="W10" s="27"/>
      <c r="X10" s="706"/>
      <c r="Y10" s="706"/>
      <c r="Z10" s="442"/>
      <c r="AA10" s="442"/>
      <c r="AB10" s="235"/>
      <c r="AC10" s="234"/>
      <c r="AD10" s="234"/>
      <c r="AE10" s="234"/>
      <c r="AF10" s="234"/>
      <c r="AG10" s="234"/>
      <c r="AS10" s="27"/>
      <c r="AT10" s="467"/>
      <c r="AU10" s="467"/>
      <c r="AV10" s="442"/>
      <c r="AW10" s="442"/>
      <c r="AX10" s="235"/>
      <c r="AY10" s="234"/>
      <c r="AZ10" s="234"/>
      <c r="BA10" s="234"/>
      <c r="BB10" s="234"/>
      <c r="BC10" s="234"/>
      <c r="BO10" s="27"/>
    </row>
    <row r="11" spans="2:67">
      <c r="B11" s="69"/>
      <c r="C11" s="69"/>
      <c r="D11" s="69"/>
      <c r="E11" s="69"/>
      <c r="F11" s="234"/>
      <c r="G11" s="234"/>
      <c r="H11" s="234"/>
      <c r="I11" s="234"/>
      <c r="J11" s="234"/>
      <c r="K11" s="234"/>
      <c r="W11" s="27"/>
      <c r="X11" s="9"/>
      <c r="Y11" s="9"/>
      <c r="Z11" s="9"/>
      <c r="AA11" s="9"/>
      <c r="AB11" s="234"/>
      <c r="AC11" s="234"/>
      <c r="AD11" s="234"/>
      <c r="AE11" s="234"/>
      <c r="AF11" s="234"/>
      <c r="AG11" s="234"/>
      <c r="AS11" s="27"/>
      <c r="AT11" s="9"/>
      <c r="AU11" s="9"/>
      <c r="AV11" s="9"/>
      <c r="AW11" s="9"/>
      <c r="AX11" s="234"/>
      <c r="AY11" s="234"/>
      <c r="AZ11" s="234"/>
      <c r="BA11" s="234"/>
      <c r="BB11" s="234"/>
      <c r="BC11" s="234"/>
      <c r="BO11" s="27"/>
    </row>
    <row r="12" spans="2:67">
      <c r="B12" s="247" t="s">
        <v>662</v>
      </c>
      <c r="C12" s="248"/>
      <c r="D12" s="69"/>
      <c r="E12" s="69"/>
      <c r="F12" s="234"/>
      <c r="G12" s="234"/>
      <c r="H12" s="234"/>
      <c r="I12" s="234"/>
      <c r="J12" s="234"/>
      <c r="K12" s="234"/>
      <c r="W12" s="27"/>
      <c r="X12" s="148"/>
      <c r="Y12" s="9"/>
      <c r="Z12" s="9"/>
      <c r="AA12" s="9"/>
      <c r="AB12" s="234"/>
      <c r="AC12" s="234"/>
      <c r="AD12" s="234"/>
      <c r="AE12" s="234"/>
      <c r="AF12" s="234"/>
      <c r="AG12" s="234"/>
      <c r="AS12" s="27"/>
      <c r="AT12" s="148"/>
      <c r="AU12" s="9"/>
      <c r="AV12" s="9"/>
      <c r="AW12" s="9"/>
      <c r="AX12" s="234"/>
      <c r="AY12" s="234"/>
      <c r="AZ12" s="234"/>
      <c r="BA12" s="234"/>
      <c r="BB12" s="234"/>
      <c r="BC12" s="234"/>
      <c r="BO12" s="27"/>
    </row>
    <row r="13" spans="2:67">
      <c r="B13" s="247" t="s">
        <v>663</v>
      </c>
      <c r="C13" s="249"/>
      <c r="D13" s="69"/>
      <c r="E13" s="69"/>
      <c r="F13" s="234"/>
      <c r="G13" s="234"/>
      <c r="H13" s="234"/>
      <c r="I13" s="234"/>
      <c r="J13" s="234"/>
      <c r="K13" s="234"/>
      <c r="W13" s="27"/>
      <c r="X13" s="148"/>
      <c r="Y13" s="9"/>
      <c r="Z13" s="9"/>
      <c r="AA13" s="9"/>
      <c r="AB13" s="234"/>
      <c r="AC13" s="234"/>
      <c r="AD13" s="234"/>
      <c r="AE13" s="234"/>
      <c r="AF13" s="234"/>
      <c r="AG13" s="234"/>
      <c r="AS13" s="27"/>
      <c r="AT13" s="148"/>
      <c r="AU13" s="9"/>
      <c r="AV13" s="9"/>
      <c r="AW13" s="9"/>
      <c r="AX13" s="234"/>
      <c r="AY13" s="234"/>
      <c r="AZ13" s="234"/>
      <c r="BA13" s="234"/>
      <c r="BB13" s="234"/>
      <c r="BC13" s="234"/>
      <c r="BO13" s="27"/>
    </row>
    <row r="14" spans="2:67">
      <c r="B14" s="69"/>
      <c r="C14" s="69"/>
      <c r="D14" s="69"/>
      <c r="E14" s="69"/>
      <c r="F14" s="234"/>
      <c r="G14" s="234"/>
      <c r="H14" s="234"/>
      <c r="I14" s="234"/>
      <c r="J14" s="234"/>
      <c r="K14" s="234"/>
      <c r="W14" s="27"/>
      <c r="X14" s="9"/>
      <c r="Y14" s="9"/>
      <c r="Z14" s="9"/>
      <c r="AA14" s="9"/>
      <c r="AB14" s="234"/>
      <c r="AC14" s="234"/>
      <c r="AD14" s="234"/>
      <c r="AE14" s="234"/>
      <c r="AF14" s="234"/>
      <c r="AG14" s="234"/>
      <c r="AS14" s="27"/>
      <c r="AT14" s="9"/>
      <c r="AU14" s="9"/>
      <c r="AV14" s="9"/>
      <c r="AW14" s="9"/>
      <c r="AX14" s="234"/>
      <c r="AY14" s="234"/>
      <c r="AZ14" s="234"/>
      <c r="BA14" s="234"/>
      <c r="BB14" s="234"/>
      <c r="BC14" s="234"/>
      <c r="BO14" s="27"/>
    </row>
    <row r="15" spans="2:67">
      <c r="W15" s="27"/>
      <c r="AS15" s="27"/>
      <c r="BO15" s="27"/>
    </row>
    <row r="16" spans="2:67">
      <c r="W16" s="27"/>
      <c r="AS16" s="27"/>
      <c r="BO16" s="27"/>
    </row>
    <row r="17" spans="2:87" ht="37">
      <c r="B17" s="293" t="s">
        <v>664</v>
      </c>
      <c r="C17" s="292"/>
      <c r="W17" s="27"/>
      <c r="X17" s="293" t="s">
        <v>737</v>
      </c>
      <c r="Y17" s="292"/>
      <c r="AS17" s="27"/>
      <c r="AT17" s="701" t="s">
        <v>1059</v>
      </c>
      <c r="AU17" s="701"/>
      <c r="BO17" s="27"/>
      <c r="BP17" s="701" t="s">
        <v>761</v>
      </c>
      <c r="BQ17" s="701"/>
    </row>
    <row r="18" spans="2:87">
      <c r="W18" s="27"/>
      <c r="AS18" s="27"/>
      <c r="BO18" s="27"/>
    </row>
    <row r="19" spans="2:87">
      <c r="W19" s="27"/>
      <c r="AS19" s="27"/>
      <c r="BO19" s="27"/>
    </row>
    <row r="20" spans="2:87" ht="26">
      <c r="B20" s="678" t="s">
        <v>632</v>
      </c>
      <c r="C20" s="678"/>
      <c r="W20" s="27"/>
      <c r="X20" s="678" t="s">
        <v>632</v>
      </c>
      <c r="Y20" s="678"/>
      <c r="AS20" s="27"/>
      <c r="AT20" s="678" t="s">
        <v>632</v>
      </c>
      <c r="AU20" s="678"/>
      <c r="BO20" s="27"/>
      <c r="BP20" s="678" t="s">
        <v>632</v>
      </c>
      <c r="BQ20" s="678"/>
    </row>
    <row r="21" spans="2:87" ht="17" thickBot="1">
      <c r="W21" s="27"/>
      <c r="AS21" s="27"/>
      <c r="BO21" s="27"/>
    </row>
    <row r="22" spans="2:87" ht="17" thickBot="1">
      <c r="B22" s="160"/>
      <c r="C22" s="106" t="s">
        <v>21</v>
      </c>
      <c r="D22" s="106" t="s">
        <v>15</v>
      </c>
      <c r="E22" s="106" t="s">
        <v>40</v>
      </c>
      <c r="F22" s="106" t="s">
        <v>20</v>
      </c>
      <c r="G22" s="106" t="s">
        <v>19</v>
      </c>
      <c r="H22" s="106" t="s">
        <v>22</v>
      </c>
      <c r="I22" s="106" t="s">
        <v>23</v>
      </c>
      <c r="J22" s="106" t="s">
        <v>24</v>
      </c>
      <c r="K22" s="106" t="s">
        <v>25</v>
      </c>
      <c r="L22" s="106" t="s">
        <v>16</v>
      </c>
      <c r="M22" s="106" t="s">
        <v>17</v>
      </c>
      <c r="N22" s="106" t="s">
        <v>18</v>
      </c>
      <c r="O22" s="106"/>
      <c r="P22" s="106" t="s">
        <v>130</v>
      </c>
      <c r="Q22" s="106" t="s">
        <v>48</v>
      </c>
      <c r="R22" s="106" t="s">
        <v>49</v>
      </c>
      <c r="S22" s="106" t="s">
        <v>26</v>
      </c>
      <c r="T22" s="106" t="s">
        <v>50</v>
      </c>
      <c r="U22" s="107" t="s">
        <v>42</v>
      </c>
      <c r="W22" s="27"/>
      <c r="X22" s="160"/>
      <c r="Y22" s="106" t="s">
        <v>21</v>
      </c>
      <c r="Z22" s="106" t="s">
        <v>15</v>
      </c>
      <c r="AA22" s="106" t="s">
        <v>40</v>
      </c>
      <c r="AB22" s="106" t="s">
        <v>20</v>
      </c>
      <c r="AC22" s="106" t="s">
        <v>19</v>
      </c>
      <c r="AD22" s="106" t="s">
        <v>22</v>
      </c>
      <c r="AE22" s="106" t="s">
        <v>23</v>
      </c>
      <c r="AF22" s="106" t="s">
        <v>24</v>
      </c>
      <c r="AG22" s="106" t="s">
        <v>25</v>
      </c>
      <c r="AH22" s="106" t="s">
        <v>16</v>
      </c>
      <c r="AI22" s="106" t="s">
        <v>17</v>
      </c>
      <c r="AJ22" s="106" t="s">
        <v>18</v>
      </c>
      <c r="AK22" s="106"/>
      <c r="AL22" s="106" t="s">
        <v>130</v>
      </c>
      <c r="AM22" s="106" t="s">
        <v>48</v>
      </c>
      <c r="AN22" s="106" t="s">
        <v>49</v>
      </c>
      <c r="AO22" s="106" t="s">
        <v>26</v>
      </c>
      <c r="AP22" s="106" t="s">
        <v>50</v>
      </c>
      <c r="AQ22" s="107" t="s">
        <v>42</v>
      </c>
      <c r="AS22" s="27"/>
      <c r="AT22" s="160"/>
      <c r="AU22" s="106" t="s">
        <v>21</v>
      </c>
      <c r="AV22" s="106" t="s">
        <v>15</v>
      </c>
      <c r="AW22" s="106" t="s">
        <v>40</v>
      </c>
      <c r="AX22" s="106" t="s">
        <v>20</v>
      </c>
      <c r="AY22" s="106" t="s">
        <v>19</v>
      </c>
      <c r="AZ22" s="106" t="s">
        <v>22</v>
      </c>
      <c r="BA22" s="106" t="s">
        <v>23</v>
      </c>
      <c r="BB22" s="106" t="s">
        <v>24</v>
      </c>
      <c r="BC22" s="106" t="s">
        <v>25</v>
      </c>
      <c r="BD22" s="106" t="s">
        <v>16</v>
      </c>
      <c r="BE22" s="106" t="s">
        <v>17</v>
      </c>
      <c r="BF22" s="106" t="s">
        <v>18</v>
      </c>
      <c r="BG22" s="106"/>
      <c r="BH22" s="106" t="s">
        <v>130</v>
      </c>
      <c r="BI22" s="106" t="s">
        <v>48</v>
      </c>
      <c r="BJ22" s="106" t="s">
        <v>49</v>
      </c>
      <c r="BK22" s="106" t="s">
        <v>26</v>
      </c>
      <c r="BL22" s="106" t="s">
        <v>50</v>
      </c>
      <c r="BM22" s="107" t="s">
        <v>42</v>
      </c>
      <c r="BO22" s="27"/>
      <c r="BP22" s="114"/>
      <c r="BQ22" s="104" t="s">
        <v>21</v>
      </c>
      <c r="BR22" s="104" t="s">
        <v>15</v>
      </c>
      <c r="BS22" s="104" t="s">
        <v>40</v>
      </c>
      <c r="BT22" s="104" t="s">
        <v>20</v>
      </c>
      <c r="BU22" s="104" t="s">
        <v>19</v>
      </c>
      <c r="BV22" s="104" t="s">
        <v>24</v>
      </c>
      <c r="BW22" s="104" t="s">
        <v>25</v>
      </c>
      <c r="BX22" s="104" t="s">
        <v>16</v>
      </c>
      <c r="BY22" s="104" t="s">
        <v>17</v>
      </c>
      <c r="BZ22" s="104" t="s">
        <v>18</v>
      </c>
      <c r="CA22" s="104"/>
      <c r="CB22" s="104" t="s">
        <v>130</v>
      </c>
      <c r="CC22" s="104" t="s">
        <v>48</v>
      </c>
      <c r="CD22" s="104" t="s">
        <v>49</v>
      </c>
      <c r="CE22" s="104" t="s">
        <v>26</v>
      </c>
      <c r="CF22" s="104" t="s">
        <v>50</v>
      </c>
      <c r="CG22" s="105" t="s">
        <v>42</v>
      </c>
    </row>
    <row r="23" spans="2:87">
      <c r="B23" s="111" t="s">
        <v>0</v>
      </c>
      <c r="C23" s="161" t="s">
        <v>128</v>
      </c>
      <c r="D23" s="32">
        <v>4.24</v>
      </c>
      <c r="E23" s="131">
        <f>'Design Calculations'!E251</f>
        <v>22147.020772078267</v>
      </c>
      <c r="F23" s="161" t="s">
        <v>41</v>
      </c>
      <c r="G23" s="162">
        <f>'Design Calculations'!C232</f>
        <v>20617.374720361662</v>
      </c>
      <c r="H23" s="32">
        <f t="shared" ref="H23:H51" si="0">IF(ISNUMBER(F23), ROUNDUP(G23/F23,0),1)</f>
        <v>1</v>
      </c>
      <c r="I23" s="32">
        <v>2.2200000000000002</v>
      </c>
      <c r="J23" s="32">
        <f t="shared" ref="J23:J51" si="1">H23*I23</f>
        <v>2.2200000000000002</v>
      </c>
      <c r="K23" s="32">
        <v>1</v>
      </c>
      <c r="L23" s="32">
        <v>2020</v>
      </c>
      <c r="M23" s="32">
        <f>VLOOKUP(L23,$Q$154:$R$175,2,FALSE)</f>
        <v>607.5</v>
      </c>
      <c r="N23" s="32">
        <v>607.5</v>
      </c>
      <c r="O23" s="32"/>
      <c r="P23" s="32" t="s">
        <v>132</v>
      </c>
      <c r="Q23" s="163">
        <f>(G23/D23)^K23*H23*E23*(N23/M23)/'Constants &amp; Conversions'!D29+'Design Calculations'!C231*82/'Constants &amp; Conversions'!D29</f>
        <v>128.82465488968464</v>
      </c>
      <c r="R23" s="163">
        <f>IF(P23="YES",Q23,0.05*Q23+Q23)</f>
        <v>135.26588763416888</v>
      </c>
      <c r="S23" s="32">
        <v>1.67</v>
      </c>
      <c r="T23" s="164">
        <f t="shared" ref="T23:T24" si="2">S23*R23</f>
        <v>225.894032349062</v>
      </c>
      <c r="U23" s="33" t="s">
        <v>1043</v>
      </c>
      <c r="W23" s="27"/>
      <c r="X23" s="111" t="s">
        <v>0</v>
      </c>
      <c r="Y23" s="161" t="s">
        <v>128</v>
      </c>
      <c r="Z23" s="32">
        <v>4.24</v>
      </c>
      <c r="AA23" s="131">
        <f>'Design Calculations'!E251</f>
        <v>22147.020772078267</v>
      </c>
      <c r="AB23" s="161" t="s">
        <v>41</v>
      </c>
      <c r="AC23" s="162">
        <f>'Design Calculations'!C232</f>
        <v>20617.374720361662</v>
      </c>
      <c r="AD23" s="32">
        <f t="shared" ref="AD23:AD27" si="3">IF(ISNUMBER(AB23), ROUNDUP(AC23/AB23,0),1)</f>
        <v>1</v>
      </c>
      <c r="AE23" s="32">
        <v>2.2200000000000002</v>
      </c>
      <c r="AF23" s="32">
        <f t="shared" ref="AF23:AF27" si="4">AD23*AE23</f>
        <v>2.2200000000000002</v>
      </c>
      <c r="AG23" s="32">
        <v>1</v>
      </c>
      <c r="AH23" s="32">
        <v>2020</v>
      </c>
      <c r="AI23" s="32">
        <f t="shared" ref="AI23:AI29" si="5">VLOOKUP(AH23,$Q$154:$R$175,2,FALSE)</f>
        <v>607.5</v>
      </c>
      <c r="AJ23" s="32">
        <v>607.5</v>
      </c>
      <c r="AK23" s="32"/>
      <c r="AL23" s="32" t="s">
        <v>132</v>
      </c>
      <c r="AM23" s="163">
        <f>(AC23/Z23)^AG23*AD23*AA23*(AJ23/AI23)/'Constants &amp; Conversions'!D29+'Design Calculations'!C231*82/'Constants &amp; Conversions'!D29</f>
        <v>128.82465488968464</v>
      </c>
      <c r="AN23" s="163">
        <f>IF(AL23="YES",AM23,0.05*AM23+AM23)</f>
        <v>135.26588763416888</v>
      </c>
      <c r="AO23" s="32">
        <v>1.67</v>
      </c>
      <c r="AP23" s="164">
        <f t="shared" ref="AP23:AP24" si="6">AO23*AN23</f>
        <v>225.894032349062</v>
      </c>
      <c r="AQ23" s="33" t="s">
        <v>1043</v>
      </c>
      <c r="AS23" s="27"/>
      <c r="AT23" s="555" t="s">
        <v>3</v>
      </c>
      <c r="AU23" s="556" t="s">
        <v>45</v>
      </c>
      <c r="AV23" s="557">
        <f>VLOOKUP('Summary Table'!C23,'Scenarios Data'!B14:AR22,19,FALSE)</f>
        <v>2615.8200000000002</v>
      </c>
      <c r="AW23" s="557">
        <f>VLOOKUP('Summary Table'!C23,'Scenarios Data'!B14:AR22,20,FALSE)</f>
        <v>140700</v>
      </c>
      <c r="AX23" s="556" t="s">
        <v>41</v>
      </c>
      <c r="AY23" s="558">
        <f>VLOOKUP('Summary Table'!C23,'Scenarios Data'!B14:AR22,19,FALSE)*('Summary Table'!H25/'Summary Table'!C111)</f>
        <v>2615.8200000000002</v>
      </c>
      <c r="AZ23" s="559">
        <f t="shared" ref="AZ23:AZ45" si="7">IF(ISNUMBER(AX23), ROUNDUP(AY23/AX23,0),1)</f>
        <v>1</v>
      </c>
      <c r="BA23" s="559">
        <v>0</v>
      </c>
      <c r="BB23" s="559">
        <f t="shared" ref="BB23:BB45" si="8">AZ23*BA23</f>
        <v>0</v>
      </c>
      <c r="BC23" s="559">
        <v>0.52</v>
      </c>
      <c r="BD23" s="559">
        <v>2020</v>
      </c>
      <c r="BE23" s="559">
        <f t="shared" ref="BE23:BE45" si="9">VLOOKUP(BD23,$Q$154:$R$175,2,FALSE)</f>
        <v>607.5</v>
      </c>
      <c r="BF23" s="559">
        <v>607.5</v>
      </c>
      <c r="BG23" s="559"/>
      <c r="BH23" s="559" t="s">
        <v>132</v>
      </c>
      <c r="BI23" s="560">
        <f>((AY23/AZ23)/AV23)^BC23*AZ23*AW23*(BF23/BE23)/'Constants &amp; Conversions'!$D$29</f>
        <v>0.14069999999999999</v>
      </c>
      <c r="BJ23" s="560">
        <f t="shared" ref="BJ23:BJ45" si="10">IF(BH23="YES",BI23,0.05*BI23+BI23)</f>
        <v>0.14773500000000001</v>
      </c>
      <c r="BK23" s="559">
        <v>4.3</v>
      </c>
      <c r="BL23" s="561">
        <f t="shared" ref="BL23:BL45" si="11">BK23*BJ23</f>
        <v>0.63526050000000001</v>
      </c>
      <c r="BM23" s="562" t="s">
        <v>414</v>
      </c>
      <c r="BO23" s="27"/>
      <c r="BP23" s="315" t="s">
        <v>762</v>
      </c>
      <c r="BQ23" s="486" t="s">
        <v>774</v>
      </c>
      <c r="BR23" s="487">
        <v>2000</v>
      </c>
      <c r="BS23" s="487">
        <v>48831776</v>
      </c>
      <c r="BT23" s="486" t="s">
        <v>41</v>
      </c>
      <c r="BU23" s="398">
        <f>'Design Calculations'!Q74*'Constants &amp; Conversions'!D21/'Constants &amp; Conversions'!D28</f>
        <v>296.976</v>
      </c>
      <c r="BV23" s="488">
        <f>0.1+0.1+0.16+0.5+0.25+0.25</f>
        <v>1.3599999999999999</v>
      </c>
      <c r="BW23" s="488">
        <v>0.67</v>
      </c>
      <c r="BX23" s="488">
        <v>2011</v>
      </c>
      <c r="BY23" s="5">
        <f t="shared" ref="BY23:BY28" si="12">VLOOKUP(BX23,$Q$154:$R$175,2,FALSE)</f>
        <v>585.70000000000005</v>
      </c>
      <c r="BZ23" s="488">
        <v>607.5</v>
      </c>
      <c r="CA23" s="488"/>
      <c r="CB23" s="488" t="s">
        <v>132</v>
      </c>
      <c r="CC23" s="489">
        <f>((BU23/BR23)^BW23*BS23*(BZ23/BY23)/'Constants &amp; Conversions'!$D$29)</f>
        <v>14.112592051078606</v>
      </c>
      <c r="CD23" s="489">
        <f t="shared" ref="CD23:CD28" si="13">IF(CB23="YES",CC23,0.05*CC23+CC23)</f>
        <v>14.818221653632536</v>
      </c>
      <c r="CE23" s="488">
        <v>4.3</v>
      </c>
      <c r="CF23" s="490">
        <f t="shared" ref="CF23:CF26" si="14">CE23*CD23</f>
        <v>63.718353110619901</v>
      </c>
      <c r="CG23" s="311" t="s">
        <v>776</v>
      </c>
    </row>
    <row r="24" spans="2:87">
      <c r="B24" s="56" t="s">
        <v>1</v>
      </c>
      <c r="C24" s="117" t="s">
        <v>128</v>
      </c>
      <c r="D24" s="54">
        <v>4.24</v>
      </c>
      <c r="E24" s="118">
        <f>'Design Calculations'!K251</f>
        <v>10139.340772078265</v>
      </c>
      <c r="F24" s="117" t="s">
        <v>41</v>
      </c>
      <c r="G24" s="119">
        <f>'Design Calculations'!I232</f>
        <v>27489.832960482217</v>
      </c>
      <c r="H24" s="54">
        <f t="shared" si="0"/>
        <v>1</v>
      </c>
      <c r="I24" s="54">
        <v>2.2200000000000002</v>
      </c>
      <c r="J24" s="54">
        <f t="shared" si="1"/>
        <v>2.2200000000000002</v>
      </c>
      <c r="K24" s="54">
        <v>1</v>
      </c>
      <c r="L24" s="54">
        <v>2020</v>
      </c>
      <c r="M24" s="54">
        <f t="shared" ref="M24:M51" si="15">VLOOKUP(L24,$Q$154:$R$175,2,FALSE)</f>
        <v>607.5</v>
      </c>
      <c r="N24" s="54">
        <v>607.5</v>
      </c>
      <c r="O24" s="54"/>
      <c r="P24" s="54" t="s">
        <v>132</v>
      </c>
      <c r="Q24" s="120">
        <f>(G24/D24)^K24*H24*E24*(N24/M24)/'Constants &amp; Conversions'!D29+'Design Calculations'!I231*82/'Constants &amp; Conversions'!D29</f>
        <v>93.914999575493866</v>
      </c>
      <c r="R24" s="120">
        <f t="shared" ref="R24:R51" si="16">IF(P24="YES",Q24,0.05*Q24+Q24)</f>
        <v>98.610749554268565</v>
      </c>
      <c r="S24" s="54">
        <v>1.67</v>
      </c>
      <c r="T24" s="158">
        <f t="shared" si="2"/>
        <v>164.67995175562851</v>
      </c>
      <c r="U24" s="55" t="s">
        <v>1043</v>
      </c>
      <c r="W24" s="27"/>
      <c r="X24" s="56" t="s">
        <v>1</v>
      </c>
      <c r="Y24" s="117" t="s">
        <v>128</v>
      </c>
      <c r="Z24" s="54">
        <v>4.24</v>
      </c>
      <c r="AA24" s="118">
        <f>'Design Calculations'!K251</f>
        <v>10139.340772078265</v>
      </c>
      <c r="AB24" s="117" t="s">
        <v>41</v>
      </c>
      <c r="AC24" s="119">
        <f>'Design Calculations'!I232</f>
        <v>27489.832960482217</v>
      </c>
      <c r="AD24" s="54">
        <f t="shared" si="3"/>
        <v>1</v>
      </c>
      <c r="AE24" s="54">
        <v>2.2200000000000002</v>
      </c>
      <c r="AF24" s="54">
        <f t="shared" si="4"/>
        <v>2.2200000000000002</v>
      </c>
      <c r="AG24" s="54">
        <v>1</v>
      </c>
      <c r="AH24" s="54">
        <v>2020</v>
      </c>
      <c r="AI24" s="54">
        <f t="shared" si="5"/>
        <v>607.5</v>
      </c>
      <c r="AJ24" s="54">
        <v>607.5</v>
      </c>
      <c r="AK24" s="54"/>
      <c r="AL24" s="54" t="s">
        <v>132</v>
      </c>
      <c r="AM24" s="120">
        <f>(AC24/Z24)^AG24*AD24*AA24*(AJ24/AI24)/'Constants &amp; Conversions'!D29+'Design Calculations'!I231*82/'Constants &amp; Conversions'!D29</f>
        <v>93.914999575493866</v>
      </c>
      <c r="AN24" s="120">
        <f t="shared" ref="AN24:AN27" si="17">IF(AL24="YES",AM24,0.05*AM24+AM24)</f>
        <v>98.610749554268565</v>
      </c>
      <c r="AO24" s="54">
        <v>1.67</v>
      </c>
      <c r="AP24" s="158">
        <f t="shared" si="6"/>
        <v>164.67995175562851</v>
      </c>
      <c r="AQ24" s="55" t="s">
        <v>1043</v>
      </c>
      <c r="AS24" s="27"/>
      <c r="AT24" s="42" t="s">
        <v>4</v>
      </c>
      <c r="AU24" s="112" t="s">
        <v>44</v>
      </c>
      <c r="AV24" s="84">
        <f>VLOOKUP('Summary Table'!C23,'Scenarios Data'!B14:AR22,22,FALSE)</f>
        <v>7877.7296016979653</v>
      </c>
      <c r="AW24" s="84">
        <f>VLOOKUP('Summary Table'!C23,'Scenarios Data'!B14:AR22,23,FALSE)</f>
        <v>1151491.2965567312</v>
      </c>
      <c r="AX24" s="112" t="s">
        <v>41</v>
      </c>
      <c r="AY24" s="6">
        <f>VLOOKUP('Summary Table'!C23,'Scenarios Data'!B14:AR22,22,FALSE)*('Summary Table'!H25/'Summary Table'!C111)</f>
        <v>7877.7296016979653</v>
      </c>
      <c r="AZ24" s="5">
        <f t="shared" si="7"/>
        <v>1</v>
      </c>
      <c r="BA24" s="5">
        <v>0.2</v>
      </c>
      <c r="BB24" s="5">
        <f t="shared" si="8"/>
        <v>0.2</v>
      </c>
      <c r="BC24" s="5">
        <v>0.4</v>
      </c>
      <c r="BD24" s="5">
        <v>2020</v>
      </c>
      <c r="BE24" s="5">
        <f t="shared" si="9"/>
        <v>607.5</v>
      </c>
      <c r="BF24" s="5">
        <v>607.5</v>
      </c>
      <c r="BG24" s="5"/>
      <c r="BH24" s="5" t="s">
        <v>132</v>
      </c>
      <c r="BI24" s="7">
        <f>((AY24/AZ24)/AV24)^BC24*AZ24*AW24*(BF24/BE24)/'Constants &amp; Conversions'!$D$29</f>
        <v>1.1514912965567312</v>
      </c>
      <c r="BJ24" s="7">
        <f t="shared" si="10"/>
        <v>1.2090658613845677</v>
      </c>
      <c r="BK24" s="5">
        <v>4.3</v>
      </c>
      <c r="BL24" s="159">
        <f t="shared" si="11"/>
        <v>5.1989832039536408</v>
      </c>
      <c r="BM24" s="28" t="s">
        <v>414</v>
      </c>
      <c r="BO24" s="27"/>
      <c r="BP24" s="56" t="s">
        <v>763</v>
      </c>
      <c r="BQ24" s="117" t="s">
        <v>774</v>
      </c>
      <c r="BR24" s="81">
        <v>2000</v>
      </c>
      <c r="BS24" s="81">
        <v>14791667</v>
      </c>
      <c r="BT24" s="117" t="s">
        <v>41</v>
      </c>
      <c r="BU24" s="119">
        <f>'Design Calculations'!Q74*'Constants &amp; Conversions'!D21/'Constants &amp; Conversions'!D28</f>
        <v>296.976</v>
      </c>
      <c r="BV24" s="54">
        <f>0.1+0.5+0.1+0.5</f>
        <v>1.2</v>
      </c>
      <c r="BW24" s="54">
        <v>0.67</v>
      </c>
      <c r="BX24" s="54">
        <v>2011</v>
      </c>
      <c r="BY24" s="54">
        <f t="shared" si="12"/>
        <v>585.70000000000005</v>
      </c>
      <c r="BZ24" s="54">
        <v>607.5</v>
      </c>
      <c r="CA24" s="54"/>
      <c r="CB24" s="54" t="s">
        <v>132</v>
      </c>
      <c r="CC24" s="120">
        <f>((BU24/BR24)^BW24*BS24*(BZ24/BY24)/'Constants &amp; Conversions'!$D$29)</f>
        <v>4.2748550068382061</v>
      </c>
      <c r="CD24" s="120">
        <f t="shared" si="13"/>
        <v>4.4885977571801163</v>
      </c>
      <c r="CE24" s="54">
        <v>4.3</v>
      </c>
      <c r="CF24" s="158">
        <f t="shared" si="14"/>
        <v>19.300970355874501</v>
      </c>
      <c r="CG24" s="55" t="s">
        <v>776</v>
      </c>
    </row>
    <row r="25" spans="2:87">
      <c r="B25" s="42" t="s">
        <v>2</v>
      </c>
      <c r="C25" s="112" t="s">
        <v>39</v>
      </c>
      <c r="D25" s="5">
        <v>4400</v>
      </c>
      <c r="E25" s="5">
        <f>8880000*'Constants &amp; Conversions'!D30</f>
        <v>9856800</v>
      </c>
      <c r="F25" s="112" t="s">
        <v>41</v>
      </c>
      <c r="G25" s="6">
        <f>VLOOKUP('Summary Table'!C23,'Scenarios Data'!B14:AR22,13,FALSE)*('Summary Table'!H25/'Summary Table'!C111)</f>
        <v>3598.2060098382531</v>
      </c>
      <c r="H25" s="5">
        <f t="shared" si="0"/>
        <v>1</v>
      </c>
      <c r="I25" s="5">
        <v>1</v>
      </c>
      <c r="J25" s="5">
        <f t="shared" si="1"/>
        <v>1</v>
      </c>
      <c r="K25" s="5">
        <v>0.65</v>
      </c>
      <c r="L25" s="5">
        <v>2010</v>
      </c>
      <c r="M25" s="5">
        <f t="shared" si="15"/>
        <v>550.79999999999995</v>
      </c>
      <c r="N25" s="5">
        <v>607.5</v>
      </c>
      <c r="O25" s="5"/>
      <c r="P25" s="5" t="s">
        <v>132</v>
      </c>
      <c r="Q25" s="7">
        <f>((G25/H25)/D25)^K25*H25*E25*(N25/M25)/'Constants &amp; Conversions'!$D$29</f>
        <v>9.5389368028993626</v>
      </c>
      <c r="R25" s="7">
        <f t="shared" si="16"/>
        <v>10.015883643044331</v>
      </c>
      <c r="S25" s="5">
        <v>4.3</v>
      </c>
      <c r="T25" s="159">
        <f>S25*R25</f>
        <v>43.06829966509062</v>
      </c>
      <c r="U25" s="28" t="s">
        <v>1042</v>
      </c>
      <c r="W25" s="27"/>
      <c r="X25" s="42" t="s">
        <v>2</v>
      </c>
      <c r="Y25" s="112" t="s">
        <v>39</v>
      </c>
      <c r="Z25" s="5">
        <v>4400</v>
      </c>
      <c r="AA25" s="5">
        <f>8880000*'Constants &amp; Conversions'!D30</f>
        <v>9856800</v>
      </c>
      <c r="AB25" s="112" t="s">
        <v>41</v>
      </c>
      <c r="AC25" s="6">
        <f>VLOOKUP('Summary Table'!C23,'Scenarios Data'!B29:U37,2,FALSE)*('Summary Table'!H25/'Summary Table'!C111)</f>
        <v>1643.8412639560383</v>
      </c>
      <c r="AD25" s="5">
        <f t="shared" si="3"/>
        <v>1</v>
      </c>
      <c r="AE25" s="5">
        <v>1</v>
      </c>
      <c r="AF25" s="5">
        <f t="shared" si="4"/>
        <v>1</v>
      </c>
      <c r="AG25" s="5">
        <v>0.65</v>
      </c>
      <c r="AH25" s="5">
        <v>2010</v>
      </c>
      <c r="AI25" s="5">
        <f t="shared" si="5"/>
        <v>550.79999999999995</v>
      </c>
      <c r="AJ25" s="5">
        <v>607.5</v>
      </c>
      <c r="AK25" s="5"/>
      <c r="AL25" s="5" t="s">
        <v>132</v>
      </c>
      <c r="AM25" s="7">
        <f>((AC25/AD25)/Z25)^AG25*AD25*AA25*(AJ25/AI25)/'Constants &amp; Conversions'!$D$29</f>
        <v>5.7326176465446084</v>
      </c>
      <c r="AN25" s="7">
        <f t="shared" si="17"/>
        <v>6.0192485288718389</v>
      </c>
      <c r="AO25" s="5">
        <v>4.3</v>
      </c>
      <c r="AP25" s="159">
        <f>AO25*AN25</f>
        <v>25.882768674148906</v>
      </c>
      <c r="AQ25" s="28" t="s">
        <v>1042</v>
      </c>
      <c r="AS25" s="27"/>
      <c r="AT25" s="56" t="s">
        <v>28</v>
      </c>
      <c r="AU25" s="117" t="s">
        <v>44</v>
      </c>
      <c r="AV25" s="81">
        <f>VLOOKUP('Summary Table'!C23,'Scenarios Data'!B14:AR22,25,FALSE)</f>
        <v>7877.7296016979653</v>
      </c>
      <c r="AW25" s="81">
        <f>VLOOKUP('Summary Table'!C23,'Scenarios Data'!B14:AR22,26,FALSE)</f>
        <v>14660.899338313777</v>
      </c>
      <c r="AX25" s="117" t="s">
        <v>41</v>
      </c>
      <c r="AY25" s="119">
        <f>VLOOKUP('Summary Table'!C23,'Scenarios Data'!B14:AR22,25,FALSE)*('Summary Table'!H25/'Summary Table'!C111)</f>
        <v>7877.7296016979653</v>
      </c>
      <c r="AZ25" s="54">
        <f t="shared" si="7"/>
        <v>1</v>
      </c>
      <c r="BA25" s="54">
        <v>0.1</v>
      </c>
      <c r="BB25" s="54">
        <f t="shared" si="8"/>
        <v>0.1</v>
      </c>
      <c r="BC25" s="54">
        <v>0.65</v>
      </c>
      <c r="BD25" s="54">
        <v>2020</v>
      </c>
      <c r="BE25" s="54">
        <f t="shared" si="9"/>
        <v>607.5</v>
      </c>
      <c r="BF25" s="54">
        <v>607.5</v>
      </c>
      <c r="BG25" s="54"/>
      <c r="BH25" s="54" t="s">
        <v>132</v>
      </c>
      <c r="BI25" s="120">
        <f>((AY25/AZ25)/AV25)^BC25*AZ25*AW25*(BF25/BE25)/'Constants &amp; Conversions'!$D$29</f>
        <v>1.4660899338313776E-2</v>
      </c>
      <c r="BJ25" s="120">
        <f t="shared" si="10"/>
        <v>1.5393944305229465E-2</v>
      </c>
      <c r="BK25" s="54">
        <v>4.3</v>
      </c>
      <c r="BL25" s="158">
        <f t="shared" si="11"/>
        <v>6.6193960512486702E-2</v>
      </c>
      <c r="BM25" s="55" t="s">
        <v>414</v>
      </c>
      <c r="BO25" s="27"/>
      <c r="BP25" s="153" t="s">
        <v>764</v>
      </c>
      <c r="BQ25" s="148" t="s">
        <v>774</v>
      </c>
      <c r="BR25" s="466">
        <v>2000</v>
      </c>
      <c r="BS25" s="466">
        <v>1401869</v>
      </c>
      <c r="BT25" s="148" t="s">
        <v>41</v>
      </c>
      <c r="BU25" s="137">
        <f>'Design Calculations'!Q74*'Constants &amp; Conversions'!D21/'Constants &amp; Conversions'!D28</f>
        <v>296.976</v>
      </c>
      <c r="BV25" s="9">
        <f>0.25+0.5+0.5</f>
        <v>1.25</v>
      </c>
      <c r="BW25" s="9">
        <v>0.67</v>
      </c>
      <c r="BX25" s="9">
        <v>2011</v>
      </c>
      <c r="BY25" s="5">
        <f t="shared" si="12"/>
        <v>585.70000000000005</v>
      </c>
      <c r="BZ25" s="9">
        <v>607.5</v>
      </c>
      <c r="CA25" s="9"/>
      <c r="CB25" s="9" t="s">
        <v>132</v>
      </c>
      <c r="CC25" s="143">
        <f>((BU25/BR25)^BW25*BS25*(BZ25/BY25)/'Constants &amp; Conversions'!$D$29)</f>
        <v>0.40514613488670809</v>
      </c>
      <c r="CD25" s="143">
        <f t="shared" si="13"/>
        <v>0.42540344163104349</v>
      </c>
      <c r="CE25" s="9">
        <v>4.3</v>
      </c>
      <c r="CF25" s="174">
        <f t="shared" si="14"/>
        <v>1.829234799013487</v>
      </c>
      <c r="CG25" s="263" t="s">
        <v>776</v>
      </c>
    </row>
    <row r="26" spans="2:87">
      <c r="B26" s="56" t="s">
        <v>27</v>
      </c>
      <c r="C26" s="117" t="s">
        <v>45</v>
      </c>
      <c r="D26" s="81">
        <f>IF(G26&gt;F26,'Scenarios Data'!P19,VLOOKUP('Summary Table'!C23,'Scenarios Data'!B14:AR22,15,FALSE))</f>
        <v>7461</v>
      </c>
      <c r="E26" s="81">
        <f>IF(G26&gt;F26,'Scenarios Data'!Q19,VLOOKUP('Summary Table'!C23,'Scenarios Data'!B14:AR22,16,FALSE))</f>
        <v>6488800</v>
      </c>
      <c r="F26" s="117">
        <v>25000</v>
      </c>
      <c r="G26" s="119">
        <f>VLOOKUP('Summary Table'!C23,'Scenarios Data'!B14:AR22,15,FALSE)*('Summary Table'!H25/'Summary Table'!C111)</f>
        <v>7461</v>
      </c>
      <c r="H26" s="54">
        <f t="shared" si="0"/>
        <v>1</v>
      </c>
      <c r="I26" s="54">
        <v>0.5</v>
      </c>
      <c r="J26" s="54">
        <f t="shared" si="1"/>
        <v>0.5</v>
      </c>
      <c r="K26" s="54">
        <v>0.67500000000000004</v>
      </c>
      <c r="L26" s="54">
        <v>2020</v>
      </c>
      <c r="M26" s="54">
        <f t="shared" si="15"/>
        <v>607.5</v>
      </c>
      <c r="N26" s="54">
        <v>607.5</v>
      </c>
      <c r="O26" s="54"/>
      <c r="P26" s="54" t="s">
        <v>132</v>
      </c>
      <c r="Q26" s="120">
        <f>IF(G26=0,0,((G26/H26)/D26)^K26*H26*E26*(N26/M26)/'Constants &amp; Conversions'!$D$29)</f>
        <v>6.4888000000000003</v>
      </c>
      <c r="R26" s="120">
        <f t="shared" si="16"/>
        <v>6.8132400000000004</v>
      </c>
      <c r="S26" s="54">
        <v>4.3</v>
      </c>
      <c r="T26" s="158">
        <f>S26*R26*'Summary Table'!H38</f>
        <v>29.296932000000002</v>
      </c>
      <c r="U26" s="55" t="s">
        <v>414</v>
      </c>
      <c r="W26" s="27"/>
      <c r="X26" s="56" t="s">
        <v>27</v>
      </c>
      <c r="Y26" s="117" t="s">
        <v>45</v>
      </c>
      <c r="Z26" s="462">
        <f>IF(AC26&gt;AB26,'Scenarios Data'!P19,VLOOKUP('Summary Table'!C23,'Scenarios Data'!B29:U37,4,FALSE))</f>
        <v>7462.31</v>
      </c>
      <c r="AA26" s="81">
        <f>IF(AC26&gt;AB26,'Scenarios Data'!Q19,VLOOKUP('Summary Table'!C23,'Scenarios Data'!B29:U37,5,FALSE))</f>
        <v>10774900</v>
      </c>
      <c r="AB26" s="117">
        <v>25000</v>
      </c>
      <c r="AC26" s="119">
        <f>VLOOKUP('Summary Table'!C23,'Scenarios Data'!B29:U37,4,FALSE)*('Summary Table'!H25/'Summary Table'!C111)</f>
        <v>7462.31</v>
      </c>
      <c r="AD26" s="54">
        <f t="shared" si="3"/>
        <v>1</v>
      </c>
      <c r="AE26" s="54">
        <v>0.5</v>
      </c>
      <c r="AF26" s="54">
        <f t="shared" si="4"/>
        <v>0.5</v>
      </c>
      <c r="AG26" s="54">
        <v>0.67500000000000004</v>
      </c>
      <c r="AH26" s="54">
        <v>2020</v>
      </c>
      <c r="AI26" s="54">
        <f t="shared" si="5"/>
        <v>607.5</v>
      </c>
      <c r="AJ26" s="54">
        <v>607.5</v>
      </c>
      <c r="AK26" s="54"/>
      <c r="AL26" s="54" t="s">
        <v>132</v>
      </c>
      <c r="AM26" s="120">
        <f>IF(AC26=0,0,((AC26/AD26)/Z26)^AG26*AD26*AA26*(AJ26/AI26)/'Constants &amp; Conversions'!$D$29)</f>
        <v>10.774900000000001</v>
      </c>
      <c r="AN26" s="120">
        <f t="shared" si="17"/>
        <v>11.313645000000001</v>
      </c>
      <c r="AO26" s="54">
        <v>4.3</v>
      </c>
      <c r="AP26" s="158">
        <f>AO26*AN26*'Summary Table'!H38</f>
        <v>48.648673500000001</v>
      </c>
      <c r="AQ26" s="55" t="s">
        <v>414</v>
      </c>
      <c r="AS26" s="27"/>
      <c r="AT26" s="42" t="s">
        <v>31</v>
      </c>
      <c r="AU26" s="112" t="s">
        <v>43</v>
      </c>
      <c r="AV26" s="5">
        <v>670</v>
      </c>
      <c r="AW26" s="5">
        <v>2053840</v>
      </c>
      <c r="AX26" s="112">
        <v>800</v>
      </c>
      <c r="AY26" s="6">
        <f>'Design Calculations'!C179</f>
        <v>10202.06293954689</v>
      </c>
      <c r="AZ26" s="5">
        <f>IF(ISNUMBER(AX26), ROUNDUP(AY26/AX26,0),1)</f>
        <v>13</v>
      </c>
      <c r="BA26" s="5">
        <v>1</v>
      </c>
      <c r="BB26" s="5">
        <f t="shared" si="8"/>
        <v>13</v>
      </c>
      <c r="BC26" s="5">
        <v>0.67500000000000004</v>
      </c>
      <c r="BD26" s="5">
        <v>2014</v>
      </c>
      <c r="BE26" s="5">
        <f t="shared" si="9"/>
        <v>576.1</v>
      </c>
      <c r="BF26" s="5">
        <v>607.5</v>
      </c>
      <c r="BG26" s="5"/>
      <c r="BH26" s="5" t="s">
        <v>132</v>
      </c>
      <c r="BI26" s="7">
        <f>((AY26/AZ26)/AV26)^BC26*AZ26*AW26*(BF26/BE26)/'Constants &amp; Conversions'!$D$29</f>
        <v>31.326401620193465</v>
      </c>
      <c r="BJ26" s="7">
        <f t="shared" si="10"/>
        <v>32.892721701203136</v>
      </c>
      <c r="BK26" s="5">
        <v>4.3</v>
      </c>
      <c r="BL26" s="159">
        <f t="shared" si="11"/>
        <v>141.43870331517348</v>
      </c>
      <c r="BM26" s="28" t="s">
        <v>415</v>
      </c>
      <c r="BO26" s="27"/>
      <c r="BP26" s="56" t="s">
        <v>765</v>
      </c>
      <c r="BQ26" s="117" t="s">
        <v>774</v>
      </c>
      <c r="BR26" s="54">
        <v>2000</v>
      </c>
      <c r="BS26" s="54">
        <v>14719626</v>
      </c>
      <c r="BT26" s="117" t="s">
        <v>41</v>
      </c>
      <c r="BU26" s="119">
        <f>'Design Calculations'!Q74*'Constants &amp; Conversions'!D21/'Constants &amp; Conversions'!D28*(12.2/15.5)</f>
        <v>233.7488516129032</v>
      </c>
      <c r="BV26" s="54">
        <f>0.5+0.2+0.2+0.2</f>
        <v>1.0999999999999999</v>
      </c>
      <c r="BW26" s="54">
        <v>0.67</v>
      </c>
      <c r="BX26" s="54">
        <v>2011</v>
      </c>
      <c r="BY26" s="54">
        <f t="shared" si="12"/>
        <v>585.70000000000005</v>
      </c>
      <c r="BZ26" s="54">
        <v>607.5</v>
      </c>
      <c r="CA26" s="54"/>
      <c r="CB26" s="54" t="s">
        <v>132</v>
      </c>
      <c r="CC26" s="120">
        <f>((BU26/BR26)^BW26*BS26*(BZ26/BY26)/'Constants &amp; Conversions'!$D$29)</f>
        <v>3.6235970062316034</v>
      </c>
      <c r="CD26" s="120">
        <f t="shared" si="13"/>
        <v>3.8047768565431834</v>
      </c>
      <c r="CE26" s="54">
        <v>4.3</v>
      </c>
      <c r="CF26" s="158">
        <f t="shared" si="14"/>
        <v>16.360540483135686</v>
      </c>
      <c r="CG26" s="55" t="s">
        <v>776</v>
      </c>
    </row>
    <row r="27" spans="2:87">
      <c r="B27" s="42" t="s">
        <v>598</v>
      </c>
      <c r="C27" s="112" t="s">
        <v>45</v>
      </c>
      <c r="D27" s="84">
        <f>IF(G27&gt;F27,'Scenarios Data'!AO19,VLOOKUP('Summary Table'!C23,'Scenarios Data'!B14:AR22,40,FALSE))</f>
        <v>7425.67</v>
      </c>
      <c r="E27" s="84">
        <f>IF(G27&gt;F27,'Scenarios Data'!AP19,VLOOKUP('Summary Table'!C23,'Scenarios Data'!B14:AR22,41,FALSE))</f>
        <v>1725650</v>
      </c>
      <c r="F27" s="112">
        <v>10000</v>
      </c>
      <c r="G27" s="6">
        <f>VLOOKUP('Summary Table'!C23,'Scenarios Data'!B14:AR22,40,FALSE)*('Summary Table'!H25/'Summary Table'!C111)</f>
        <v>7425.67</v>
      </c>
      <c r="H27" s="5">
        <f t="shared" si="0"/>
        <v>1</v>
      </c>
      <c r="I27" s="5">
        <v>0.1</v>
      </c>
      <c r="J27" s="5">
        <f t="shared" si="1"/>
        <v>0.1</v>
      </c>
      <c r="K27" s="5">
        <v>0.65</v>
      </c>
      <c r="L27" s="5">
        <v>2020</v>
      </c>
      <c r="M27" s="5">
        <f t="shared" si="15"/>
        <v>607.5</v>
      </c>
      <c r="N27" s="5">
        <v>607.5</v>
      </c>
      <c r="O27" s="5"/>
      <c r="P27" s="5" t="s">
        <v>132</v>
      </c>
      <c r="Q27" s="7">
        <f>IF(G27=0,0,((G27/H27)/D27)^K27*H27*E27*(N27/M27)/'Constants &amp; Conversions'!$D$29)</f>
        <v>1.7256499999999999</v>
      </c>
      <c r="R27" s="7">
        <f t="shared" si="16"/>
        <v>1.8119324999999999</v>
      </c>
      <c r="S27" s="5">
        <v>4.3</v>
      </c>
      <c r="T27" s="159">
        <f>S27*R27*'Summary Table'!H38</f>
        <v>7.791309749999999</v>
      </c>
      <c r="U27" s="28" t="s">
        <v>414</v>
      </c>
      <c r="W27" s="27"/>
      <c r="X27" s="42" t="s">
        <v>598</v>
      </c>
      <c r="Y27" s="112" t="s">
        <v>45</v>
      </c>
      <c r="Z27" s="84">
        <f>IF(AC27&gt;AB27,'Scenarios Data'!AO19,VLOOKUP('Summary Table'!C23,'Scenarios Data'!B29:U37,13,FALSE))</f>
        <v>7674.16</v>
      </c>
      <c r="AA27" s="84">
        <f>IF(AC27&gt;AB27,'Scenarios Data'!AP19,VLOOKUP('Summary Table'!C23,'Scenarios Data'!B29:U37,14,FALSE))</f>
        <v>2556530</v>
      </c>
      <c r="AB27" s="112">
        <v>10000</v>
      </c>
      <c r="AC27" s="6">
        <f>VLOOKUP('Summary Table'!C23,'Scenarios Data'!B29:U37,13,FALSE)*('Summary Table'!H25/'Summary Table'!C111)</f>
        <v>7674.16</v>
      </c>
      <c r="AD27" s="5">
        <f t="shared" si="3"/>
        <v>1</v>
      </c>
      <c r="AE27" s="5">
        <v>0.1</v>
      </c>
      <c r="AF27" s="5">
        <f t="shared" si="4"/>
        <v>0.1</v>
      </c>
      <c r="AG27" s="5">
        <v>0.65</v>
      </c>
      <c r="AH27" s="5">
        <v>2020</v>
      </c>
      <c r="AI27" s="5">
        <f t="shared" si="5"/>
        <v>607.5</v>
      </c>
      <c r="AJ27" s="5">
        <v>607.5</v>
      </c>
      <c r="AK27" s="5"/>
      <c r="AL27" s="5" t="s">
        <v>132</v>
      </c>
      <c r="AM27" s="7">
        <f>IF(AC27=0,0,((AC27/AD27)/Z27)^AG27*AD27*AA27*(AJ27/AI27)/'Constants &amp; Conversions'!$D$29)</f>
        <v>2.55653</v>
      </c>
      <c r="AN27" s="7">
        <f t="shared" si="17"/>
        <v>2.6843564999999998</v>
      </c>
      <c r="AO27" s="5">
        <v>4.3</v>
      </c>
      <c r="AP27" s="159">
        <f>AO27*AN27*'Summary Table'!H38</f>
        <v>11.54273295</v>
      </c>
      <c r="AQ27" s="28" t="s">
        <v>414</v>
      </c>
      <c r="AS27" s="27"/>
      <c r="AT27" s="56" t="s">
        <v>32</v>
      </c>
      <c r="AU27" s="117" t="s">
        <v>43</v>
      </c>
      <c r="AV27" s="54">
        <v>670</v>
      </c>
      <c r="AW27" s="54">
        <v>2029507</v>
      </c>
      <c r="AX27" s="117">
        <v>800</v>
      </c>
      <c r="AY27" s="119">
        <f>'Design Calculations'!I179</f>
        <v>15673.363879611792</v>
      </c>
      <c r="AZ27" s="54">
        <f t="shared" si="7"/>
        <v>20</v>
      </c>
      <c r="BA27" s="54">
        <v>1</v>
      </c>
      <c r="BB27" s="54">
        <f t="shared" si="8"/>
        <v>20</v>
      </c>
      <c r="BC27" s="54">
        <v>0.67500000000000004</v>
      </c>
      <c r="BD27" s="54">
        <v>2014</v>
      </c>
      <c r="BE27" s="54">
        <f t="shared" si="9"/>
        <v>576.1</v>
      </c>
      <c r="BF27" s="54">
        <v>607.5</v>
      </c>
      <c r="BG27" s="54"/>
      <c r="BH27" s="54" t="s">
        <v>132</v>
      </c>
      <c r="BI27" s="120">
        <f>((AY27/AZ27)/AV27)^BC27*AZ27*AW27*(BF27/BE27)/'Constants &amp; Conversions'!$D$29</f>
        <v>47.578167784389528</v>
      </c>
      <c r="BJ27" s="120">
        <f t="shared" si="10"/>
        <v>49.957076173609003</v>
      </c>
      <c r="BK27" s="54">
        <v>4.3</v>
      </c>
      <c r="BL27" s="158">
        <f t="shared" si="11"/>
        <v>214.81542754651872</v>
      </c>
      <c r="BM27" s="55" t="s">
        <v>415</v>
      </c>
      <c r="BO27" s="27"/>
      <c r="BP27" s="153" t="s">
        <v>766</v>
      </c>
      <c r="BQ27" s="148" t="s">
        <v>774</v>
      </c>
      <c r="BR27" s="466">
        <v>2000</v>
      </c>
      <c r="BS27" s="466">
        <v>5373832</v>
      </c>
      <c r="BT27" s="148" t="s">
        <v>41</v>
      </c>
      <c r="BU27" s="137">
        <f>'Design Calculations'!Q74*'Constants &amp; Conversions'!D21/'Constants &amp; Conversions'!D28</f>
        <v>296.976</v>
      </c>
      <c r="BV27" s="9">
        <f>0.3+0.1</f>
        <v>0.4</v>
      </c>
      <c r="BW27" s="9">
        <v>0.67</v>
      </c>
      <c r="BX27" s="9">
        <v>2011</v>
      </c>
      <c r="BY27" s="5">
        <f t="shared" si="12"/>
        <v>585.70000000000005</v>
      </c>
      <c r="BZ27" s="9">
        <v>607.5</v>
      </c>
      <c r="CA27" s="9"/>
      <c r="CB27" s="9" t="s">
        <v>132</v>
      </c>
      <c r="CC27" s="143">
        <f>((BU27/BR27)^BW27*BS27*(BZ27/BY27)/'Constants &amp; Conversions'!$D$29)</f>
        <v>1.5530604245692776</v>
      </c>
      <c r="CD27" s="143">
        <f t="shared" si="13"/>
        <v>1.6307134457977415</v>
      </c>
      <c r="CE27" s="9">
        <v>4.3</v>
      </c>
      <c r="CF27" s="174">
        <f>CE27*CD27</f>
        <v>7.0120678169302879</v>
      </c>
      <c r="CG27" s="263" t="s">
        <v>776</v>
      </c>
    </row>
    <row r="28" spans="2:87" ht="17" thickBot="1">
      <c r="B28" s="56" t="s">
        <v>3</v>
      </c>
      <c r="C28" s="117" t="s">
        <v>45</v>
      </c>
      <c r="D28" s="81">
        <f>VLOOKUP('Summary Table'!C23,'Scenarios Data'!B14:AR22,19,FALSE)</f>
        <v>2615.8200000000002</v>
      </c>
      <c r="E28" s="81">
        <f>VLOOKUP('Summary Table'!C23,'Scenarios Data'!B14:AR22,20,FALSE)</f>
        <v>140700</v>
      </c>
      <c r="F28" s="117" t="s">
        <v>41</v>
      </c>
      <c r="G28" s="119">
        <f>VLOOKUP('Summary Table'!C23,'Scenarios Data'!B14:AR22,19,FALSE)*('Summary Table'!H25/'Summary Table'!C111)</f>
        <v>2615.8200000000002</v>
      </c>
      <c r="H28" s="54">
        <f t="shared" si="0"/>
        <v>1</v>
      </c>
      <c r="I28" s="54">
        <v>0</v>
      </c>
      <c r="J28" s="54">
        <f t="shared" si="1"/>
        <v>0</v>
      </c>
      <c r="K28" s="54">
        <v>0.52</v>
      </c>
      <c r="L28" s="54">
        <v>2020</v>
      </c>
      <c r="M28" s="54">
        <f t="shared" si="15"/>
        <v>607.5</v>
      </c>
      <c r="N28" s="54">
        <v>607.5</v>
      </c>
      <c r="O28" s="54"/>
      <c r="P28" s="54" t="s">
        <v>132</v>
      </c>
      <c r="Q28" s="120">
        <f>((G28/H28)/D28)^K28*H28*E28*(N28/M28)/'Constants &amp; Conversions'!$D$29</f>
        <v>0.14069999999999999</v>
      </c>
      <c r="R28" s="120">
        <f t="shared" si="16"/>
        <v>0.14773500000000001</v>
      </c>
      <c r="S28" s="54">
        <v>4.3</v>
      </c>
      <c r="T28" s="158">
        <f t="shared" ref="T28:T51" si="18">S28*R28</f>
        <v>0.63526050000000001</v>
      </c>
      <c r="U28" s="55" t="s">
        <v>414</v>
      </c>
      <c r="W28" s="27"/>
      <c r="X28" s="56" t="s">
        <v>740</v>
      </c>
      <c r="Y28" s="117" t="s">
        <v>45</v>
      </c>
      <c r="Z28" s="81">
        <f>VLOOKUP('Summary Table'!C23,'Scenarios Data'!B29:U37,16,FALSE)</f>
        <v>2323.7199999999998</v>
      </c>
      <c r="AA28" s="81">
        <f>VLOOKUP('Summary Table'!C23,'Scenarios Data'!B29:U37,17,FALSE)</f>
        <v>1368100</v>
      </c>
      <c r="AB28" s="117" t="s">
        <v>41</v>
      </c>
      <c r="AC28" s="119">
        <f>VLOOKUP('Summary Table'!C23,'Scenarios Data'!B29:U37,16,FALSE)*('Summary Table'!H25/'Summary Table'!C111)</f>
        <v>2323.7199999999998</v>
      </c>
      <c r="AD28" s="54">
        <f>IF(ISNUMBER(AB28), ROUNDUP(AC28/AB28,0),1)</f>
        <v>1</v>
      </c>
      <c r="AE28" s="54">
        <v>0</v>
      </c>
      <c r="AF28" s="54">
        <f>AD28*AE28</f>
        <v>0</v>
      </c>
      <c r="AG28" s="54">
        <v>0.7</v>
      </c>
      <c r="AH28" s="54">
        <v>2020</v>
      </c>
      <c r="AI28" s="54">
        <f t="shared" si="5"/>
        <v>607.5</v>
      </c>
      <c r="AJ28" s="54">
        <v>607.5</v>
      </c>
      <c r="AK28" s="54"/>
      <c r="AL28" s="54" t="s">
        <v>132</v>
      </c>
      <c r="AM28" s="120">
        <f>IF(AC28=0,0,((AC28/AD28)/Z28)^AG28*AD28*AA28*(AJ28/AI28)/'Constants &amp; Conversions'!$D$29)</f>
        <v>1.3681000000000001</v>
      </c>
      <c r="AN28" s="120">
        <f>IF(AL28="YES",AM28,0.05*AM28+AM28)</f>
        <v>1.4365050000000001</v>
      </c>
      <c r="AO28" s="54">
        <v>4.3</v>
      </c>
      <c r="AP28" s="158">
        <f>AO28*AN28</f>
        <v>6.1769715000000005</v>
      </c>
      <c r="AQ28" s="55" t="s">
        <v>414</v>
      </c>
      <c r="AS28" s="27"/>
      <c r="AT28" s="153" t="s">
        <v>8</v>
      </c>
      <c r="AU28" s="148" t="s">
        <v>43</v>
      </c>
      <c r="AV28" s="9">
        <v>200</v>
      </c>
      <c r="AW28" s="9">
        <v>356000</v>
      </c>
      <c r="AX28" s="148">
        <v>500</v>
      </c>
      <c r="AY28" s="137">
        <f>VLOOKUP('Summary Table'!C23,'Scenarios Data'!B14:AR22,31,FALSE)*('Summary Table'!H25/'Summary Table'!C111)</f>
        <v>2509.5149999999999</v>
      </c>
      <c r="AZ28" s="9">
        <f>IF(ISNUMBER(AX28), ROUNDUP(AY28/AX28,0),1)</f>
        <v>6</v>
      </c>
      <c r="BA28" s="9">
        <v>0.5</v>
      </c>
      <c r="BB28" s="9">
        <f t="shared" si="8"/>
        <v>3</v>
      </c>
      <c r="BC28" s="9">
        <v>0.47499999999999998</v>
      </c>
      <c r="BD28" s="9">
        <v>2014</v>
      </c>
      <c r="BE28" s="5">
        <f t="shared" si="9"/>
        <v>576.1</v>
      </c>
      <c r="BF28" s="9">
        <v>607.5</v>
      </c>
      <c r="BG28" s="9"/>
      <c r="BH28" s="9" t="s">
        <v>132</v>
      </c>
      <c r="BI28" s="143">
        <f>((AY28/AZ28)/AV28)^BC28*AZ28*AW28*(BF28/BE28)/'Constants &amp; Conversions'!$D$29</f>
        <v>3.1977441756424421</v>
      </c>
      <c r="BJ28" s="143">
        <f t="shared" si="10"/>
        <v>3.3576313844245642</v>
      </c>
      <c r="BK28" s="9">
        <v>4.3</v>
      </c>
      <c r="BL28" s="174">
        <f t="shared" si="11"/>
        <v>14.437814953025626</v>
      </c>
      <c r="BM28" s="263" t="s">
        <v>415</v>
      </c>
      <c r="BO28" s="27"/>
      <c r="BP28" s="59" t="s">
        <v>767</v>
      </c>
      <c r="BQ28" s="443" t="s">
        <v>774</v>
      </c>
      <c r="BR28" s="444">
        <v>2000</v>
      </c>
      <c r="BS28" s="444">
        <v>6000000</v>
      </c>
      <c r="BT28" s="443" t="s">
        <v>41</v>
      </c>
      <c r="BU28" s="445">
        <f>'Design Calculations'!Q74*'Constants &amp; Conversions'!D21/'Constants &amp; Conversions'!D28</f>
        <v>296.976</v>
      </c>
      <c r="BV28" s="130">
        <v>0</v>
      </c>
      <c r="BW28" s="130">
        <v>0.67</v>
      </c>
      <c r="BX28" s="130">
        <v>2011</v>
      </c>
      <c r="BY28" s="130">
        <f t="shared" si="12"/>
        <v>585.70000000000005</v>
      </c>
      <c r="BZ28" s="130">
        <v>607.5</v>
      </c>
      <c r="CA28" s="130"/>
      <c r="CB28" s="130" t="s">
        <v>131</v>
      </c>
      <c r="CC28" s="397">
        <f>((BU28/BR28)^BW28*BS28*(BZ28/BY28)/'Constants &amp; Conversions'!$D$29)</f>
        <v>1.7340256538380181</v>
      </c>
      <c r="CD28" s="397">
        <f t="shared" si="13"/>
        <v>1.7340256538380181</v>
      </c>
      <c r="CE28" s="130">
        <v>1</v>
      </c>
      <c r="CF28" s="446">
        <f>CE28*CD28</f>
        <v>1.7340256538380181</v>
      </c>
      <c r="CG28" s="260" t="s">
        <v>776</v>
      </c>
    </row>
    <row r="29" spans="2:87" ht="17" thickBot="1">
      <c r="B29" s="42" t="s">
        <v>4</v>
      </c>
      <c r="C29" s="112" t="s">
        <v>44</v>
      </c>
      <c r="D29" s="84">
        <f>VLOOKUP('Summary Table'!C23,'Scenarios Data'!B14:AR22,22,FALSE)</f>
        <v>7877.7296016979653</v>
      </c>
      <c r="E29" s="84">
        <f>VLOOKUP('Summary Table'!C23,'Scenarios Data'!B14:AR22,23,FALSE)</f>
        <v>1151491.2965567312</v>
      </c>
      <c r="F29" s="112" t="s">
        <v>41</v>
      </c>
      <c r="G29" s="6">
        <f>VLOOKUP('Summary Table'!C23,'Scenarios Data'!B14:AR22,22,FALSE)*('Summary Table'!H25/'Summary Table'!C111)</f>
        <v>7877.7296016979653</v>
      </c>
      <c r="H29" s="5">
        <f t="shared" si="0"/>
        <v>1</v>
      </c>
      <c r="I29" s="5">
        <v>0.2</v>
      </c>
      <c r="J29" s="5">
        <f t="shared" si="1"/>
        <v>0.2</v>
      </c>
      <c r="K29" s="5">
        <v>0.4</v>
      </c>
      <c r="L29" s="5">
        <v>2020</v>
      </c>
      <c r="M29" s="5">
        <f t="shared" si="15"/>
        <v>607.5</v>
      </c>
      <c r="N29" s="5">
        <v>607.5</v>
      </c>
      <c r="O29" s="5"/>
      <c r="P29" s="5" t="s">
        <v>132</v>
      </c>
      <c r="Q29" s="7">
        <f>((G29/H29)/D29)^K29*H29*E29*(N29/M29)/'Constants &amp; Conversions'!$D$29</f>
        <v>1.1514912965567312</v>
      </c>
      <c r="R29" s="7">
        <f t="shared" si="16"/>
        <v>1.2090658613845677</v>
      </c>
      <c r="S29" s="5">
        <v>4.3</v>
      </c>
      <c r="T29" s="159">
        <f t="shared" si="18"/>
        <v>5.1989832039536408</v>
      </c>
      <c r="U29" s="28" t="s">
        <v>414</v>
      </c>
      <c r="W29" s="27"/>
      <c r="X29" s="172" t="s">
        <v>797</v>
      </c>
      <c r="Y29" s="175" t="s">
        <v>44</v>
      </c>
      <c r="Z29" s="506">
        <f>'Scenarios Data'!W16</f>
        <v>126314.36895010466</v>
      </c>
      <c r="AA29" s="506">
        <f>'Scenarios Data'!X16</f>
        <v>15687998.088285549</v>
      </c>
      <c r="AB29" s="175">
        <v>600000</v>
      </c>
      <c r="AC29" s="409">
        <f>VLOOKUP('Summary Table'!C23,'Scenarios Data'!B29:U37,19,FALSE)*('Summary Table'!H25/'Summary Table'!C111)</f>
        <v>2183520</v>
      </c>
      <c r="AD29" s="139">
        <f>IF(ISNUMBER(AB29), ROUNDUP(AC29/AB29,0),1)</f>
        <v>4</v>
      </c>
      <c r="AE29" s="139">
        <v>0.2</v>
      </c>
      <c r="AF29" s="139">
        <f>AD29*AE29</f>
        <v>0.8</v>
      </c>
      <c r="AG29" s="139">
        <v>0.4</v>
      </c>
      <c r="AH29" s="139">
        <v>2020</v>
      </c>
      <c r="AI29" s="139">
        <f t="shared" si="5"/>
        <v>607.5</v>
      </c>
      <c r="AJ29" s="139">
        <v>607.5</v>
      </c>
      <c r="AK29" s="139"/>
      <c r="AL29" s="139" t="s">
        <v>132</v>
      </c>
      <c r="AM29" s="491">
        <f>IF(AC29=0,0,((AC29/AD29)/Z29)^AG29*AD29*AA29*(AJ29/AI29)/'Constants &amp; Conversions'!$D$29)</f>
        <v>112.6899768108083</v>
      </c>
      <c r="AN29" s="491">
        <f>IF(AL29="YES",AM29,0.05*AM29+AM29)</f>
        <v>118.32447565134872</v>
      </c>
      <c r="AO29" s="139">
        <v>4.3</v>
      </c>
      <c r="AP29" s="379">
        <f>AO29*AN29</f>
        <v>508.79524530079948</v>
      </c>
      <c r="AQ29" s="266" t="s">
        <v>414</v>
      </c>
      <c r="AS29" s="27"/>
      <c r="AT29" s="56" t="s">
        <v>111</v>
      </c>
      <c r="AU29" s="117" t="s">
        <v>45</v>
      </c>
      <c r="AV29" s="54">
        <v>133.30000000000001</v>
      </c>
      <c r="AW29" s="54">
        <f>207000+15890</f>
        <v>222890</v>
      </c>
      <c r="AX29" s="117">
        <v>200</v>
      </c>
      <c r="AY29" s="119">
        <f>VLOOKUP('Summary Table'!C23,'Scenarios Data'!B14:AR22,31,FALSE)*('Summary Table'!H25/'Summary Table'!C111)</f>
        <v>2509.5149999999999</v>
      </c>
      <c r="AZ29" s="54">
        <f t="shared" si="7"/>
        <v>13</v>
      </c>
      <c r="BA29" s="54">
        <v>0.1</v>
      </c>
      <c r="BB29" s="54">
        <f t="shared" si="8"/>
        <v>1.3</v>
      </c>
      <c r="BC29" s="54">
        <v>0.6</v>
      </c>
      <c r="BD29" s="54">
        <v>2020</v>
      </c>
      <c r="BE29" s="54">
        <f t="shared" si="9"/>
        <v>607.5</v>
      </c>
      <c r="BF29" s="54">
        <v>607.5</v>
      </c>
      <c r="BG29" s="54"/>
      <c r="BH29" s="54" t="s">
        <v>131</v>
      </c>
      <c r="BI29" s="120">
        <f>((AY29/AZ29)/AV29)^BC29*AZ29*AW29*(BF29/BE29)/'Constants &amp; Conversions'!$D$29</f>
        <v>3.6184594744880783</v>
      </c>
      <c r="BJ29" s="120">
        <f t="shared" si="10"/>
        <v>3.6184594744880783</v>
      </c>
      <c r="BK29" s="54">
        <v>4.3</v>
      </c>
      <c r="BL29" s="158">
        <f t="shared" si="11"/>
        <v>15.559375740298735</v>
      </c>
      <c r="BM29" s="55" t="s">
        <v>416</v>
      </c>
      <c r="BO29" s="27"/>
      <c r="BP29" s="14"/>
      <c r="BQ29" s="112"/>
      <c r="BR29" s="84"/>
      <c r="BS29" s="84"/>
      <c r="BT29" s="112"/>
      <c r="BU29" s="6"/>
      <c r="BV29" s="5"/>
      <c r="BW29" s="5"/>
      <c r="BX29" s="5"/>
      <c r="BY29" s="5"/>
      <c r="BZ29" s="5"/>
      <c r="CA29" s="5"/>
      <c r="CB29" s="5"/>
      <c r="CC29" s="5"/>
      <c r="CD29" s="5"/>
      <c r="CE29" s="7"/>
      <c r="CF29" s="7"/>
      <c r="CG29" s="5"/>
    </row>
    <row r="30" spans="2:87" ht="17" thickBot="1">
      <c r="B30" s="56" t="s">
        <v>28</v>
      </c>
      <c r="C30" s="117" t="s">
        <v>44</v>
      </c>
      <c r="D30" s="81">
        <f>VLOOKUP('Summary Table'!C23,'Scenarios Data'!B14:AR22,25,FALSE)</f>
        <v>7877.7296016979653</v>
      </c>
      <c r="E30" s="81">
        <f>VLOOKUP('Summary Table'!C23,'Scenarios Data'!B14:AR22,26,FALSE)</f>
        <v>14660.899338313777</v>
      </c>
      <c r="F30" s="117" t="s">
        <v>41</v>
      </c>
      <c r="G30" s="119">
        <f>VLOOKUP('Summary Table'!C23,'Scenarios Data'!B14:AR22,25,FALSE)*('Summary Table'!H25/'Summary Table'!C111)</f>
        <v>7877.7296016979653</v>
      </c>
      <c r="H30" s="54">
        <f t="shared" si="0"/>
        <v>1</v>
      </c>
      <c r="I30" s="54">
        <v>0.1</v>
      </c>
      <c r="J30" s="54">
        <f t="shared" si="1"/>
        <v>0.1</v>
      </c>
      <c r="K30" s="54">
        <v>0.65</v>
      </c>
      <c r="L30" s="54">
        <v>2020</v>
      </c>
      <c r="M30" s="54">
        <f t="shared" si="15"/>
        <v>607.5</v>
      </c>
      <c r="N30" s="54">
        <v>607.5</v>
      </c>
      <c r="O30" s="54"/>
      <c r="P30" s="54" t="s">
        <v>132</v>
      </c>
      <c r="Q30" s="120">
        <f>((G30/H30)/D30)^K30*H30*E30*(N30/M30)/'Constants &amp; Conversions'!$D$29</f>
        <v>1.4660899338313776E-2</v>
      </c>
      <c r="R30" s="120">
        <f t="shared" si="16"/>
        <v>1.5393944305229465E-2</v>
      </c>
      <c r="S30" s="54">
        <v>4.3</v>
      </c>
      <c r="T30" s="158">
        <f t="shared" si="18"/>
        <v>6.6193960512486702E-2</v>
      </c>
      <c r="U30" s="55" t="s">
        <v>414</v>
      </c>
      <c r="W30" s="27"/>
      <c r="AS30" s="27"/>
      <c r="AT30" s="153" t="s">
        <v>29</v>
      </c>
      <c r="AU30" s="148" t="s">
        <v>45</v>
      </c>
      <c r="AV30" s="9">
        <v>114</v>
      </c>
      <c r="AW30" s="545">
        <v>169680</v>
      </c>
      <c r="AX30" s="148">
        <v>120</v>
      </c>
      <c r="AY30" s="137">
        <f>351.128*('Summary Table'!H25/'Summary Table'!C111)</f>
        <v>351.12799999999999</v>
      </c>
      <c r="AZ30" s="9">
        <f t="shared" si="7"/>
        <v>3</v>
      </c>
      <c r="BA30" s="9">
        <v>0.5</v>
      </c>
      <c r="BB30" s="9">
        <f t="shared" si="8"/>
        <v>1.5</v>
      </c>
      <c r="BC30" s="9">
        <v>0.67</v>
      </c>
      <c r="BD30" s="9">
        <v>2020</v>
      </c>
      <c r="BE30" s="5">
        <f t="shared" si="9"/>
        <v>607.5</v>
      </c>
      <c r="BF30" s="9">
        <v>607.5</v>
      </c>
      <c r="BG30" s="9"/>
      <c r="BH30" s="9" t="s">
        <v>132</v>
      </c>
      <c r="BI30" s="143">
        <f>((AY30/AZ30)/AV30)^BC30*AZ30*AW30*(BF30/BE30)/'Constants &amp; Conversions'!$D$29</f>
        <v>0.51810320546293398</v>
      </c>
      <c r="BJ30" s="143">
        <f t="shared" si="10"/>
        <v>0.54400836573608069</v>
      </c>
      <c r="BK30" s="9">
        <v>4.3</v>
      </c>
      <c r="BL30" s="174">
        <f t="shared" si="11"/>
        <v>2.339235972665147</v>
      </c>
      <c r="BM30" s="263" t="s">
        <v>417</v>
      </c>
      <c r="BO30" s="27"/>
      <c r="CH30" s="159"/>
      <c r="CI30" s="5"/>
    </row>
    <row r="31" spans="2:87" ht="22" thickBot="1">
      <c r="B31" s="42" t="s">
        <v>31</v>
      </c>
      <c r="C31" s="112" t="s">
        <v>43</v>
      </c>
      <c r="D31" s="5">
        <v>670</v>
      </c>
      <c r="E31" s="5">
        <v>2053840</v>
      </c>
      <c r="F31" s="112">
        <v>800</v>
      </c>
      <c r="G31" s="6">
        <f>'Design Calculations'!C179</f>
        <v>10202.06293954689</v>
      </c>
      <c r="H31" s="5">
        <f t="shared" si="0"/>
        <v>13</v>
      </c>
      <c r="I31" s="5">
        <v>1</v>
      </c>
      <c r="J31" s="5">
        <f t="shared" si="1"/>
        <v>13</v>
      </c>
      <c r="K31" s="5">
        <v>0.67500000000000004</v>
      </c>
      <c r="L31" s="5">
        <v>2014</v>
      </c>
      <c r="M31" s="5">
        <f t="shared" si="15"/>
        <v>576.1</v>
      </c>
      <c r="N31" s="5">
        <v>607.5</v>
      </c>
      <c r="O31" s="5"/>
      <c r="P31" s="5" t="s">
        <v>132</v>
      </c>
      <c r="Q31" s="7">
        <f>((G31/H31)/D31)^K31*H31*E31*(N31/M31)/'Constants &amp; Conversions'!$D$29</f>
        <v>31.326401620193465</v>
      </c>
      <c r="R31" s="7">
        <f t="shared" si="16"/>
        <v>32.892721701203136</v>
      </c>
      <c r="S31" s="5">
        <v>4.3</v>
      </c>
      <c r="T31" s="159">
        <f t="shared" si="18"/>
        <v>141.43870331517348</v>
      </c>
      <c r="U31" s="28" t="s">
        <v>415</v>
      </c>
      <c r="W31" s="27"/>
      <c r="X31" s="169" t="s">
        <v>618</v>
      </c>
      <c r="Y31" s="170">
        <f>SUM(AP23:AP29)</f>
        <v>991.62037602963892</v>
      </c>
      <c r="Z31" s="171" t="s">
        <v>614</v>
      </c>
      <c r="AS31" s="27"/>
      <c r="AT31" s="56" t="s">
        <v>30</v>
      </c>
      <c r="AU31" s="117" t="s">
        <v>376</v>
      </c>
      <c r="AV31" s="54">
        <v>16000</v>
      </c>
      <c r="AW31" s="54">
        <f>1800000*'Constants &amp; Conversions'!D30</f>
        <v>1998000.0000000002</v>
      </c>
      <c r="AX31" s="117">
        <v>16000</v>
      </c>
      <c r="AY31" s="119">
        <f>43241.3*('Summary Table'!H25/'Summary Table'!C111)</f>
        <v>43241.3</v>
      </c>
      <c r="AZ31" s="54">
        <f t="shared" si="7"/>
        <v>3</v>
      </c>
      <c r="BA31" s="54">
        <v>0.5</v>
      </c>
      <c r="BB31" s="54">
        <f t="shared" si="8"/>
        <v>1.5</v>
      </c>
      <c r="BC31" s="54">
        <v>0.71</v>
      </c>
      <c r="BD31" s="54">
        <v>2020</v>
      </c>
      <c r="BE31" s="54">
        <f t="shared" si="9"/>
        <v>607.5</v>
      </c>
      <c r="BF31" s="54">
        <v>607.5</v>
      </c>
      <c r="BG31" s="54"/>
      <c r="BH31" s="54" t="s">
        <v>131</v>
      </c>
      <c r="BI31" s="120">
        <f>((AY31/AZ31)/AV31)^BC31*AZ31*AW31*(BF31/BE31)/'Constants &amp; Conversions'!$D$29</f>
        <v>5.5657483588617289</v>
      </c>
      <c r="BJ31" s="120">
        <f t="shared" si="10"/>
        <v>5.5657483588617289</v>
      </c>
      <c r="BK31" s="54">
        <v>4.3</v>
      </c>
      <c r="BL31" s="158">
        <f t="shared" si="11"/>
        <v>23.932717943105434</v>
      </c>
      <c r="BM31" s="55" t="s">
        <v>413</v>
      </c>
      <c r="BO31" s="27"/>
      <c r="BP31" s="169" t="s">
        <v>618</v>
      </c>
      <c r="BQ31" s="170">
        <f>SUM(CF23:CF27)</f>
        <v>108.22116656557387</v>
      </c>
      <c r="BR31" s="171" t="s">
        <v>614</v>
      </c>
    </row>
    <row r="32" spans="2:87">
      <c r="B32" s="56" t="s">
        <v>32</v>
      </c>
      <c r="C32" s="117" t="s">
        <v>43</v>
      </c>
      <c r="D32" s="54">
        <v>670</v>
      </c>
      <c r="E32" s="54">
        <v>2029507</v>
      </c>
      <c r="F32" s="117">
        <v>800</v>
      </c>
      <c r="G32" s="119">
        <f>'Design Calculations'!I179</f>
        <v>15673.363879611792</v>
      </c>
      <c r="H32" s="54">
        <f t="shared" si="0"/>
        <v>20</v>
      </c>
      <c r="I32" s="54">
        <v>1</v>
      </c>
      <c r="J32" s="54">
        <f t="shared" si="1"/>
        <v>20</v>
      </c>
      <c r="K32" s="54">
        <v>0.67500000000000004</v>
      </c>
      <c r="L32" s="54">
        <v>2014</v>
      </c>
      <c r="M32" s="54">
        <f t="shared" si="15"/>
        <v>576.1</v>
      </c>
      <c r="N32" s="54">
        <v>607.5</v>
      </c>
      <c r="O32" s="54"/>
      <c r="P32" s="54" t="s">
        <v>132</v>
      </c>
      <c r="Q32" s="120">
        <f>((G32/H32)/D32)^K32*H32*E32*(N32/M32)/'Constants &amp; Conversions'!$D$29</f>
        <v>47.578167784389528</v>
      </c>
      <c r="R32" s="120">
        <f t="shared" si="16"/>
        <v>49.957076173609003</v>
      </c>
      <c r="S32" s="54">
        <v>4.3</v>
      </c>
      <c r="T32" s="158">
        <f t="shared" si="18"/>
        <v>214.81542754651872</v>
      </c>
      <c r="U32" s="55" t="s">
        <v>415</v>
      </c>
      <c r="W32" s="27"/>
      <c r="AS32" s="27"/>
      <c r="AT32" s="153" t="s">
        <v>9</v>
      </c>
      <c r="AU32" s="148" t="s">
        <v>44</v>
      </c>
      <c r="AV32" s="466">
        <v>1879330</v>
      </c>
      <c r="AW32" s="466">
        <v>2233650</v>
      </c>
      <c r="AX32" s="148" t="s">
        <v>41</v>
      </c>
      <c r="AY32" s="137">
        <f>1879330*('Summary Table'!H25/'Summary Table'!C111)</f>
        <v>1879330</v>
      </c>
      <c r="AZ32" s="9">
        <f t="shared" si="7"/>
        <v>1</v>
      </c>
      <c r="BA32" s="9">
        <v>0.1</v>
      </c>
      <c r="BB32" s="9">
        <f t="shared" si="8"/>
        <v>0.1</v>
      </c>
      <c r="BC32" s="9">
        <v>0.65</v>
      </c>
      <c r="BD32" s="9">
        <v>2020</v>
      </c>
      <c r="BE32" s="5">
        <f t="shared" si="9"/>
        <v>607.5</v>
      </c>
      <c r="BF32" s="9">
        <v>607.5</v>
      </c>
      <c r="BG32" s="9"/>
      <c r="BH32" s="9" t="s">
        <v>132</v>
      </c>
      <c r="BI32" s="143">
        <f>((AY32/AZ32)/AV32)^BC32*AZ32*AW32*(BF32/BE32)/'Constants &amp; Conversions'!$D$29</f>
        <v>2.2336499999999999</v>
      </c>
      <c r="BJ32" s="143">
        <f t="shared" si="10"/>
        <v>2.3453325</v>
      </c>
      <c r="BK32" s="9">
        <v>4.3</v>
      </c>
      <c r="BL32" s="174">
        <f t="shared" si="11"/>
        <v>10.084929750000001</v>
      </c>
      <c r="BM32" s="263" t="s">
        <v>414</v>
      </c>
      <c r="BO32" s="27"/>
    </row>
    <row r="33" spans="2:76">
      <c r="B33" s="42" t="s">
        <v>7</v>
      </c>
      <c r="C33" s="112" t="s">
        <v>44</v>
      </c>
      <c r="D33" s="84">
        <f>VLOOKUP('Summary Table'!C23,'Scenarios Data'!B14:AR22,28,FALSE)</f>
        <v>85577.217046832913</v>
      </c>
      <c r="E33" s="84">
        <f>VLOOKUP('Summary Table'!C23,'Scenarios Data'!B14:AR22,29,FALSE)</f>
        <v>36018.180319880215</v>
      </c>
      <c r="F33" s="112" t="s">
        <v>41</v>
      </c>
      <c r="G33" s="6">
        <f>VLOOKUP('Summary Table'!C23,'Scenarios Data'!B14:AR22,28,FALSE)*('Summary Table'!H25/'Summary Table'!C111)</f>
        <v>85577.217046832913</v>
      </c>
      <c r="H33" s="5">
        <f t="shared" si="0"/>
        <v>1</v>
      </c>
      <c r="I33" s="5">
        <v>0.1</v>
      </c>
      <c r="J33" s="5">
        <f t="shared" si="1"/>
        <v>0.1</v>
      </c>
      <c r="K33" s="5">
        <v>0.65</v>
      </c>
      <c r="L33" s="5">
        <v>2020</v>
      </c>
      <c r="M33" s="5">
        <f t="shared" si="15"/>
        <v>607.5</v>
      </c>
      <c r="N33" s="5">
        <v>607.5</v>
      </c>
      <c r="O33" s="5"/>
      <c r="P33" s="5" t="s">
        <v>132</v>
      </c>
      <c r="Q33" s="7">
        <f>((G33/H33)/D33)^K33*H33*E33*(N33/M33)/'Constants &amp; Conversions'!$D$29</f>
        <v>3.6018180319880216E-2</v>
      </c>
      <c r="R33" s="7">
        <f t="shared" si="16"/>
        <v>3.7819089335874224E-2</v>
      </c>
      <c r="S33" s="5">
        <v>4.3</v>
      </c>
      <c r="T33" s="159">
        <f t="shared" si="18"/>
        <v>0.16262208414425916</v>
      </c>
      <c r="U33" s="28" t="s">
        <v>414</v>
      </c>
      <c r="W33" s="27"/>
      <c r="AS33" s="27"/>
      <c r="AT33" s="56" t="s">
        <v>10</v>
      </c>
      <c r="AU33" s="117" t="s">
        <v>45</v>
      </c>
      <c r="AV33" s="81">
        <v>294.25</v>
      </c>
      <c r="AW33" s="81">
        <v>14100</v>
      </c>
      <c r="AX33" s="117" t="s">
        <v>41</v>
      </c>
      <c r="AY33" s="119">
        <f>294.25*('Summary Table'!H25/'Summary Table'!C111)</f>
        <v>294.25</v>
      </c>
      <c r="AZ33" s="54">
        <f t="shared" si="7"/>
        <v>1</v>
      </c>
      <c r="BA33" s="54">
        <v>0</v>
      </c>
      <c r="BB33" s="54">
        <f t="shared" si="8"/>
        <v>0</v>
      </c>
      <c r="BC33" s="54">
        <v>0.52</v>
      </c>
      <c r="BD33" s="54">
        <v>2020</v>
      </c>
      <c r="BE33" s="54">
        <f t="shared" si="9"/>
        <v>607.5</v>
      </c>
      <c r="BF33" s="54">
        <v>607.5</v>
      </c>
      <c r="BG33" s="54"/>
      <c r="BH33" s="54" t="s">
        <v>132</v>
      </c>
      <c r="BI33" s="120">
        <f>((AY33/AZ33)/AV33)^BC33*AZ33*AW33*(BF33/BE33)/'Constants &amp; Conversions'!$D$29</f>
        <v>1.41E-2</v>
      </c>
      <c r="BJ33" s="120">
        <f t="shared" si="10"/>
        <v>1.4805E-2</v>
      </c>
      <c r="BK33" s="54">
        <v>4.3</v>
      </c>
      <c r="BL33" s="158">
        <f t="shared" si="11"/>
        <v>6.3661499999999996E-2</v>
      </c>
      <c r="BM33" s="55" t="s">
        <v>414</v>
      </c>
      <c r="BO33" s="27"/>
    </row>
    <row r="34" spans="2:76">
      <c r="B34" s="56" t="s">
        <v>8</v>
      </c>
      <c r="C34" s="117" t="s">
        <v>43</v>
      </c>
      <c r="D34" s="54">
        <v>200</v>
      </c>
      <c r="E34" s="54">
        <v>356000</v>
      </c>
      <c r="F34" s="117">
        <v>500</v>
      </c>
      <c r="G34" s="119">
        <f>VLOOKUP('Summary Table'!C23,'Scenarios Data'!B14:AR22,31,FALSE)*('Summary Table'!H25/'Summary Table'!C111)</f>
        <v>2509.5149999999999</v>
      </c>
      <c r="H34" s="54">
        <f>IF(ISNUMBER(F34), ROUNDUP(G34/F34,0),1)</f>
        <v>6</v>
      </c>
      <c r="I34" s="54">
        <v>0.5</v>
      </c>
      <c r="J34" s="54">
        <f t="shared" si="1"/>
        <v>3</v>
      </c>
      <c r="K34" s="54">
        <v>0.47499999999999998</v>
      </c>
      <c r="L34" s="54">
        <v>2014</v>
      </c>
      <c r="M34" s="54">
        <f t="shared" si="15"/>
        <v>576.1</v>
      </c>
      <c r="N34" s="54">
        <v>607.5</v>
      </c>
      <c r="O34" s="54"/>
      <c r="P34" s="54" t="s">
        <v>132</v>
      </c>
      <c r="Q34" s="120">
        <f>((G34/H34)/D34)^K34*H34*E34*(N34/M34)/'Constants &amp; Conversions'!$D$29</f>
        <v>3.1977441756424421</v>
      </c>
      <c r="R34" s="120">
        <f t="shared" si="16"/>
        <v>3.3576313844245642</v>
      </c>
      <c r="S34" s="54">
        <v>4.3</v>
      </c>
      <c r="T34" s="158">
        <f t="shared" si="18"/>
        <v>14.437814953025626</v>
      </c>
      <c r="U34" s="55" t="s">
        <v>415</v>
      </c>
      <c r="W34" s="27"/>
      <c r="AS34" s="27"/>
      <c r="AT34" s="153" t="s">
        <v>11</v>
      </c>
      <c r="AU34" s="546" t="s">
        <v>43</v>
      </c>
      <c r="AV34" s="9">
        <v>37.85</v>
      </c>
      <c r="AW34" s="9">
        <v>150000</v>
      </c>
      <c r="AX34" s="148">
        <v>50</v>
      </c>
      <c r="AY34" s="137">
        <f>696.82*('Summary Table'!H25/'Summary Table'!C111)</f>
        <v>696.82</v>
      </c>
      <c r="AZ34" s="9">
        <f t="shared" si="7"/>
        <v>14</v>
      </c>
      <c r="BA34" s="9">
        <v>0.5</v>
      </c>
      <c r="BB34" s="9">
        <f t="shared" si="8"/>
        <v>7</v>
      </c>
      <c r="BC34" s="9">
        <v>0.65</v>
      </c>
      <c r="BD34" s="9">
        <v>2020</v>
      </c>
      <c r="BE34" s="5">
        <f t="shared" si="9"/>
        <v>607.5</v>
      </c>
      <c r="BF34" s="9">
        <v>607.5</v>
      </c>
      <c r="BG34" s="9"/>
      <c r="BH34" s="9" t="s">
        <v>132</v>
      </c>
      <c r="BI34" s="143">
        <f>((AY34/AZ34)/AV34)^BC34*AZ34*AW34*(BF34/BE34)/'Constants &amp; Conversions'!$D$29</f>
        <v>2.5091212107594791</v>
      </c>
      <c r="BJ34" s="143">
        <f t="shared" si="10"/>
        <v>2.6345772712974531</v>
      </c>
      <c r="BK34" s="9">
        <v>4.3</v>
      </c>
      <c r="BL34" s="174">
        <f t="shared" si="11"/>
        <v>11.328682266579047</v>
      </c>
      <c r="BM34" s="263" t="s">
        <v>418</v>
      </c>
      <c r="BO34" s="27"/>
    </row>
    <row r="35" spans="2:76" ht="26">
      <c r="B35" s="42" t="s">
        <v>111</v>
      </c>
      <c r="C35" s="112" t="s">
        <v>45</v>
      </c>
      <c r="D35" s="5">
        <v>133.30000000000001</v>
      </c>
      <c r="E35" s="5">
        <f>207000+15890</f>
        <v>222890</v>
      </c>
      <c r="F35" s="112">
        <v>200</v>
      </c>
      <c r="G35" s="6">
        <f>VLOOKUP('Summary Table'!C23,'Scenarios Data'!B14:AR22,31,FALSE)*('Summary Table'!H25/'Summary Table'!C111)</f>
        <v>2509.5149999999999</v>
      </c>
      <c r="H35" s="5">
        <f t="shared" si="0"/>
        <v>13</v>
      </c>
      <c r="I35" s="5">
        <v>0.1</v>
      </c>
      <c r="J35" s="5">
        <f t="shared" si="1"/>
        <v>1.3</v>
      </c>
      <c r="K35" s="5">
        <v>0.6</v>
      </c>
      <c r="L35" s="5">
        <v>2020</v>
      </c>
      <c r="M35" s="5">
        <f t="shared" si="15"/>
        <v>607.5</v>
      </c>
      <c r="N35" s="5">
        <v>607.5</v>
      </c>
      <c r="O35" s="5"/>
      <c r="P35" s="5" t="s">
        <v>131</v>
      </c>
      <c r="Q35" s="7">
        <f>((G35/H35)/D35)^K35*H35*E35*(N35/M35)/'Constants &amp; Conversions'!$D$29</f>
        <v>3.6184594744880783</v>
      </c>
      <c r="R35" s="7">
        <f t="shared" si="16"/>
        <v>3.6184594744880783</v>
      </c>
      <c r="S35" s="5">
        <v>4.3</v>
      </c>
      <c r="T35" s="159">
        <f t="shared" si="18"/>
        <v>15.559375740298735</v>
      </c>
      <c r="U35" s="28" t="s">
        <v>416</v>
      </c>
      <c r="W35" s="27"/>
      <c r="X35" s="678" t="s">
        <v>620</v>
      </c>
      <c r="Y35" s="678"/>
      <c r="AS35" s="27"/>
      <c r="AT35" s="56" t="s">
        <v>33</v>
      </c>
      <c r="AU35" s="117" t="s">
        <v>45</v>
      </c>
      <c r="AV35" s="54">
        <v>80</v>
      </c>
      <c r="AW35" s="54">
        <f>250000*'Constants &amp; Conversions'!D30</f>
        <v>277500</v>
      </c>
      <c r="AX35" s="117">
        <v>120</v>
      </c>
      <c r="AY35" s="119">
        <f>348.41*('Summary Table'!H25/'Summary Table'!C111)</f>
        <v>348.41</v>
      </c>
      <c r="AZ35" s="54">
        <f t="shared" si="7"/>
        <v>3</v>
      </c>
      <c r="BA35" s="54">
        <v>0.6</v>
      </c>
      <c r="BB35" s="54">
        <f t="shared" si="8"/>
        <v>1.7999999999999998</v>
      </c>
      <c r="BC35" s="54">
        <v>0.67</v>
      </c>
      <c r="BD35" s="54">
        <v>2018</v>
      </c>
      <c r="BE35" s="54">
        <f t="shared" si="9"/>
        <v>603.1</v>
      </c>
      <c r="BF35" s="54">
        <v>607.5</v>
      </c>
      <c r="BG35" s="54"/>
      <c r="BH35" s="54" t="s">
        <v>131</v>
      </c>
      <c r="BI35" s="120">
        <f>((AY35/AZ35)/AV35)^BC35*AZ35*AW35*(BF35/BE35)/'Constants &amp; Conversions'!$D$29</f>
        <v>1.0764661400835853</v>
      </c>
      <c r="BJ35" s="120">
        <f t="shared" si="10"/>
        <v>1.0764661400835853</v>
      </c>
      <c r="BK35" s="54">
        <v>4.3</v>
      </c>
      <c r="BL35" s="158">
        <f t="shared" si="11"/>
        <v>4.6288044023594166</v>
      </c>
      <c r="BM35" s="55" t="s">
        <v>1049</v>
      </c>
      <c r="BO35" s="27"/>
      <c r="BP35" s="678" t="s">
        <v>620</v>
      </c>
      <c r="BQ35" s="678"/>
    </row>
    <row r="36" spans="2:76" ht="17" thickBot="1">
      <c r="B36" s="56" t="s">
        <v>29</v>
      </c>
      <c r="C36" s="117" t="s">
        <v>45</v>
      </c>
      <c r="D36" s="54">
        <v>114</v>
      </c>
      <c r="E36" s="122">
        <v>169680</v>
      </c>
      <c r="F36" s="117">
        <v>120</v>
      </c>
      <c r="G36" s="119">
        <f>351.128*('Summary Table'!H25/'Summary Table'!C111)</f>
        <v>351.12799999999999</v>
      </c>
      <c r="H36" s="54">
        <f t="shared" si="0"/>
        <v>3</v>
      </c>
      <c r="I36" s="54">
        <v>0.5</v>
      </c>
      <c r="J36" s="54">
        <f t="shared" si="1"/>
        <v>1.5</v>
      </c>
      <c r="K36" s="54">
        <v>0.67</v>
      </c>
      <c r="L36" s="54">
        <v>2020</v>
      </c>
      <c r="M36" s="54">
        <f t="shared" si="15"/>
        <v>607.5</v>
      </c>
      <c r="N36" s="54">
        <v>607.5</v>
      </c>
      <c r="O36" s="54"/>
      <c r="P36" s="54" t="s">
        <v>132</v>
      </c>
      <c r="Q36" s="120">
        <f>((G36/H36)/D36)^K36*H36*E36*(N36/M36)/'Constants &amp; Conversions'!$D$29</f>
        <v>0.51810320546293398</v>
      </c>
      <c r="R36" s="120">
        <f t="shared" si="16"/>
        <v>0.54400836573608069</v>
      </c>
      <c r="S36" s="54">
        <v>4.3</v>
      </c>
      <c r="T36" s="158">
        <f t="shared" si="18"/>
        <v>2.339235972665147</v>
      </c>
      <c r="U36" s="55" t="s">
        <v>417</v>
      </c>
      <c r="W36" s="27"/>
      <c r="AS36" s="27"/>
      <c r="AT36" s="153" t="s">
        <v>1046</v>
      </c>
      <c r="AU36" s="148" t="s">
        <v>128</v>
      </c>
      <c r="AV36" s="9">
        <v>37.200000000000003</v>
      </c>
      <c r="AW36" s="9">
        <v>311200</v>
      </c>
      <c r="AX36" s="148">
        <v>75</v>
      </c>
      <c r="AY36" s="137">
        <f>'Design Calculations'!C274*('Summary Table'!H25/'Summary Table'!C111)</f>
        <v>105.575</v>
      </c>
      <c r="AZ36" s="9">
        <f t="shared" si="7"/>
        <v>2</v>
      </c>
      <c r="BA36" s="9">
        <v>0.1</v>
      </c>
      <c r="BB36" s="9">
        <f t="shared" si="8"/>
        <v>0.2</v>
      </c>
      <c r="BC36" s="9">
        <v>0.67</v>
      </c>
      <c r="BD36" s="9">
        <v>2014</v>
      </c>
      <c r="BE36" s="5">
        <f t="shared" si="9"/>
        <v>576.1</v>
      </c>
      <c r="BF36" s="9">
        <v>607.5</v>
      </c>
      <c r="BG36" s="9"/>
      <c r="BH36" s="9" t="s">
        <v>132</v>
      </c>
      <c r="BI36" s="143">
        <f>((AY36/AZ36)/AV36)^BC36*AZ36*AW36*(BF36/BE36)/'Constants &amp; Conversions'!$D$29</f>
        <v>0.82975533718299821</v>
      </c>
      <c r="BJ36" s="143">
        <f t="shared" si="10"/>
        <v>0.87124310404214811</v>
      </c>
      <c r="BK36" s="9">
        <v>4.3</v>
      </c>
      <c r="BL36" s="174">
        <f t="shared" si="11"/>
        <v>3.7463453473812369</v>
      </c>
      <c r="BM36" s="263" t="s">
        <v>1056</v>
      </c>
      <c r="BO36" s="27"/>
    </row>
    <row r="37" spans="2:76" ht="17" thickBot="1">
      <c r="B37" s="42" t="s">
        <v>30</v>
      </c>
      <c r="C37" s="112" t="s">
        <v>376</v>
      </c>
      <c r="D37" s="5">
        <v>16000</v>
      </c>
      <c r="E37" s="5">
        <f>1800000*'Constants &amp; Conversions'!D30</f>
        <v>1998000.0000000002</v>
      </c>
      <c r="F37" s="112">
        <v>16000</v>
      </c>
      <c r="G37" s="6">
        <f>43241.3*('Summary Table'!H25/'Summary Table'!C111)</f>
        <v>43241.3</v>
      </c>
      <c r="H37" s="5">
        <f t="shared" si="0"/>
        <v>3</v>
      </c>
      <c r="I37" s="5">
        <v>0.5</v>
      </c>
      <c r="J37" s="5">
        <f t="shared" si="1"/>
        <v>1.5</v>
      </c>
      <c r="K37" s="5">
        <v>0.71</v>
      </c>
      <c r="L37" s="5">
        <v>2020</v>
      </c>
      <c r="M37" s="5">
        <f t="shared" si="15"/>
        <v>607.5</v>
      </c>
      <c r="N37" s="5">
        <v>607.5</v>
      </c>
      <c r="O37" s="5"/>
      <c r="P37" s="5" t="s">
        <v>131</v>
      </c>
      <c r="Q37" s="7">
        <f>((G37/H37)/D37)^K37*H37*E37*(N37/M37)/'Constants &amp; Conversions'!$D$29</f>
        <v>5.5657483588617289</v>
      </c>
      <c r="R37" s="7">
        <f t="shared" si="16"/>
        <v>5.5657483588617289</v>
      </c>
      <c r="S37" s="5">
        <v>4.3</v>
      </c>
      <c r="T37" s="159">
        <f t="shared" si="18"/>
        <v>23.932717943105434</v>
      </c>
      <c r="U37" s="28" t="s">
        <v>413</v>
      </c>
      <c r="W37" s="27"/>
      <c r="X37" s="103"/>
      <c r="Y37" s="104" t="s">
        <v>46</v>
      </c>
      <c r="Z37" s="104" t="s">
        <v>62</v>
      </c>
      <c r="AA37" s="104" t="s">
        <v>312</v>
      </c>
      <c r="AB37" s="104" t="s">
        <v>47</v>
      </c>
      <c r="AC37" s="105" t="s">
        <v>75</v>
      </c>
      <c r="AS37" s="27"/>
      <c r="AT37" s="56" t="s">
        <v>34</v>
      </c>
      <c r="AU37" s="117" t="s">
        <v>45</v>
      </c>
      <c r="AV37" s="81">
        <v>336.96</v>
      </c>
      <c r="AW37" s="81">
        <v>68824</v>
      </c>
      <c r="AX37" s="117" t="s">
        <v>41</v>
      </c>
      <c r="AY37" s="119">
        <f>336.96*('Summary Table'!H25/'Summary Table'!C111)</f>
        <v>336.96</v>
      </c>
      <c r="AZ37" s="54">
        <f t="shared" si="7"/>
        <v>1</v>
      </c>
      <c r="BA37" s="54">
        <v>0.1</v>
      </c>
      <c r="BB37" s="54">
        <f t="shared" si="8"/>
        <v>0.1</v>
      </c>
      <c r="BC37" s="54">
        <v>0.65</v>
      </c>
      <c r="BD37" s="54">
        <v>2020</v>
      </c>
      <c r="BE37" s="54">
        <f t="shared" si="9"/>
        <v>607.5</v>
      </c>
      <c r="BF37" s="54">
        <v>607.5</v>
      </c>
      <c r="BG37" s="54"/>
      <c r="BH37" s="124" t="s">
        <v>132</v>
      </c>
      <c r="BI37" s="120">
        <f>((AY37/AZ37)/AV37)^BC37*AZ37*AW37*(BF37/BE37)/'Constants &amp; Conversions'!$D$29</f>
        <v>6.8823999999999996E-2</v>
      </c>
      <c r="BJ37" s="120">
        <f t="shared" si="10"/>
        <v>7.2265200000000002E-2</v>
      </c>
      <c r="BK37" s="54">
        <v>4.3</v>
      </c>
      <c r="BL37" s="158">
        <f t="shared" si="11"/>
        <v>0.31074035999999999</v>
      </c>
      <c r="BM37" s="125" t="s">
        <v>414</v>
      </c>
      <c r="BO37" s="27"/>
      <c r="BP37" s="103"/>
      <c r="BQ37" s="104" t="s">
        <v>46</v>
      </c>
      <c r="BR37" s="104" t="s">
        <v>62</v>
      </c>
      <c r="BS37" s="104" t="s">
        <v>312</v>
      </c>
      <c r="BT37" s="104" t="s">
        <v>15</v>
      </c>
      <c r="BU37" s="104" t="s">
        <v>782</v>
      </c>
      <c r="BV37" s="104" t="s">
        <v>25</v>
      </c>
      <c r="BW37" s="104" t="s">
        <v>47</v>
      </c>
      <c r="BX37" s="105" t="s">
        <v>75</v>
      </c>
    </row>
    <row r="38" spans="2:76">
      <c r="B38" s="56" t="s">
        <v>9</v>
      </c>
      <c r="C38" s="117" t="s">
        <v>44</v>
      </c>
      <c r="D38" s="81">
        <v>1879330</v>
      </c>
      <c r="E38" s="81">
        <v>2233650</v>
      </c>
      <c r="F38" s="117" t="s">
        <v>41</v>
      </c>
      <c r="G38" s="119">
        <f>1879330*('Summary Table'!H25/'Summary Table'!C111)</f>
        <v>1879330</v>
      </c>
      <c r="H38" s="54">
        <f t="shared" si="0"/>
        <v>1</v>
      </c>
      <c r="I38" s="54">
        <v>0.1</v>
      </c>
      <c r="J38" s="54">
        <f t="shared" si="1"/>
        <v>0.1</v>
      </c>
      <c r="K38" s="54">
        <v>0.65</v>
      </c>
      <c r="L38" s="54">
        <v>2020</v>
      </c>
      <c r="M38" s="54">
        <f t="shared" si="15"/>
        <v>607.5</v>
      </c>
      <c r="N38" s="54">
        <v>607.5</v>
      </c>
      <c r="O38" s="54"/>
      <c r="P38" s="54" t="s">
        <v>132</v>
      </c>
      <c r="Q38" s="120">
        <f>((G38/H38)/D38)^K38*H38*E38*(N38/M38)/'Constants &amp; Conversions'!$D$29</f>
        <v>2.2336499999999999</v>
      </c>
      <c r="R38" s="120">
        <f t="shared" si="16"/>
        <v>2.3453325</v>
      </c>
      <c r="S38" s="54">
        <v>4.3</v>
      </c>
      <c r="T38" s="158">
        <f t="shared" si="18"/>
        <v>10.084929750000001</v>
      </c>
      <c r="U38" s="55" t="s">
        <v>414</v>
      </c>
      <c r="W38" s="27"/>
      <c r="X38" s="42" t="s">
        <v>51</v>
      </c>
      <c r="Y38" s="5" t="s">
        <v>63</v>
      </c>
      <c r="Z38" s="5">
        <f>'Summary Table'!H42</f>
        <v>30</v>
      </c>
      <c r="AA38" s="5" t="s">
        <v>320</v>
      </c>
      <c r="AB38" s="15">
        <f>VLOOKUP('Summary Table'!C23,'Scenarios Data'!B29:U37,8,FALSE)*'Constants &amp; Conversions'!D19/'Constants &amp; Conversions'!D28*('Summary Table'!H25/'Summary Table'!C111)</f>
        <v>1117345.32</v>
      </c>
      <c r="AC38" s="569">
        <f>Z38*AB38/'Constants &amp; Conversions'!D29</f>
        <v>33.520359599999999</v>
      </c>
      <c r="AS38" s="27"/>
      <c r="AT38" s="153" t="s">
        <v>12</v>
      </c>
      <c r="AU38" s="148" t="s">
        <v>43</v>
      </c>
      <c r="AV38" s="9">
        <v>100</v>
      </c>
      <c r="AW38" s="9">
        <v>500000</v>
      </c>
      <c r="AX38" s="148">
        <v>150</v>
      </c>
      <c r="AY38" s="137">
        <f>422.91*('Summary Table'!H25/'Summary Table'!C111)</f>
        <v>422.91</v>
      </c>
      <c r="AZ38" s="9">
        <f t="shared" si="7"/>
        <v>3</v>
      </c>
      <c r="BA38" s="9">
        <v>0.25</v>
      </c>
      <c r="BB38" s="9">
        <f t="shared" si="8"/>
        <v>0.75</v>
      </c>
      <c r="BC38" s="9">
        <v>0.5</v>
      </c>
      <c r="BD38" s="9">
        <v>2012</v>
      </c>
      <c r="BE38" s="5">
        <f t="shared" si="9"/>
        <v>584.6</v>
      </c>
      <c r="BF38" s="9">
        <v>607.5</v>
      </c>
      <c r="BG38" s="9"/>
      <c r="BH38" s="326" t="s">
        <v>132</v>
      </c>
      <c r="BI38" s="143">
        <f>((AY38/AZ38)/AV38)^BC38*AZ38*AW38*(BF38/BE38)/'Constants &amp; Conversions'!$D$29</f>
        <v>1.8507258038265622</v>
      </c>
      <c r="BJ38" s="143">
        <f t="shared" si="10"/>
        <v>1.9432620940178902</v>
      </c>
      <c r="BK38" s="9">
        <v>4.3</v>
      </c>
      <c r="BL38" s="174">
        <f t="shared" si="11"/>
        <v>8.3560270042769282</v>
      </c>
      <c r="BM38" s="263" t="s">
        <v>420</v>
      </c>
      <c r="BO38" s="27"/>
      <c r="BP38" s="261" t="s">
        <v>768</v>
      </c>
      <c r="BQ38" s="9" t="s">
        <v>65</v>
      </c>
      <c r="BR38" s="470">
        <f>'Summary Table'!H48</f>
        <v>0.51380000000000003</v>
      </c>
      <c r="BS38" s="472" t="s">
        <v>781</v>
      </c>
      <c r="BT38" s="472"/>
      <c r="BU38" s="472"/>
      <c r="BV38" s="485"/>
      <c r="BW38" s="474">
        <f>F77</f>
        <v>225942050.38944</v>
      </c>
      <c r="BX38" s="567">
        <f>BR38*BW38/'Constants &amp; Conversions'!D29</f>
        <v>116.08902549009427</v>
      </c>
    </row>
    <row r="39" spans="2:76">
      <c r="B39" s="42" t="s">
        <v>10</v>
      </c>
      <c r="C39" s="112" t="s">
        <v>45</v>
      </c>
      <c r="D39" s="84">
        <v>294.25</v>
      </c>
      <c r="E39" s="84">
        <v>14100</v>
      </c>
      <c r="F39" s="112" t="s">
        <v>41</v>
      </c>
      <c r="G39" s="6">
        <f>294.25*('Summary Table'!H25/'Summary Table'!C111)</f>
        <v>294.25</v>
      </c>
      <c r="H39" s="5">
        <f t="shared" si="0"/>
        <v>1</v>
      </c>
      <c r="I39" s="5">
        <v>0</v>
      </c>
      <c r="J39" s="5">
        <f t="shared" si="1"/>
        <v>0</v>
      </c>
      <c r="K39" s="5">
        <v>0.52</v>
      </c>
      <c r="L39" s="5">
        <v>2020</v>
      </c>
      <c r="M39" s="5">
        <f t="shared" si="15"/>
        <v>607.5</v>
      </c>
      <c r="N39" s="5">
        <v>607.5</v>
      </c>
      <c r="O39" s="5"/>
      <c r="P39" s="5" t="s">
        <v>132</v>
      </c>
      <c r="Q39" s="7">
        <f>((G39/H39)/D39)^K39*H39*E39*(N39/M39)/'Constants &amp; Conversions'!$D$29</f>
        <v>1.41E-2</v>
      </c>
      <c r="R39" s="7">
        <f t="shared" si="16"/>
        <v>1.4805E-2</v>
      </c>
      <c r="S39" s="5">
        <v>4.3</v>
      </c>
      <c r="T39" s="159">
        <f t="shared" si="18"/>
        <v>6.3661499999999996E-2</v>
      </c>
      <c r="U39" s="28" t="s">
        <v>414</v>
      </c>
      <c r="W39" s="27"/>
      <c r="X39" s="56" t="s">
        <v>52</v>
      </c>
      <c r="Y39" s="54" t="s">
        <v>63</v>
      </c>
      <c r="Z39" s="120">
        <f>'Summary Table'!H43*'Constants &amp; Conversions'!D31*'Constants &amp; Conversions'!D28</f>
        <v>0.50150451354062187</v>
      </c>
      <c r="AA39" s="54" t="s">
        <v>320</v>
      </c>
      <c r="AB39" s="118">
        <f>VLOOKUP('Summary Table'!C23,'Scenarios Data'!B29:U37,12,FALSE)*'Constants &amp; Conversions'!D19/'Constants &amp; Conversions'!D28*('Summary Table'!H25/'Summary Table'!C111)</f>
        <v>18687060</v>
      </c>
      <c r="AC39" s="564">
        <f>Z39*AB39/'Constants &amp; Conversions'!D29</f>
        <v>9.3716449348044133</v>
      </c>
      <c r="AS39" s="27"/>
      <c r="AT39" s="56" t="s">
        <v>35</v>
      </c>
      <c r="AU39" s="117" t="s">
        <v>45</v>
      </c>
      <c r="AV39" s="54">
        <v>133.30000000000001</v>
      </c>
      <c r="AW39" s="54">
        <f>207000+15890</f>
        <v>222890</v>
      </c>
      <c r="AX39" s="117">
        <v>200</v>
      </c>
      <c r="AY39" s="119">
        <f>422.91*('Summary Table'!H25/'Summary Table'!C111)</f>
        <v>422.91</v>
      </c>
      <c r="AZ39" s="54">
        <f t="shared" si="7"/>
        <v>3</v>
      </c>
      <c r="BA39" s="54">
        <v>0.1</v>
      </c>
      <c r="BB39" s="54">
        <f t="shared" si="8"/>
        <v>0.30000000000000004</v>
      </c>
      <c r="BC39" s="54">
        <v>0.6</v>
      </c>
      <c r="BD39" s="54">
        <v>2020</v>
      </c>
      <c r="BE39" s="54">
        <f t="shared" si="9"/>
        <v>607.5</v>
      </c>
      <c r="BF39" s="54">
        <v>607.5</v>
      </c>
      <c r="BG39" s="54"/>
      <c r="BH39" s="54" t="s">
        <v>131</v>
      </c>
      <c r="BI39" s="120">
        <f>((AY39/AZ39)/AV39)^BC39*AZ39*AW39*(BF39/BE39)/'Constants &amp; Conversions'!$D$29</f>
        <v>0.69149615426131195</v>
      </c>
      <c r="BJ39" s="120">
        <f t="shared" si="10"/>
        <v>0.69149615426131195</v>
      </c>
      <c r="BK39" s="54">
        <v>4.3</v>
      </c>
      <c r="BL39" s="158">
        <f t="shared" si="11"/>
        <v>2.9734334633236412</v>
      </c>
      <c r="BM39" s="55" t="s">
        <v>419</v>
      </c>
      <c r="BO39" s="27"/>
      <c r="BP39" s="468" t="s">
        <v>68</v>
      </c>
      <c r="BQ39" s="54" t="s">
        <v>347</v>
      </c>
      <c r="BR39" s="469">
        <f>'Summary Table'!H43</f>
        <v>0.5</v>
      </c>
      <c r="BS39" s="471" t="s">
        <v>322</v>
      </c>
      <c r="BT39" s="471"/>
      <c r="BU39" s="471"/>
      <c r="BV39" s="484"/>
      <c r="BW39" s="473">
        <f>F77*0.7/'Constants &amp; Conversions'!D32</f>
        <v>71739998.399999991</v>
      </c>
      <c r="BX39" s="564">
        <f>BW39*'Constants &amp; Conversions'!D31*BR39/'Constants &amp; Conversions'!D29</f>
        <v>3.5977932998996986E-2</v>
      </c>
    </row>
    <row r="40" spans="2:76">
      <c r="B40" s="56" t="s">
        <v>11</v>
      </c>
      <c r="C40" s="123" t="s">
        <v>43</v>
      </c>
      <c r="D40" s="54">
        <v>37.85</v>
      </c>
      <c r="E40" s="54">
        <v>150000</v>
      </c>
      <c r="F40" s="117">
        <v>50</v>
      </c>
      <c r="G40" s="119">
        <f>696.82*('Summary Table'!H25/'Summary Table'!C111)</f>
        <v>696.82</v>
      </c>
      <c r="H40" s="54">
        <f t="shared" si="0"/>
        <v>14</v>
      </c>
      <c r="I40" s="54">
        <v>0.5</v>
      </c>
      <c r="J40" s="54">
        <f t="shared" si="1"/>
        <v>7</v>
      </c>
      <c r="K40" s="54">
        <v>0.65</v>
      </c>
      <c r="L40" s="54">
        <v>2020</v>
      </c>
      <c r="M40" s="54">
        <f t="shared" si="15"/>
        <v>607.5</v>
      </c>
      <c r="N40" s="54">
        <v>607.5</v>
      </c>
      <c r="O40" s="54"/>
      <c r="P40" s="54" t="s">
        <v>132</v>
      </c>
      <c r="Q40" s="120">
        <f>((G40/H40)/D40)^K40*H40*E40*(N40/M40)/'Constants &amp; Conversions'!$D$29</f>
        <v>2.5091212107594791</v>
      </c>
      <c r="R40" s="120">
        <f t="shared" si="16"/>
        <v>2.6345772712974531</v>
      </c>
      <c r="S40" s="54">
        <v>4.3</v>
      </c>
      <c r="T40" s="158">
        <f t="shared" si="18"/>
        <v>11.328682266579047</v>
      </c>
      <c r="U40" s="55" t="s">
        <v>418</v>
      </c>
      <c r="W40" s="27"/>
      <c r="X40" s="42" t="s">
        <v>57</v>
      </c>
      <c r="Y40" s="5" t="s">
        <v>64</v>
      </c>
      <c r="Z40" s="5">
        <v>1335</v>
      </c>
      <c r="AA40" s="5" t="s">
        <v>322</v>
      </c>
      <c r="AB40" s="15">
        <f>'Design Calculations'!C236</f>
        <v>8659.2973825518984</v>
      </c>
      <c r="AC40" s="569">
        <f>Z40*AB40/'Constants &amp; Conversions'!D29</f>
        <v>11.560162005706784</v>
      </c>
      <c r="AS40" s="27"/>
      <c r="AT40" s="153" t="s">
        <v>1045</v>
      </c>
      <c r="AU40" s="148" t="s">
        <v>128</v>
      </c>
      <c r="AV40" s="9">
        <v>29.2</v>
      </c>
      <c r="AW40" s="9">
        <v>910000</v>
      </c>
      <c r="AX40" s="148">
        <v>75</v>
      </c>
      <c r="AY40" s="137">
        <f>'Design Calculations'!C265*('Summary Table'!H25/'Summary Table'!C111)</f>
        <v>258.07499999999999</v>
      </c>
      <c r="AZ40" s="9">
        <f t="shared" si="7"/>
        <v>4</v>
      </c>
      <c r="BA40" s="9">
        <v>0.17</v>
      </c>
      <c r="BB40" s="9">
        <f t="shared" si="8"/>
        <v>0.68</v>
      </c>
      <c r="BC40" s="9">
        <v>0.67</v>
      </c>
      <c r="BD40" s="9">
        <v>2020</v>
      </c>
      <c r="BE40" s="5">
        <f t="shared" si="9"/>
        <v>607.5</v>
      </c>
      <c r="BF40" s="9">
        <v>607.5</v>
      </c>
      <c r="BG40" s="9"/>
      <c r="BH40" s="326" t="s">
        <v>132</v>
      </c>
      <c r="BI40" s="143">
        <f>((AY40/AZ40)/AV40)^BC40*AZ40*AW40*(BF40/BE40)/'Constants &amp; Conversions'!$D$29</f>
        <v>6.1913371771277701</v>
      </c>
      <c r="BJ40" s="143">
        <f>IF(BH40="YES",BI40,0.05*BI40+BI40)</f>
        <v>6.500904035984159</v>
      </c>
      <c r="BK40" s="9">
        <v>4.3</v>
      </c>
      <c r="BL40" s="174">
        <f t="shared" si="11"/>
        <v>27.953887354731883</v>
      </c>
      <c r="BM40" s="263" t="s">
        <v>412</v>
      </c>
      <c r="BO40" s="27"/>
      <c r="BP40" s="261" t="s">
        <v>769</v>
      </c>
      <c r="BQ40" s="9"/>
      <c r="BR40" s="470"/>
      <c r="BS40" s="472" t="s">
        <v>774</v>
      </c>
      <c r="BT40" s="470">
        <v>2000</v>
      </c>
      <c r="BU40" s="470">
        <v>6900000</v>
      </c>
      <c r="BV40" s="485">
        <f>(BU23/BR23)</f>
        <v>0.14848800000000001</v>
      </c>
      <c r="BW40" s="474">
        <f>BV40*BT40</f>
        <v>296.976</v>
      </c>
      <c r="BX40" s="565">
        <f>BV40*BU40/'Constants &amp; Conversions'!D29</f>
        <v>1.0245672000000001</v>
      </c>
    </row>
    <row r="41" spans="2:76">
      <c r="B41" s="42" t="s">
        <v>33</v>
      </c>
      <c r="C41" s="112" t="s">
        <v>45</v>
      </c>
      <c r="D41" s="5">
        <v>80</v>
      </c>
      <c r="E41" s="5">
        <f>250000*'Constants &amp; Conversions'!D30</f>
        <v>277500</v>
      </c>
      <c r="F41" s="112">
        <v>120</v>
      </c>
      <c r="G41" s="6">
        <f>348.41*('Summary Table'!H25/'Summary Table'!C111)</f>
        <v>348.41</v>
      </c>
      <c r="H41" s="5">
        <f t="shared" si="0"/>
        <v>3</v>
      </c>
      <c r="I41" s="5">
        <v>0.6</v>
      </c>
      <c r="J41" s="5">
        <f t="shared" si="1"/>
        <v>1.7999999999999998</v>
      </c>
      <c r="K41" s="5">
        <v>0.67</v>
      </c>
      <c r="L41" s="5">
        <v>2018</v>
      </c>
      <c r="M41" s="5">
        <f t="shared" si="15"/>
        <v>603.1</v>
      </c>
      <c r="N41" s="5">
        <v>607.5</v>
      </c>
      <c r="O41" s="5"/>
      <c r="P41" s="5" t="s">
        <v>131</v>
      </c>
      <c r="Q41" s="7">
        <f>((G41/H41)/D41)^K41*H41*E41*(N41/M41)/'Constants &amp; Conversions'!$D$29</f>
        <v>1.0764661400835853</v>
      </c>
      <c r="R41" s="7">
        <f t="shared" si="16"/>
        <v>1.0764661400835853</v>
      </c>
      <c r="S41" s="5">
        <v>4.3</v>
      </c>
      <c r="T41" s="159">
        <f t="shared" si="18"/>
        <v>4.6288044023594166</v>
      </c>
      <c r="U41" s="28" t="s">
        <v>1049</v>
      </c>
      <c r="W41" s="27"/>
      <c r="X41" s="56" t="s">
        <v>58</v>
      </c>
      <c r="Y41" s="54" t="s">
        <v>64</v>
      </c>
      <c r="Z41" s="54">
        <v>435</v>
      </c>
      <c r="AA41" s="54" t="s">
        <v>322</v>
      </c>
      <c r="AB41" s="129">
        <f>'Design Calculations'!I236</f>
        <v>11545.729843402531</v>
      </c>
      <c r="AC41" s="564">
        <f>Z41*AB41/'Constants &amp; Conversions'!D29</f>
        <v>5.0223924818801002</v>
      </c>
      <c r="AS41" s="27"/>
      <c r="AT41" s="56" t="s">
        <v>36</v>
      </c>
      <c r="AU41" s="117" t="s">
        <v>45</v>
      </c>
      <c r="AV41" s="54">
        <v>50</v>
      </c>
      <c r="AW41" s="54">
        <v>1500000</v>
      </c>
      <c r="AX41" s="117" t="s">
        <v>41</v>
      </c>
      <c r="AY41" s="119">
        <f>555.34*('Summary Table'!H25/'Summary Table'!C111)</f>
        <v>555.34</v>
      </c>
      <c r="AZ41" s="54">
        <f t="shared" si="7"/>
        <v>1</v>
      </c>
      <c r="BA41" s="54">
        <v>1</v>
      </c>
      <c r="BB41" s="54">
        <f t="shared" si="8"/>
        <v>1</v>
      </c>
      <c r="BC41" s="54">
        <v>1</v>
      </c>
      <c r="BD41" s="54">
        <v>2020</v>
      </c>
      <c r="BE41" s="54">
        <f t="shared" si="9"/>
        <v>607.5</v>
      </c>
      <c r="BF41" s="54">
        <v>607.5</v>
      </c>
      <c r="BG41" s="54"/>
      <c r="BH41" s="54" t="s">
        <v>132</v>
      </c>
      <c r="BI41" s="120">
        <f>((AY41/AZ41)/AV41)^BC41*AZ41*AW41*(BF41/BE41)/'Constants &amp; Conversions'!$D$29</f>
        <v>16.6602</v>
      </c>
      <c r="BJ41" s="120">
        <f t="shared" si="10"/>
        <v>17.493210000000001</v>
      </c>
      <c r="BK41" s="54">
        <v>4.3</v>
      </c>
      <c r="BL41" s="158">
        <f t="shared" si="11"/>
        <v>75.220803000000004</v>
      </c>
      <c r="BM41" s="55" t="s">
        <v>1057</v>
      </c>
      <c r="BO41" s="27"/>
      <c r="BP41" s="56" t="s">
        <v>770</v>
      </c>
      <c r="BQ41" s="54" t="s">
        <v>63</v>
      </c>
      <c r="BR41" s="118">
        <f>VLOOKUP('Summary Table'!H44,'Market Variable Data'!B36:C38,2,FALSE)</f>
        <v>5250</v>
      </c>
      <c r="BS41" s="54" t="s">
        <v>320</v>
      </c>
      <c r="BT41" s="117">
        <f>0.039*2000*'Constants &amp; Conversions'!D20</f>
        <v>27300</v>
      </c>
      <c r="BU41" s="117"/>
      <c r="BV41" s="493">
        <f>(BU23/BR23)</f>
        <v>0.14848800000000001</v>
      </c>
      <c r="BW41" s="118">
        <f>BV41*BT41</f>
        <v>4053.7224000000001</v>
      </c>
      <c r="BX41" s="564">
        <f>BR41*BW41/'Constants &amp; Conversions'!D29</f>
        <v>21.2820426</v>
      </c>
    </row>
    <row r="42" spans="2:76" ht="17" thickBot="1">
      <c r="B42" s="56" t="s">
        <v>1046</v>
      </c>
      <c r="C42" s="117" t="s">
        <v>128</v>
      </c>
      <c r="D42" s="54">
        <v>37.200000000000003</v>
      </c>
      <c r="E42" s="54">
        <v>311200</v>
      </c>
      <c r="F42" s="117">
        <v>75</v>
      </c>
      <c r="G42" s="119">
        <f>'Design Calculations'!C274*('Summary Table'!H25/'Summary Table'!C111)</f>
        <v>105.575</v>
      </c>
      <c r="H42" s="54">
        <f t="shared" si="0"/>
        <v>2</v>
      </c>
      <c r="I42" s="54">
        <v>0.1</v>
      </c>
      <c r="J42" s="54">
        <f t="shared" si="1"/>
        <v>0.2</v>
      </c>
      <c r="K42" s="54">
        <v>0.67</v>
      </c>
      <c r="L42" s="54">
        <v>2014</v>
      </c>
      <c r="M42" s="54">
        <f t="shared" si="15"/>
        <v>576.1</v>
      </c>
      <c r="N42" s="54">
        <v>607.5</v>
      </c>
      <c r="O42" s="54"/>
      <c r="P42" s="54" t="s">
        <v>132</v>
      </c>
      <c r="Q42" s="120">
        <f>((G42/H42)/D42)^K42*H42*E42*(N42/M42)/'Constants &amp; Conversions'!$D$29</f>
        <v>0.82975533718299821</v>
      </c>
      <c r="R42" s="120">
        <f t="shared" si="16"/>
        <v>0.87124310404214811</v>
      </c>
      <c r="S42" s="54">
        <v>4.3</v>
      </c>
      <c r="T42" s="158">
        <f t="shared" si="18"/>
        <v>3.7463453473812369</v>
      </c>
      <c r="U42" s="55" t="s">
        <v>1056</v>
      </c>
      <c r="W42" s="27"/>
      <c r="X42" s="43" t="s">
        <v>85</v>
      </c>
      <c r="Y42" s="30" t="s">
        <v>63</v>
      </c>
      <c r="Z42" s="30">
        <v>10</v>
      </c>
      <c r="AA42" s="30" t="s">
        <v>320</v>
      </c>
      <c r="AB42" s="127">
        <f>('Carbon Flow'!K58*'Constants &amp; Conversions'!H16)*'Constants &amp; Conversions'!D19/'Constants &amp; Conversions'!D28*('Summary Table'!H25/'Summary Table'!C111)</f>
        <v>1420886.3006520001</v>
      </c>
      <c r="AC42" s="570">
        <f>Z42*AB42/'Constants &amp; Conversions'!D29</f>
        <v>14.208863006520001</v>
      </c>
      <c r="AS42" s="27"/>
      <c r="AT42" s="153" t="s">
        <v>13</v>
      </c>
      <c r="AU42" s="148" t="s">
        <v>45</v>
      </c>
      <c r="AV42" s="466">
        <v>540.19000000000005</v>
      </c>
      <c r="AW42" s="466">
        <v>2606500</v>
      </c>
      <c r="AX42" s="148" t="s">
        <v>41</v>
      </c>
      <c r="AY42" s="137">
        <f>540.19*('Summary Table'!H25/'Summary Table'!C111)</f>
        <v>540.19000000000005</v>
      </c>
      <c r="AZ42" s="9">
        <f t="shared" si="7"/>
        <v>1</v>
      </c>
      <c r="BA42" s="9">
        <v>0.5</v>
      </c>
      <c r="BB42" s="9">
        <f t="shared" si="8"/>
        <v>0.5</v>
      </c>
      <c r="BC42" s="9">
        <v>0.67500000000000004</v>
      </c>
      <c r="BD42" s="9">
        <v>2020</v>
      </c>
      <c r="BE42" s="5">
        <f t="shared" si="9"/>
        <v>607.5</v>
      </c>
      <c r="BF42" s="9">
        <v>607.5</v>
      </c>
      <c r="BG42" s="9"/>
      <c r="BH42" s="326" t="s">
        <v>132</v>
      </c>
      <c r="BI42" s="143">
        <f>((AY42/AZ42)/AV42)^BC42*AZ42*AW42*(BF42/BE42)/'Constants &amp; Conversions'!$D$29</f>
        <v>2.6065</v>
      </c>
      <c r="BJ42" s="143">
        <f t="shared" si="10"/>
        <v>2.7368250000000001</v>
      </c>
      <c r="BK42" s="9">
        <v>4.3</v>
      </c>
      <c r="BL42" s="174">
        <f t="shared" si="11"/>
        <v>11.768347499999999</v>
      </c>
      <c r="BM42" s="391" t="s">
        <v>414</v>
      </c>
      <c r="BO42" s="27"/>
      <c r="BP42" s="172" t="s">
        <v>771</v>
      </c>
      <c r="BQ42" s="139"/>
      <c r="BR42" s="139"/>
      <c r="BS42" s="139" t="s">
        <v>774</v>
      </c>
      <c r="BT42" s="175">
        <v>2000</v>
      </c>
      <c r="BU42" s="175">
        <v>4100000</v>
      </c>
      <c r="BV42" s="492">
        <f>(BU23/BR23)</f>
        <v>0.14848800000000001</v>
      </c>
      <c r="BW42" s="173">
        <f>BV42*BT42</f>
        <v>296.976</v>
      </c>
      <c r="BX42" s="566">
        <f>BV42*BU42/'Constants &amp; Conversions'!D29</f>
        <v>0.60880080000000003</v>
      </c>
    </row>
    <row r="43" spans="2:76" ht="17" thickBot="1">
      <c r="B43" s="42" t="s">
        <v>34</v>
      </c>
      <c r="C43" s="112" t="s">
        <v>45</v>
      </c>
      <c r="D43" s="84">
        <v>336.96</v>
      </c>
      <c r="E43" s="84">
        <v>68824</v>
      </c>
      <c r="F43" s="112" t="s">
        <v>41</v>
      </c>
      <c r="G43" s="6">
        <f>336.96*('Summary Table'!H25/'Summary Table'!C111)</f>
        <v>336.96</v>
      </c>
      <c r="H43" s="5">
        <f t="shared" si="0"/>
        <v>1</v>
      </c>
      <c r="I43" s="5">
        <v>0.1</v>
      </c>
      <c r="J43" s="5">
        <f t="shared" si="1"/>
        <v>0.1</v>
      </c>
      <c r="K43" s="5">
        <v>0.65</v>
      </c>
      <c r="L43" s="5">
        <v>2020</v>
      </c>
      <c r="M43" s="5">
        <f t="shared" si="15"/>
        <v>607.5</v>
      </c>
      <c r="N43" s="5">
        <v>607.5</v>
      </c>
      <c r="O43" s="5"/>
      <c r="P43" s="13" t="s">
        <v>132</v>
      </c>
      <c r="Q43" s="7">
        <f>((G43/H43)/D43)^K43*H43*E43*(N43/M43)/'Constants &amp; Conversions'!$D$29</f>
        <v>6.8823999999999996E-2</v>
      </c>
      <c r="R43" s="7">
        <f t="shared" si="16"/>
        <v>7.2265200000000002E-2</v>
      </c>
      <c r="S43" s="5">
        <v>4.3</v>
      </c>
      <c r="T43" s="159">
        <f t="shared" si="18"/>
        <v>0.31074035999999999</v>
      </c>
      <c r="U43" s="108" t="s">
        <v>414</v>
      </c>
      <c r="W43" s="27"/>
      <c r="X43" s="14"/>
      <c r="Y43" s="5"/>
      <c r="Z43" s="5"/>
      <c r="AA43" s="5"/>
      <c r="AB43" s="15"/>
      <c r="AC43" s="159"/>
      <c r="AS43" s="27"/>
      <c r="AT43" s="56" t="s">
        <v>37</v>
      </c>
      <c r="AU43" s="117" t="s">
        <v>45</v>
      </c>
      <c r="AV43" s="81">
        <v>122.65</v>
      </c>
      <c r="AW43" s="81">
        <v>56182</v>
      </c>
      <c r="AX43" s="117" t="s">
        <v>41</v>
      </c>
      <c r="AY43" s="119">
        <f>122.65*('Summary Table'!H25/'Summary Table'!C111)</f>
        <v>122.65</v>
      </c>
      <c r="AZ43" s="54">
        <f t="shared" si="7"/>
        <v>1</v>
      </c>
      <c r="BA43" s="54">
        <v>0.1</v>
      </c>
      <c r="BB43" s="54">
        <f t="shared" si="8"/>
        <v>0.1</v>
      </c>
      <c r="BC43" s="54">
        <v>0.65</v>
      </c>
      <c r="BD43" s="54">
        <v>2020</v>
      </c>
      <c r="BE43" s="54">
        <f t="shared" si="9"/>
        <v>607.5</v>
      </c>
      <c r="BF43" s="54">
        <v>607.5</v>
      </c>
      <c r="BG43" s="54"/>
      <c r="BH43" s="124" t="s">
        <v>132</v>
      </c>
      <c r="BI43" s="120">
        <f>((AY43/AZ43)/AV43)^BC43*AZ43*AW43*(BF43/BE43)/'Constants &amp; Conversions'!$D$29</f>
        <v>5.6182000000000003E-2</v>
      </c>
      <c r="BJ43" s="120">
        <f t="shared" si="10"/>
        <v>5.8991100000000005E-2</v>
      </c>
      <c r="BK43" s="54">
        <v>4.3</v>
      </c>
      <c r="BL43" s="158">
        <f t="shared" si="11"/>
        <v>0.25366173000000003</v>
      </c>
      <c r="BM43" s="125" t="s">
        <v>414</v>
      </c>
      <c r="BO43" s="27"/>
      <c r="BP43" s="14"/>
      <c r="BQ43" s="5"/>
      <c r="BR43" s="5"/>
      <c r="BS43" s="5"/>
      <c r="BT43" s="15"/>
      <c r="BU43" s="159"/>
    </row>
    <row r="44" spans="2:76" ht="22" thickBot="1">
      <c r="B44" s="56" t="s">
        <v>12</v>
      </c>
      <c r="C44" s="117" t="s">
        <v>43</v>
      </c>
      <c r="D44" s="54">
        <v>100</v>
      </c>
      <c r="E44" s="54">
        <v>500000</v>
      </c>
      <c r="F44" s="117">
        <v>150</v>
      </c>
      <c r="G44" s="119">
        <f>422.91*('Summary Table'!H25/'Summary Table'!C111)</f>
        <v>422.91</v>
      </c>
      <c r="H44" s="54">
        <f t="shared" si="0"/>
        <v>3</v>
      </c>
      <c r="I44" s="54">
        <v>0.25</v>
      </c>
      <c r="J44" s="54">
        <f t="shared" si="1"/>
        <v>0.75</v>
      </c>
      <c r="K44" s="54">
        <v>0.5</v>
      </c>
      <c r="L44" s="54">
        <v>2012</v>
      </c>
      <c r="M44" s="54">
        <f t="shared" si="15"/>
        <v>584.6</v>
      </c>
      <c r="N44" s="54">
        <v>607.5</v>
      </c>
      <c r="O44" s="54"/>
      <c r="P44" s="124" t="s">
        <v>132</v>
      </c>
      <c r="Q44" s="120">
        <f>((G44/H44)/D44)^K44*H44*E44*(N44/M44)/'Constants &amp; Conversions'!$D$29</f>
        <v>1.8507258038265622</v>
      </c>
      <c r="R44" s="120">
        <f t="shared" si="16"/>
        <v>1.9432620940178902</v>
      </c>
      <c r="S44" s="54">
        <v>4.3</v>
      </c>
      <c r="T44" s="158">
        <f t="shared" si="18"/>
        <v>8.3560270042769282</v>
      </c>
      <c r="U44" s="55" t="s">
        <v>420</v>
      </c>
      <c r="W44" s="27"/>
      <c r="X44" s="169" t="s">
        <v>620</v>
      </c>
      <c r="Y44" s="170">
        <f>SUM(AC38:AC42)</f>
        <v>73.683422028911309</v>
      </c>
      <c r="Z44" s="171" t="s">
        <v>616</v>
      </c>
      <c r="AA44" s="5"/>
      <c r="AB44" s="15"/>
      <c r="AC44" s="159"/>
      <c r="AS44" s="27"/>
      <c r="AT44" s="153" t="s">
        <v>14</v>
      </c>
      <c r="AU44" s="148" t="s">
        <v>45</v>
      </c>
      <c r="AV44" s="9">
        <v>139</v>
      </c>
      <c r="AW44" s="9">
        <v>3000000</v>
      </c>
      <c r="AX44" s="148" t="s">
        <v>41</v>
      </c>
      <c r="AY44" s="137">
        <f>119.85*('Summary Table'!H25/'Summary Table'!C111)</f>
        <v>119.85</v>
      </c>
      <c r="AZ44" s="9">
        <f t="shared" si="7"/>
        <v>1</v>
      </c>
      <c r="BA44" s="9">
        <v>1</v>
      </c>
      <c r="BB44" s="9">
        <f t="shared" si="8"/>
        <v>1</v>
      </c>
      <c r="BC44" s="9">
        <v>1</v>
      </c>
      <c r="BD44" s="9">
        <v>2020</v>
      </c>
      <c r="BE44" s="5">
        <f t="shared" si="9"/>
        <v>607.5</v>
      </c>
      <c r="BF44" s="9">
        <v>607.5</v>
      </c>
      <c r="BG44" s="9"/>
      <c r="BH44" s="326" t="s">
        <v>132</v>
      </c>
      <c r="BI44" s="143">
        <f>((AY44/AZ44)/AV44)^BC44*AZ44*AW44*(BF44/BE44)/'Constants &amp; Conversions'!$D$29</f>
        <v>2.5866906474820142</v>
      </c>
      <c r="BJ44" s="143">
        <f t="shared" si="10"/>
        <v>2.716025179856115</v>
      </c>
      <c r="BK44" s="9">
        <v>4.3</v>
      </c>
      <c r="BL44" s="174">
        <f t="shared" si="11"/>
        <v>11.678908273381294</v>
      </c>
      <c r="BM44" s="263" t="s">
        <v>1057</v>
      </c>
      <c r="BO44" s="27"/>
      <c r="BP44" s="169" t="s">
        <v>620</v>
      </c>
      <c r="BQ44" s="170">
        <f>SUM(BX38:BX42)</f>
        <v>139.04041402309329</v>
      </c>
      <c r="BR44" s="171" t="s">
        <v>616</v>
      </c>
      <c r="BS44" s="5"/>
      <c r="BT44" s="15"/>
      <c r="BU44" s="159"/>
    </row>
    <row r="45" spans="2:76" ht="17" thickBot="1">
      <c r="B45" s="42" t="s">
        <v>35</v>
      </c>
      <c r="C45" s="112" t="s">
        <v>45</v>
      </c>
      <c r="D45" s="5">
        <v>133.30000000000001</v>
      </c>
      <c r="E45" s="5">
        <f>207000+15890</f>
        <v>222890</v>
      </c>
      <c r="F45" s="112">
        <v>200</v>
      </c>
      <c r="G45" s="6">
        <f>422.91*('Summary Table'!H25/'Summary Table'!C111)</f>
        <v>422.91</v>
      </c>
      <c r="H45" s="5">
        <f t="shared" si="0"/>
        <v>3</v>
      </c>
      <c r="I45" s="5">
        <v>0.1</v>
      </c>
      <c r="J45" s="5">
        <f t="shared" si="1"/>
        <v>0.30000000000000004</v>
      </c>
      <c r="K45" s="5">
        <v>0.6</v>
      </c>
      <c r="L45" s="5">
        <v>2020</v>
      </c>
      <c r="M45" s="5">
        <f t="shared" si="15"/>
        <v>607.5</v>
      </c>
      <c r="N45" s="5">
        <v>607.5</v>
      </c>
      <c r="O45" s="5"/>
      <c r="P45" s="5" t="s">
        <v>131</v>
      </c>
      <c r="Q45" s="7">
        <f>((G45/H45)/D45)^K45*H45*E45*(N45/M45)/'Constants &amp; Conversions'!$D$29</f>
        <v>0.69149615426131195</v>
      </c>
      <c r="R45" s="7">
        <f t="shared" si="16"/>
        <v>0.69149615426131195</v>
      </c>
      <c r="S45" s="5">
        <v>4.3</v>
      </c>
      <c r="T45" s="159">
        <f t="shared" si="18"/>
        <v>2.9734334633236412</v>
      </c>
      <c r="U45" s="28" t="s">
        <v>419</v>
      </c>
      <c r="W45" s="27"/>
      <c r="X45" s="14"/>
      <c r="Y45" s="5"/>
      <c r="Z45" s="5"/>
      <c r="AA45" s="5"/>
      <c r="AB45" s="15"/>
      <c r="AC45" s="159"/>
      <c r="AS45" s="27"/>
      <c r="AT45" s="59" t="s">
        <v>38</v>
      </c>
      <c r="AU45" s="443" t="s">
        <v>129</v>
      </c>
      <c r="AV45" s="130">
        <v>16000</v>
      </c>
      <c r="AW45" s="130">
        <f>1800000*'Constants &amp; Conversions'!D30</f>
        <v>1998000.0000000002</v>
      </c>
      <c r="AX45" s="443">
        <v>16000</v>
      </c>
      <c r="AY45" s="445">
        <f>6205.26*('Summary Table'!H25/'Summary Table'!C111)</f>
        <v>6205.26</v>
      </c>
      <c r="AZ45" s="130">
        <f t="shared" si="7"/>
        <v>1</v>
      </c>
      <c r="BA45" s="130">
        <v>0.5</v>
      </c>
      <c r="BB45" s="130">
        <f t="shared" si="8"/>
        <v>0.5</v>
      </c>
      <c r="BC45" s="130">
        <v>0.71</v>
      </c>
      <c r="BD45" s="130">
        <v>2020</v>
      </c>
      <c r="BE45" s="130">
        <f t="shared" si="9"/>
        <v>607.5</v>
      </c>
      <c r="BF45" s="130">
        <v>607.5</v>
      </c>
      <c r="BG45" s="130"/>
      <c r="BH45" s="130" t="s">
        <v>131</v>
      </c>
      <c r="BI45" s="397">
        <f>((AY45/AZ45)/AV45)^BC45*AZ45*AW45*(BF45/BE45)/'Constants &amp; Conversions'!$D$29</f>
        <v>1.0198349334613594</v>
      </c>
      <c r="BJ45" s="397">
        <f t="shared" si="10"/>
        <v>1.0198349334613594</v>
      </c>
      <c r="BK45" s="130">
        <v>4.3</v>
      </c>
      <c r="BL45" s="446">
        <f t="shared" si="11"/>
        <v>4.3852902138838452</v>
      </c>
      <c r="BM45" s="260" t="s">
        <v>413</v>
      </c>
      <c r="BO45" s="27"/>
      <c r="BP45" s="14"/>
      <c r="BQ45" s="5"/>
      <c r="BR45" s="5"/>
      <c r="BS45" s="5"/>
      <c r="BT45" s="15"/>
      <c r="BU45" s="159"/>
    </row>
    <row r="46" spans="2:76" ht="17" thickBot="1">
      <c r="B46" s="56" t="s">
        <v>1045</v>
      </c>
      <c r="C46" s="117" t="s">
        <v>128</v>
      </c>
      <c r="D46" s="54">
        <v>29.2</v>
      </c>
      <c r="E46" s="54">
        <v>910000</v>
      </c>
      <c r="F46" s="117">
        <v>75</v>
      </c>
      <c r="G46" s="119">
        <f>'Design Calculations'!C265*('Summary Table'!H25/'Summary Table'!C111)</f>
        <v>258.07499999999999</v>
      </c>
      <c r="H46" s="54">
        <f t="shared" si="0"/>
        <v>4</v>
      </c>
      <c r="I46" s="54">
        <v>0.17</v>
      </c>
      <c r="J46" s="54">
        <f t="shared" si="1"/>
        <v>0.68</v>
      </c>
      <c r="K46" s="54">
        <v>0.67</v>
      </c>
      <c r="L46" s="54">
        <v>2020</v>
      </c>
      <c r="M46" s="54">
        <f t="shared" si="15"/>
        <v>607.5</v>
      </c>
      <c r="N46" s="54">
        <v>607.5</v>
      </c>
      <c r="O46" s="54"/>
      <c r="P46" s="124" t="s">
        <v>132</v>
      </c>
      <c r="Q46" s="120">
        <f>((G46/H46)/D46)^K46*H46*E46*(N46/M46)/'Constants &amp; Conversions'!$D$29</f>
        <v>6.1913371771277701</v>
      </c>
      <c r="R46" s="120">
        <f t="shared" si="16"/>
        <v>6.500904035984159</v>
      </c>
      <c r="S46" s="54">
        <v>4.3</v>
      </c>
      <c r="T46" s="158">
        <f t="shared" si="18"/>
        <v>27.953887354731883</v>
      </c>
      <c r="U46" s="55" t="s">
        <v>412</v>
      </c>
      <c r="W46" s="27"/>
      <c r="X46" s="14"/>
      <c r="Y46" s="5"/>
      <c r="Z46" s="5"/>
      <c r="AA46" s="5"/>
      <c r="AB46" s="15"/>
      <c r="AC46" s="159"/>
      <c r="AS46" s="27"/>
      <c r="BO46" s="27"/>
      <c r="BP46" s="14"/>
      <c r="BQ46" s="5"/>
      <c r="BR46" s="5"/>
      <c r="BS46" s="5"/>
      <c r="BT46" s="15"/>
      <c r="BU46" s="159"/>
    </row>
    <row r="47" spans="2:76" ht="22" thickBot="1">
      <c r="B47" s="42" t="s">
        <v>36</v>
      </c>
      <c r="C47" s="112" t="s">
        <v>45</v>
      </c>
      <c r="D47" s="9">
        <v>50</v>
      </c>
      <c r="E47" s="9">
        <v>1500000</v>
      </c>
      <c r="F47" s="112" t="s">
        <v>41</v>
      </c>
      <c r="G47" s="6">
        <f>555.34*('Summary Table'!H25/'Summary Table'!C111)</f>
        <v>555.34</v>
      </c>
      <c r="H47" s="5">
        <f t="shared" si="0"/>
        <v>1</v>
      </c>
      <c r="I47" s="5">
        <v>1</v>
      </c>
      <c r="J47" s="5">
        <f t="shared" si="1"/>
        <v>1</v>
      </c>
      <c r="K47" s="5">
        <v>1</v>
      </c>
      <c r="L47" s="5">
        <v>2020</v>
      </c>
      <c r="M47" s="5">
        <f t="shared" si="15"/>
        <v>607.5</v>
      </c>
      <c r="N47" s="5">
        <v>607.5</v>
      </c>
      <c r="O47" s="5"/>
      <c r="P47" s="5" t="s">
        <v>132</v>
      </c>
      <c r="Q47" s="7">
        <f>((G47/H47)/D47)^K47*H47*E47*(N47/M47)/'Constants &amp; Conversions'!$D$29</f>
        <v>16.6602</v>
      </c>
      <c r="R47" s="7">
        <f t="shared" si="16"/>
        <v>17.493210000000001</v>
      </c>
      <c r="S47" s="5">
        <v>4.3</v>
      </c>
      <c r="T47" s="159">
        <f t="shared" si="18"/>
        <v>75.220803000000004</v>
      </c>
      <c r="U47" s="28" t="s">
        <v>1057</v>
      </c>
      <c r="W47" s="27"/>
      <c r="X47" s="14"/>
      <c r="Y47" s="5"/>
      <c r="Z47" s="5"/>
      <c r="AA47" s="5"/>
      <c r="AB47" s="15"/>
      <c r="AC47" s="159"/>
      <c r="AS47" s="27"/>
      <c r="AT47" s="169" t="s">
        <v>618</v>
      </c>
      <c r="AU47" s="170">
        <f>SUM(BL23:BL45)</f>
        <v>591.17723530117064</v>
      </c>
      <c r="AV47" s="171" t="s">
        <v>614</v>
      </c>
      <c r="BO47" s="27"/>
      <c r="BP47" s="14"/>
      <c r="BQ47" s="5"/>
      <c r="BR47" s="5"/>
      <c r="BS47" s="5"/>
      <c r="BT47" s="15"/>
      <c r="BU47" s="159"/>
    </row>
    <row r="48" spans="2:76" ht="26">
      <c r="B48" s="56" t="s">
        <v>13</v>
      </c>
      <c r="C48" s="117" t="s">
        <v>45</v>
      </c>
      <c r="D48" s="81">
        <v>540.19000000000005</v>
      </c>
      <c r="E48" s="81">
        <v>2606500</v>
      </c>
      <c r="F48" s="117" t="s">
        <v>41</v>
      </c>
      <c r="G48" s="119">
        <f>540.19*('Summary Table'!H25/'Summary Table'!C111)</f>
        <v>540.19000000000005</v>
      </c>
      <c r="H48" s="54">
        <f t="shared" si="0"/>
        <v>1</v>
      </c>
      <c r="I48" s="54">
        <v>0.5</v>
      </c>
      <c r="J48" s="54">
        <f t="shared" si="1"/>
        <v>0.5</v>
      </c>
      <c r="K48" s="54">
        <v>0.67500000000000004</v>
      </c>
      <c r="L48" s="54">
        <v>2020</v>
      </c>
      <c r="M48" s="54">
        <f t="shared" si="15"/>
        <v>607.5</v>
      </c>
      <c r="N48" s="54">
        <v>607.5</v>
      </c>
      <c r="O48" s="54"/>
      <c r="P48" s="124" t="s">
        <v>132</v>
      </c>
      <c r="Q48" s="120">
        <f>((G48/H48)/D48)^K48*H48*E48*(N48/M48)/'Constants &amp; Conversions'!$D$29</f>
        <v>2.6065</v>
      </c>
      <c r="R48" s="120">
        <f t="shared" si="16"/>
        <v>2.7368250000000001</v>
      </c>
      <c r="S48" s="54">
        <v>4.3</v>
      </c>
      <c r="T48" s="158">
        <f t="shared" si="18"/>
        <v>11.768347499999999</v>
      </c>
      <c r="U48" s="125" t="s">
        <v>414</v>
      </c>
      <c r="W48" s="27"/>
      <c r="X48" s="678" t="s">
        <v>619</v>
      </c>
      <c r="Y48" s="678"/>
      <c r="Z48" s="5"/>
      <c r="AA48" s="5"/>
      <c r="AB48" s="15"/>
      <c r="AC48" s="159"/>
      <c r="AS48" s="27"/>
      <c r="AX48" s="148"/>
      <c r="AY48" s="9"/>
      <c r="AZ48" s="9"/>
      <c r="BA48" s="148"/>
      <c r="BB48" s="137"/>
      <c r="BO48" s="27"/>
      <c r="BP48" s="678" t="s">
        <v>619</v>
      </c>
      <c r="BQ48" s="678"/>
      <c r="BR48" s="5"/>
      <c r="BS48" s="5"/>
      <c r="BT48" s="15"/>
      <c r="BU48" s="159"/>
    </row>
    <row r="49" spans="2:79" ht="17" thickBot="1">
      <c r="B49" s="42" t="s">
        <v>37</v>
      </c>
      <c r="C49" s="112" t="s">
        <v>45</v>
      </c>
      <c r="D49" s="84">
        <v>122.65</v>
      </c>
      <c r="E49" s="84">
        <v>56182</v>
      </c>
      <c r="F49" s="112" t="s">
        <v>41</v>
      </c>
      <c r="G49" s="6">
        <f>122.65*('Summary Table'!H25/'Summary Table'!C111)</f>
        <v>122.65</v>
      </c>
      <c r="H49" s="5">
        <f t="shared" si="0"/>
        <v>1</v>
      </c>
      <c r="I49" s="5">
        <v>0.1</v>
      </c>
      <c r="J49" s="5">
        <f t="shared" si="1"/>
        <v>0.1</v>
      </c>
      <c r="K49" s="5">
        <v>0.65</v>
      </c>
      <c r="L49" s="5">
        <v>2020</v>
      </c>
      <c r="M49" s="5">
        <f t="shared" si="15"/>
        <v>607.5</v>
      </c>
      <c r="N49" s="5">
        <v>607.5</v>
      </c>
      <c r="O49" s="5"/>
      <c r="P49" s="13" t="s">
        <v>132</v>
      </c>
      <c r="Q49" s="7">
        <f>((G49/H49)/D49)^K49*H49*E49*(N49/M49)/'Constants &amp; Conversions'!$D$29</f>
        <v>5.6182000000000003E-2</v>
      </c>
      <c r="R49" s="7">
        <f t="shared" si="16"/>
        <v>5.8991100000000005E-2</v>
      </c>
      <c r="S49" s="5">
        <v>4.3</v>
      </c>
      <c r="T49" s="159">
        <f t="shared" si="18"/>
        <v>0.25366173000000003</v>
      </c>
      <c r="U49" s="108" t="s">
        <v>414</v>
      </c>
      <c r="W49" s="27"/>
      <c r="X49" s="14"/>
      <c r="Y49" s="5"/>
      <c r="Z49" s="5"/>
      <c r="AA49" s="5"/>
      <c r="AB49" s="15"/>
      <c r="AC49" s="159"/>
      <c r="AS49" s="27"/>
      <c r="BO49" s="27"/>
      <c r="BP49" s="14"/>
      <c r="BQ49" s="5"/>
      <c r="BR49" s="5"/>
      <c r="BS49" s="5"/>
      <c r="BT49" s="15"/>
      <c r="BU49" s="159"/>
    </row>
    <row r="50" spans="2:79" ht="17" thickBot="1">
      <c r="B50" s="56" t="s">
        <v>14</v>
      </c>
      <c r="C50" s="117" t="s">
        <v>45</v>
      </c>
      <c r="D50" s="54">
        <v>139</v>
      </c>
      <c r="E50" s="54">
        <v>3000000</v>
      </c>
      <c r="F50" s="117" t="s">
        <v>41</v>
      </c>
      <c r="G50" s="119">
        <f>119.85*('Summary Table'!H25/'Summary Table'!C111)</f>
        <v>119.85</v>
      </c>
      <c r="H50" s="54">
        <f t="shared" si="0"/>
        <v>1</v>
      </c>
      <c r="I50" s="54">
        <v>1</v>
      </c>
      <c r="J50" s="54">
        <f t="shared" si="1"/>
        <v>1</v>
      </c>
      <c r="K50" s="54">
        <v>1</v>
      </c>
      <c r="L50" s="54">
        <v>2020</v>
      </c>
      <c r="M50" s="54">
        <f t="shared" si="15"/>
        <v>607.5</v>
      </c>
      <c r="N50" s="54">
        <v>607.5</v>
      </c>
      <c r="O50" s="54"/>
      <c r="P50" s="124" t="s">
        <v>132</v>
      </c>
      <c r="Q50" s="120">
        <f>((G50/H50)/D50)^K50*H50*E50*(N50/M50)/'Constants &amp; Conversions'!$D$29</f>
        <v>2.5866906474820142</v>
      </c>
      <c r="R50" s="120">
        <f t="shared" si="16"/>
        <v>2.716025179856115</v>
      </c>
      <c r="S50" s="54">
        <v>4.3</v>
      </c>
      <c r="T50" s="158">
        <f t="shared" si="18"/>
        <v>11.678908273381294</v>
      </c>
      <c r="U50" s="55" t="s">
        <v>1057</v>
      </c>
      <c r="W50" s="27"/>
      <c r="X50" s="114"/>
      <c r="Y50" s="104" t="s">
        <v>46</v>
      </c>
      <c r="Z50" s="104" t="s">
        <v>62</v>
      </c>
      <c r="AA50" s="104" t="s">
        <v>312</v>
      </c>
      <c r="AB50" s="104" t="s">
        <v>47</v>
      </c>
      <c r="AC50" s="105" t="s">
        <v>75</v>
      </c>
      <c r="AS50" s="27"/>
      <c r="BO50" s="27"/>
      <c r="BP50" s="114"/>
      <c r="BQ50" s="104" t="s">
        <v>46</v>
      </c>
      <c r="BR50" s="104" t="s">
        <v>62</v>
      </c>
      <c r="BS50" s="104" t="s">
        <v>312</v>
      </c>
      <c r="BT50" s="104" t="s">
        <v>15</v>
      </c>
      <c r="BU50" s="104" t="s">
        <v>25</v>
      </c>
      <c r="BV50" s="104" t="s">
        <v>47</v>
      </c>
      <c r="BW50" s="105" t="s">
        <v>75</v>
      </c>
    </row>
    <row r="51" spans="2:79" ht="27" thickBot="1">
      <c r="B51" s="43" t="s">
        <v>38</v>
      </c>
      <c r="C51" s="113" t="s">
        <v>129</v>
      </c>
      <c r="D51" s="30">
        <v>16000</v>
      </c>
      <c r="E51" s="30">
        <f>1800000*'Constants &amp; Conversions'!D30</f>
        <v>1998000.0000000002</v>
      </c>
      <c r="F51" s="113">
        <v>16000</v>
      </c>
      <c r="G51" s="109">
        <f>6205.26*('Summary Table'!H25/'Summary Table'!C111)</f>
        <v>6205.26</v>
      </c>
      <c r="H51" s="30">
        <f t="shared" si="0"/>
        <v>1</v>
      </c>
      <c r="I51" s="30">
        <v>0.5</v>
      </c>
      <c r="J51" s="30">
        <f t="shared" si="1"/>
        <v>0.5</v>
      </c>
      <c r="K51" s="30">
        <v>0.71</v>
      </c>
      <c r="L51" s="30">
        <v>2020</v>
      </c>
      <c r="M51" s="30">
        <f t="shared" si="15"/>
        <v>607.5</v>
      </c>
      <c r="N51" s="30">
        <v>607.5</v>
      </c>
      <c r="O51" s="30"/>
      <c r="P51" s="30" t="s">
        <v>131</v>
      </c>
      <c r="Q51" s="110">
        <f>((G51/H51)/D51)^K51*H51*E51*(N51/M51)/'Constants &amp; Conversions'!$D$29</f>
        <v>1.0198349334613594</v>
      </c>
      <c r="R51" s="110">
        <f t="shared" si="16"/>
        <v>1.0198349334613594</v>
      </c>
      <c r="S51" s="30">
        <v>4.3</v>
      </c>
      <c r="T51" s="165">
        <f t="shared" si="18"/>
        <v>4.3852902138838452</v>
      </c>
      <c r="U51" s="31" t="s">
        <v>413</v>
      </c>
      <c r="W51" s="27"/>
      <c r="X51" s="315" t="s">
        <v>738</v>
      </c>
      <c r="Y51" s="488" t="s">
        <v>63</v>
      </c>
      <c r="Z51" s="488">
        <f>'Summary Table'!H46</f>
        <v>388.25</v>
      </c>
      <c r="AA51" s="488" t="s">
        <v>320</v>
      </c>
      <c r="AB51" s="508">
        <f>'Design Calculations'!O68/'Constants &amp; Conversions'!D28*'Constants &amp; Conversions'!D19*('Summary Table'!H25/'Summary Table'!C111)</f>
        <v>133883.89316118555</v>
      </c>
      <c r="AC51" s="563">
        <f>-Z51*AB51/'Constants &amp; Conversions'!D29</f>
        <v>-51.980421519830294</v>
      </c>
      <c r="AS51" s="27"/>
      <c r="AT51" s="678" t="s">
        <v>620</v>
      </c>
      <c r="AU51" s="678"/>
      <c r="BO51" s="27"/>
      <c r="BP51" s="315" t="s">
        <v>772</v>
      </c>
      <c r="BQ51" s="488" t="s">
        <v>784</v>
      </c>
      <c r="BR51" s="488">
        <v>2.6909999999999998</v>
      </c>
      <c r="BS51" s="488" t="s">
        <v>785</v>
      </c>
      <c r="BT51" s="488">
        <v>112000</v>
      </c>
      <c r="BU51" s="488">
        <f>(BU23/BR23)</f>
        <v>0.14848800000000001</v>
      </c>
      <c r="BV51" s="508">
        <f>BU51*BT51</f>
        <v>16630.656000000003</v>
      </c>
      <c r="BW51" s="563">
        <f>-BV51*'Constants &amp; Conversions'!D28/'Constants &amp; Conversions'!D15*BR51/'Constants &amp; Conversions'!D29</f>
        <v>-11.822522605477346</v>
      </c>
    </row>
    <row r="52" spans="2:79" ht="17" thickBot="1">
      <c r="W52" s="27"/>
      <c r="X52" s="56" t="s">
        <v>739</v>
      </c>
      <c r="Y52" s="54" t="s">
        <v>63</v>
      </c>
      <c r="Z52" s="54">
        <f>'Summary Table'!H47</f>
        <v>369.3</v>
      </c>
      <c r="AA52" s="54" t="s">
        <v>320</v>
      </c>
      <c r="AB52" s="118">
        <f>'Design Calculations'!O70*'Constants &amp; Conversions'!D19/'Constants &amp; Conversions'!D28*('Summary Table'!H25/'Summary Table'!C111)</f>
        <v>1420886.6919807657</v>
      </c>
      <c r="AC52" s="564">
        <f>-Z52*AB52/'Constants &amp; Conversions'!D29</f>
        <v>-524.73345534849682</v>
      </c>
      <c r="AS52" s="27"/>
      <c r="BO52" s="27"/>
      <c r="BP52" s="56" t="s">
        <v>773</v>
      </c>
      <c r="BQ52" s="54" t="s">
        <v>784</v>
      </c>
      <c r="BR52" s="54">
        <v>3.056</v>
      </c>
      <c r="BS52" s="54" t="s">
        <v>785</v>
      </c>
      <c r="BT52" s="54">
        <v>121000</v>
      </c>
      <c r="BU52" s="54">
        <f>(BU23/BR23)</f>
        <v>0.14848800000000001</v>
      </c>
      <c r="BV52" s="118">
        <f>BU52*BT52</f>
        <v>17967.048000000003</v>
      </c>
      <c r="BW52" s="564">
        <f>-BV52*'Constants &amp; Conversions'!D28/'Constants &amp; Conversions'!D15*BR52/'Constants &amp; Conversions'!D29</f>
        <v>-14.504980619800763</v>
      </c>
    </row>
    <row r="53" spans="2:79" ht="22" thickBot="1">
      <c r="B53" s="169" t="s">
        <v>618</v>
      </c>
      <c r="C53" s="170">
        <f>SUM(T23:T51)</f>
        <v>1062.0703829050956</v>
      </c>
      <c r="D53" s="171" t="s">
        <v>614</v>
      </c>
      <c r="W53" s="27"/>
      <c r="X53" s="172" t="s">
        <v>61</v>
      </c>
      <c r="Y53" s="139" t="s">
        <v>63</v>
      </c>
      <c r="Z53" s="409">
        <f>'Summary Table'!H55</f>
        <v>40</v>
      </c>
      <c r="AA53" s="139" t="s">
        <v>320</v>
      </c>
      <c r="AB53" s="173">
        <f>(VLOOKUP('Summary Table'!C23,'Scenarios Data'!B29:U37,8,FALSE)-VLOOKUP('Summary Table'!C23,'Scenarios Data'!B29:U37,10,FALSE))*'Constants &amp; Conversions'!D19/'Constants &amp; Conversions'!D28*('Summary Table'!H25/'Summary Table'!C111)</f>
        <v>1103650.8</v>
      </c>
      <c r="AC53" s="566">
        <f>-Z53*AB53/'Constants &amp; Conversions'!D29</f>
        <v>-44.146031999999998</v>
      </c>
      <c r="AS53" s="27"/>
      <c r="AT53" s="103"/>
      <c r="AU53" s="104" t="s">
        <v>46</v>
      </c>
      <c r="AV53" s="104" t="s">
        <v>62</v>
      </c>
      <c r="AW53" s="104" t="s">
        <v>312</v>
      </c>
      <c r="AX53" s="104" t="s">
        <v>47</v>
      </c>
      <c r="AY53" s="105" t="s">
        <v>75</v>
      </c>
      <c r="BO53" s="27"/>
      <c r="BP53" s="172" t="s">
        <v>61</v>
      </c>
      <c r="BQ53" s="139" t="s">
        <v>63</v>
      </c>
      <c r="BR53" s="409">
        <f>'Summary Table'!H55</f>
        <v>40</v>
      </c>
      <c r="BS53" s="139" t="s">
        <v>320</v>
      </c>
      <c r="BT53" s="139">
        <f>0.0584*2000*'Constants &amp; Conversions'!D20</f>
        <v>40880</v>
      </c>
      <c r="BU53" s="139">
        <f>(BU23/BR23)</f>
        <v>0.14848800000000001</v>
      </c>
      <c r="BV53" s="173">
        <f>BU53*BT53</f>
        <v>6070.1894400000001</v>
      </c>
      <c r="BW53" s="566">
        <f>BR53*BV53/'Constants &amp; Conversions'!D29</f>
        <v>0.24280757760000002</v>
      </c>
    </row>
    <row r="54" spans="2:79" ht="17" thickBot="1">
      <c r="W54" s="27"/>
      <c r="X54" s="17"/>
      <c r="Y54" s="9"/>
      <c r="Z54" s="9"/>
      <c r="AA54" s="9"/>
      <c r="AB54" s="136"/>
      <c r="AC54" s="174"/>
      <c r="AS54" s="27"/>
      <c r="AT54" s="571" t="s">
        <v>305</v>
      </c>
      <c r="AU54" s="559" t="s">
        <v>63</v>
      </c>
      <c r="AV54" s="572">
        <f>'Summary Table'!H46</f>
        <v>388.25</v>
      </c>
      <c r="AW54" s="573" t="s">
        <v>320</v>
      </c>
      <c r="AX54" s="574">
        <f>'Design Calculations'!O68/'Constants &amp; Conversions'!D28*'Constants &amp; Conversions'!D19</f>
        <v>133883.89316118555</v>
      </c>
      <c r="AY54" s="575">
        <f>AV54*AX54/'Constants &amp; Conversions'!D29</f>
        <v>51.980421519830294</v>
      </c>
      <c r="BO54" s="27"/>
      <c r="BP54" s="17"/>
      <c r="BQ54" s="9"/>
      <c r="BR54" s="9"/>
      <c r="BS54" s="9"/>
      <c r="BT54" s="136"/>
      <c r="BU54" s="174"/>
    </row>
    <row r="55" spans="2:79" ht="22" thickBot="1">
      <c r="W55" s="27"/>
      <c r="X55" s="169" t="s">
        <v>619</v>
      </c>
      <c r="Y55" s="170">
        <f>SUM(AC44:AC53)</f>
        <v>-620.85990886832712</v>
      </c>
      <c r="Z55" s="171" t="s">
        <v>616</v>
      </c>
      <c r="AA55" s="9"/>
      <c r="AB55" s="136"/>
      <c r="AC55" s="174"/>
      <c r="AS55" s="27"/>
      <c r="AT55" s="261" t="s">
        <v>443</v>
      </c>
      <c r="AU55" s="9" t="s">
        <v>63</v>
      </c>
      <c r="AV55" s="470">
        <f>'Summary Table'!H47</f>
        <v>369.3</v>
      </c>
      <c r="AW55" s="472" t="s">
        <v>320</v>
      </c>
      <c r="AX55" s="474">
        <f>'Design Calculations'!O70*'Constants &amp; Conversions'!D19/'Constants &amp; Conversions'!D28</f>
        <v>1420886.6919807657</v>
      </c>
      <c r="AY55" s="565">
        <f>AV55*AX55/'Constants &amp; Conversions'!D29</f>
        <v>524.73345534849682</v>
      </c>
      <c r="BO55" s="27"/>
      <c r="BP55" s="169" t="s">
        <v>619</v>
      </c>
      <c r="BQ55" s="170">
        <f>SUM(BW51:BW53)</f>
        <v>-26.084695647678107</v>
      </c>
      <c r="BR55" s="171" t="s">
        <v>616</v>
      </c>
      <c r="BS55" s="9"/>
      <c r="BT55" s="136"/>
      <c r="BU55" s="174"/>
    </row>
    <row r="56" spans="2:79">
      <c r="W56" s="27"/>
      <c r="AS56" s="27"/>
      <c r="AT56" s="56" t="s">
        <v>52</v>
      </c>
      <c r="AU56" s="54" t="s">
        <v>63</v>
      </c>
      <c r="AV56" s="120">
        <f>'Summary Table'!H43*'Constants &amp; Conversions'!D31*'Constants &amp; Conversions'!D28</f>
        <v>0.50150451354062187</v>
      </c>
      <c r="AW56" s="54" t="s">
        <v>320</v>
      </c>
      <c r="AX56" s="118">
        <f>(VLOOKUP('Summary Table'!C23,'Scenarios Data'!B44:D52,2,FALSE)-VLOOKUP('Summary Table'!C23,'Scenarios Data'!B44:D52,3,FALSE))*'Constants &amp; Conversions'!D19/'Constants &amp; Conversions'!D28*('Summary Table'!H25/'Summary Table'!C111)</f>
        <v>164463.6</v>
      </c>
      <c r="AY56" s="564">
        <f>AV56*AX56/'Constants &amp; Conversions'!D29</f>
        <v>8.2479237713139419E-2</v>
      </c>
      <c r="BO56" s="27"/>
    </row>
    <row r="57" spans="2:79" ht="26">
      <c r="B57" s="678" t="s">
        <v>620</v>
      </c>
      <c r="C57" s="678"/>
      <c r="W57" s="27"/>
      <c r="AS57" s="27"/>
      <c r="AT57" s="42" t="s">
        <v>53</v>
      </c>
      <c r="AU57" s="5" t="s">
        <v>63</v>
      </c>
      <c r="AV57" s="5">
        <v>200</v>
      </c>
      <c r="AW57" s="5" t="s">
        <v>320</v>
      </c>
      <c r="AX57" s="15">
        <f>206*'Constants &amp; Conversions'!D19/'Constants &amp; Conversions'!D28*('Summary Table'!H25/'Summary Table'!C111)</f>
        <v>1730.4</v>
      </c>
      <c r="AY57" s="569">
        <f>AV57*AX57/'Constants &amp; Conversions'!D29</f>
        <v>0.34608</v>
      </c>
      <c r="BO57" s="27"/>
    </row>
    <row r="58" spans="2:79" ht="17" thickBot="1">
      <c r="W58" s="27"/>
      <c r="AS58" s="27"/>
      <c r="AT58" s="56" t="s">
        <v>54</v>
      </c>
      <c r="AU58" s="54" t="s">
        <v>63</v>
      </c>
      <c r="AV58" s="54">
        <v>350</v>
      </c>
      <c r="AW58" s="54" t="s">
        <v>320</v>
      </c>
      <c r="AX58" s="118">
        <f>165*'Constants &amp; Conversions'!D19/'Constants &amp; Conversions'!D28*('Summary Table'!H25/'Summary Table'!C111)</f>
        <v>1386</v>
      </c>
      <c r="AY58" s="564">
        <f>AV58*AX58/'Constants &amp; Conversions'!D29</f>
        <v>0.48509999999999998</v>
      </c>
      <c r="BO58" s="27"/>
    </row>
    <row r="59" spans="2:79" ht="27" thickBot="1">
      <c r="B59" s="103"/>
      <c r="C59" s="104" t="s">
        <v>46</v>
      </c>
      <c r="D59" s="104" t="s">
        <v>62</v>
      </c>
      <c r="E59" s="104" t="s">
        <v>312</v>
      </c>
      <c r="F59" s="104" t="s">
        <v>47</v>
      </c>
      <c r="G59" s="105" t="s">
        <v>75</v>
      </c>
      <c r="W59" s="27"/>
      <c r="X59" s="678" t="s">
        <v>66</v>
      </c>
      <c r="Y59" s="678"/>
      <c r="AS59" s="27"/>
      <c r="AT59" s="42" t="s">
        <v>55</v>
      </c>
      <c r="AU59" s="5" t="s">
        <v>63</v>
      </c>
      <c r="AV59" s="5">
        <v>250</v>
      </c>
      <c r="AW59" s="5" t="s">
        <v>320</v>
      </c>
      <c r="AX59" s="15">
        <f>1073.46*'Constants &amp; Conversions'!D19/'Constants &amp; Conversions'!D28*('Summary Table'!H25/'Summary Table'!C111)</f>
        <v>9017.0640000000003</v>
      </c>
      <c r="AY59" s="569">
        <f>AV59*AX59/'Constants &amp; Conversions'!D29</f>
        <v>2.2542659999999999</v>
      </c>
      <c r="BO59" s="27"/>
      <c r="BP59" s="678" t="s">
        <v>66</v>
      </c>
      <c r="BQ59" s="678"/>
    </row>
    <row r="60" spans="2:79" ht="17" thickBot="1">
      <c r="B60" s="111" t="s">
        <v>51</v>
      </c>
      <c r="C60" s="32" t="s">
        <v>63</v>
      </c>
      <c r="D60" s="32">
        <f>'Summary Table'!H42</f>
        <v>30</v>
      </c>
      <c r="E60" s="32" t="s">
        <v>320</v>
      </c>
      <c r="F60" s="131">
        <f>VLOOKUP('Summary Table'!C23,'Scenarios Data'!B14:AR22,33,FALSE)*'Constants &amp; Conversions'!D19/'Constants &amp; Conversions'!D28*('Summary Table'!H25/'Summary Table'!C111)</f>
        <v>479311.56</v>
      </c>
      <c r="G60" s="568">
        <f>D60*F60/'Constants &amp; Conversions'!D29</f>
        <v>14.3793468</v>
      </c>
      <c r="W60" s="27"/>
      <c r="X60" s="3"/>
      <c r="AS60" s="27"/>
      <c r="AT60" s="56" t="s">
        <v>56</v>
      </c>
      <c r="AU60" s="54" t="s">
        <v>63</v>
      </c>
      <c r="AV60" s="54">
        <v>976.6</v>
      </c>
      <c r="AW60" s="54" t="s">
        <v>320</v>
      </c>
      <c r="AX60" s="118">
        <f>2218*'Constants &amp; Conversions'!D19/'Constants &amp; Conversions'!D28*('Summary Table'!H25/'Summary Table'!C111)</f>
        <v>18631.2</v>
      </c>
      <c r="AY60" s="564">
        <f>AV60*AX60/'Constants &amp; Conversions'!D29</f>
        <v>18.195229920000003</v>
      </c>
      <c r="BO60" s="27"/>
      <c r="BP60" s="3"/>
    </row>
    <row r="61" spans="2:79" ht="22" thickBot="1">
      <c r="B61" s="56" t="s">
        <v>52</v>
      </c>
      <c r="C61" s="54" t="s">
        <v>63</v>
      </c>
      <c r="D61" s="120">
        <f>'Summary Table'!H43*'Constants &amp; Conversions'!D31*'Constants &amp; Conversions'!D28</f>
        <v>0.50150451354062187</v>
      </c>
      <c r="E61" s="54" t="s">
        <v>320</v>
      </c>
      <c r="F61" s="118">
        <f>VLOOKUP('Summary Table'!C23,'Scenarios Data'!B14:AR22,37,FALSE)*'Constants &amp; Conversions'!D19/'Constants &amp; Conversions'!D28*('Summary Table'!H25/'Summary Table'!C111)</f>
        <v>21146308.68</v>
      </c>
      <c r="G61" s="564">
        <f>D61*F61/'Constants &amp; Conversions'!D29</f>
        <v>10.604969247743231</v>
      </c>
      <c r="W61" s="27"/>
      <c r="X61" s="702"/>
      <c r="Y61" s="703"/>
      <c r="Z61" s="703"/>
      <c r="AA61" s="703"/>
      <c r="AB61" s="696" t="s">
        <v>67</v>
      </c>
      <c r="AC61" s="697"/>
      <c r="AD61" s="698"/>
      <c r="AE61" s="696" t="s">
        <v>68</v>
      </c>
      <c r="AF61" s="697"/>
      <c r="AG61" s="698"/>
      <c r="AH61" s="696" t="s">
        <v>69</v>
      </c>
      <c r="AI61" s="697"/>
      <c r="AJ61" s="698"/>
      <c r="AK61" s="697" t="s">
        <v>70</v>
      </c>
      <c r="AL61" s="697"/>
      <c r="AM61" s="697"/>
      <c r="AN61" s="697"/>
      <c r="AO61" s="699"/>
      <c r="AP61" s="2"/>
      <c r="AS61" s="27"/>
      <c r="AT61" s="43" t="s">
        <v>85</v>
      </c>
      <c r="AU61" s="30" t="s">
        <v>63</v>
      </c>
      <c r="AV61" s="30">
        <v>10</v>
      </c>
      <c r="AW61" s="30" t="s">
        <v>320</v>
      </c>
      <c r="AX61" s="127">
        <f>24432.28*'Constants &amp; Conversions'!D19/'Constants &amp; Conversions'!D28*('Summary Table'!H25/'Summary Table'!C111)</f>
        <v>205231.152</v>
      </c>
      <c r="AY61" s="570">
        <f>AV61*AX61/'Constants &amp; Conversions'!D29</f>
        <v>2.0523115199999999</v>
      </c>
      <c r="BO61" s="27"/>
      <c r="BP61" s="114" t="s">
        <v>780</v>
      </c>
      <c r="BQ61" s="104" t="s">
        <v>778</v>
      </c>
      <c r="BR61" s="104" t="s">
        <v>476</v>
      </c>
      <c r="BS61" s="104" t="s">
        <v>217</v>
      </c>
      <c r="BT61" s="104" t="s">
        <v>777</v>
      </c>
      <c r="BU61" s="104" t="s">
        <v>25</v>
      </c>
      <c r="BV61" s="105" t="s">
        <v>79</v>
      </c>
      <c r="BW61" s="187"/>
      <c r="BX61" s="187"/>
      <c r="BY61" s="187"/>
      <c r="BZ61" s="187"/>
      <c r="CA61" s="187"/>
    </row>
    <row r="62" spans="2:79" ht="22" thickBot="1">
      <c r="B62" s="42" t="s">
        <v>53</v>
      </c>
      <c r="C62" s="5" t="s">
        <v>63</v>
      </c>
      <c r="D62" s="5">
        <v>200</v>
      </c>
      <c r="E62" s="5" t="s">
        <v>320</v>
      </c>
      <c r="F62" s="15">
        <f>206*'Constants &amp; Conversions'!D19/'Constants &amp; Conversions'!D28*('Summary Table'!H25/'Summary Table'!C111)</f>
        <v>1730.4</v>
      </c>
      <c r="G62" s="569">
        <f>D62*F62/'Constants &amp; Conversions'!D29</f>
        <v>0.34608</v>
      </c>
      <c r="W62" s="27"/>
      <c r="X62" s="27"/>
      <c r="Y62" s="5"/>
      <c r="Z62" s="5"/>
      <c r="AA62" s="429"/>
      <c r="AB62" s="154" t="s">
        <v>476</v>
      </c>
      <c r="AC62" s="155">
        <f>'Summary Table'!H64</f>
        <v>0.03</v>
      </c>
      <c r="AD62" s="156" t="s">
        <v>344</v>
      </c>
      <c r="AE62" s="154" t="s">
        <v>476</v>
      </c>
      <c r="AF62" s="155">
        <f>'Summary Table'!H65</f>
        <v>5.7000000000000002E-2</v>
      </c>
      <c r="AG62" s="156" t="s">
        <v>347</v>
      </c>
      <c r="AH62" s="154" t="s">
        <v>476</v>
      </c>
      <c r="AI62" s="155">
        <f>'Summary Table'!H66</f>
        <v>2.1718683666666665E-2</v>
      </c>
      <c r="AJ62" s="156" t="s">
        <v>64</v>
      </c>
      <c r="AK62" s="429"/>
      <c r="AL62" s="429"/>
      <c r="AM62" s="429"/>
      <c r="AN62" s="429"/>
      <c r="AO62" s="369"/>
      <c r="AP62" s="20"/>
      <c r="AS62" s="27"/>
      <c r="AT62" s="14"/>
      <c r="AU62" s="5"/>
      <c r="AV62" s="5"/>
      <c r="AW62" s="5"/>
      <c r="AX62" s="15"/>
      <c r="AY62" s="159"/>
      <c r="BO62" s="27"/>
      <c r="BP62" s="153" t="s">
        <v>67</v>
      </c>
      <c r="BQ62" s="148" t="s">
        <v>73</v>
      </c>
      <c r="BR62" s="9">
        <f>'Summary Table'!H64</f>
        <v>0.03</v>
      </c>
      <c r="BS62" s="137" t="s">
        <v>254</v>
      </c>
      <c r="BT62" s="148">
        <v>6.1</v>
      </c>
      <c r="BU62" s="143">
        <f>(BU23/BR23)</f>
        <v>0.14848800000000001</v>
      </c>
      <c r="BV62" s="134">
        <f>BU62*BT62*'Constants &amp; Conversions'!D28*'Constants &amp; Conversions'!D24*BR62/'Constants &amp; Conversions'!D29</f>
        <v>0.22825575360000003</v>
      </c>
      <c r="BW62" s="9"/>
      <c r="BX62" s="148"/>
      <c r="BY62" s="9"/>
      <c r="BZ62" s="9"/>
      <c r="CA62" s="143"/>
    </row>
    <row r="63" spans="2:79" ht="22" thickBot="1">
      <c r="B63" s="56" t="s">
        <v>54</v>
      </c>
      <c r="C63" s="54" t="s">
        <v>63</v>
      </c>
      <c r="D63" s="54">
        <v>350</v>
      </c>
      <c r="E63" s="54" t="s">
        <v>320</v>
      </c>
      <c r="F63" s="118">
        <f>165*'Constants &amp; Conversions'!D19/'Constants &amp; Conversions'!D28*('Summary Table'!H25/'Summary Table'!C111)</f>
        <v>1386</v>
      </c>
      <c r="G63" s="564">
        <f>D63*F63/'Constants &amp; Conversions'!D29</f>
        <v>0.48509999999999998</v>
      </c>
      <c r="W63" s="27"/>
      <c r="X63" s="114"/>
      <c r="Y63" s="104" t="s">
        <v>403</v>
      </c>
      <c r="Z63" s="104" t="s">
        <v>113</v>
      </c>
      <c r="AA63" s="104" t="s">
        <v>25</v>
      </c>
      <c r="AB63" s="146" t="s">
        <v>78</v>
      </c>
      <c r="AC63" s="104" t="s">
        <v>79</v>
      </c>
      <c r="AD63" s="147" t="s">
        <v>75</v>
      </c>
      <c r="AE63" s="146" t="s">
        <v>78</v>
      </c>
      <c r="AF63" s="104" t="s">
        <v>79</v>
      </c>
      <c r="AG63" s="147" t="s">
        <v>75</v>
      </c>
      <c r="AH63" s="146" t="s">
        <v>78</v>
      </c>
      <c r="AI63" s="104" t="s">
        <v>79</v>
      </c>
      <c r="AJ63" s="147" t="s">
        <v>75</v>
      </c>
      <c r="AK63" s="104" t="s">
        <v>76</v>
      </c>
      <c r="AL63" s="104" t="s">
        <v>71</v>
      </c>
      <c r="AM63" s="104" t="s">
        <v>72</v>
      </c>
      <c r="AN63" s="104" t="s">
        <v>47</v>
      </c>
      <c r="AO63" s="105" t="s">
        <v>75</v>
      </c>
      <c r="AS63" s="27"/>
      <c r="AT63" s="169" t="s">
        <v>620</v>
      </c>
      <c r="AU63" s="170">
        <f>SUM(AY54:AY61)</f>
        <v>600.12934354604033</v>
      </c>
      <c r="AV63" s="171" t="s">
        <v>616</v>
      </c>
      <c r="AW63" s="5"/>
      <c r="AX63" s="15"/>
      <c r="AY63" s="159"/>
      <c r="BO63" s="27"/>
      <c r="BP63" s="56" t="s">
        <v>608</v>
      </c>
      <c r="BQ63" s="117" t="s">
        <v>347</v>
      </c>
      <c r="BR63" s="54">
        <f>'Summary Table'!H65</f>
        <v>5.7000000000000002E-2</v>
      </c>
      <c r="BS63" s="119" t="s">
        <v>779</v>
      </c>
      <c r="BT63" s="117">
        <v>877</v>
      </c>
      <c r="BU63" s="120">
        <f>(BU23/BR23)</f>
        <v>0.14848800000000001</v>
      </c>
      <c r="BV63" s="191">
        <f>BU63*(BT63*'Constants &amp; Conversions'!D28*'Constants &amp; Conversions'!D31*'Constants &amp; Conversions'!D20)*BR63/'Constants &amp; Conversions'!D29</f>
        <v>2.6057856782347043E-3</v>
      </c>
      <c r="BW63" s="9"/>
      <c r="BX63" s="148"/>
      <c r="BY63" s="9"/>
      <c r="BZ63" s="9"/>
      <c r="CA63" s="143"/>
    </row>
    <row r="64" spans="2:79" ht="17" thickBot="1">
      <c r="B64" s="42" t="s">
        <v>55</v>
      </c>
      <c r="C64" s="5" t="s">
        <v>63</v>
      </c>
      <c r="D64" s="5">
        <v>250</v>
      </c>
      <c r="E64" s="5" t="s">
        <v>320</v>
      </c>
      <c r="F64" s="15">
        <f>1073.46*'Constants &amp; Conversions'!D19/'Constants &amp; Conversions'!D28*('Summary Table'!H25/'Summary Table'!C111)</f>
        <v>9017.0640000000003</v>
      </c>
      <c r="G64" s="569">
        <f>D64*F64/'Constants &amp; Conversions'!D29</f>
        <v>2.2542659999999999</v>
      </c>
      <c r="W64" s="27"/>
      <c r="X64" s="315" t="s">
        <v>0</v>
      </c>
      <c r="Y64" s="486" t="s">
        <v>132</v>
      </c>
      <c r="Z64" s="488">
        <f t="shared" ref="Z64:Z70" si="19">AD23</f>
        <v>1</v>
      </c>
      <c r="AA64" s="398">
        <f>(AC23/Z23)/Z64</f>
        <v>4862.588377443788</v>
      </c>
      <c r="AB64" s="507" t="s">
        <v>124</v>
      </c>
      <c r="AC64" s="508">
        <f>'Design Calculations'!C231</f>
        <v>257717.18400452076</v>
      </c>
      <c r="AD64" s="509">
        <f>IF(Y64="No",(AC64*'Constants &amp; Conversions'!$D$24)*$AC$62/'Constants &amp; Conversions'!$D$29,Z64*AA64*((AC64/('Summary Table'!$H$25/'Summary Table'!$C$111))*'Constants &amp; Conversions'!$D$24)*$AC$62/'Constants &amp; Conversions'!$D$29)</f>
        <v>64.944730369139222</v>
      </c>
      <c r="AE64" s="507"/>
      <c r="AF64" s="488"/>
      <c r="AG64" s="509"/>
      <c r="AH64" s="507"/>
      <c r="AI64" s="488"/>
      <c r="AJ64" s="509"/>
      <c r="AK64" s="488" t="s">
        <v>86</v>
      </c>
      <c r="AL64" s="486" t="s">
        <v>134</v>
      </c>
      <c r="AM64" s="489">
        <f>0.03*AP23</f>
        <v>6.7768209704718601</v>
      </c>
      <c r="AN64" s="488">
        <v>1</v>
      </c>
      <c r="AO64" s="510">
        <f>AM64*AN64</f>
        <v>6.7768209704718601</v>
      </c>
      <c r="AS64" s="27"/>
      <c r="AT64" s="14"/>
      <c r="AU64" s="5"/>
      <c r="AV64" s="5"/>
      <c r="AW64" s="5"/>
      <c r="AX64" s="15"/>
      <c r="AY64" s="159"/>
      <c r="BO64" s="27"/>
      <c r="BP64" s="172" t="s">
        <v>69</v>
      </c>
      <c r="BQ64" s="175" t="s">
        <v>64</v>
      </c>
      <c r="BR64" s="139">
        <f>'Summary Table'!H66</f>
        <v>2.1718683666666665E-2</v>
      </c>
      <c r="BS64" s="409" t="s">
        <v>779</v>
      </c>
      <c r="BT64" s="175">
        <v>0</v>
      </c>
      <c r="BU64" s="491">
        <f>(BU23/BR23)</f>
        <v>0.14848800000000001</v>
      </c>
      <c r="BV64" s="141">
        <f>BU64*(BT64*'Constants &amp; Conversions'!D28*'Constants &amp; Conversions'!D20)*BR64/'Constants &amp; Conversions'!D29</f>
        <v>0</v>
      </c>
      <c r="BW64" s="9"/>
      <c r="BX64" s="148"/>
      <c r="BY64" s="9"/>
      <c r="BZ64" s="9"/>
      <c r="CA64" s="143"/>
    </row>
    <row r="65" spans="2:85" ht="17" thickBot="1">
      <c r="B65" s="56" t="s">
        <v>56</v>
      </c>
      <c r="C65" s="54" t="s">
        <v>63</v>
      </c>
      <c r="D65" s="54">
        <v>976.6</v>
      </c>
      <c r="E65" s="54" t="s">
        <v>320</v>
      </c>
      <c r="F65" s="118">
        <f>2218*'Constants &amp; Conversions'!D19/'Constants &amp; Conversions'!D28*('Summary Table'!H25/'Summary Table'!C111)</f>
        <v>18631.2</v>
      </c>
      <c r="G65" s="564">
        <f>D65*F65/'Constants &amp; Conversions'!D29</f>
        <v>18.195229920000003</v>
      </c>
      <c r="W65" s="27"/>
      <c r="X65" s="56" t="s">
        <v>1</v>
      </c>
      <c r="Y65" s="117" t="s">
        <v>132</v>
      </c>
      <c r="Z65" s="54">
        <f t="shared" si="19"/>
        <v>1</v>
      </c>
      <c r="AA65" s="119">
        <f>(AC24/Z24)/Z65</f>
        <v>6483.4511699250506</v>
      </c>
      <c r="AB65" s="150" t="s">
        <v>124</v>
      </c>
      <c r="AC65" s="118">
        <f>'Design Calculations'!I231</f>
        <v>343622.91200602771</v>
      </c>
      <c r="AD65" s="192">
        <f>IF(Y65="No",(AC65*'Constants &amp; Conversions'!$D$24)*$AC$62/'Constants &amp; Conversions'!$D$29,Z65*AA65*((AC65/('Summary Table'!$H$25/'Summary Table'!$C$111))*'Constants &amp; Conversions'!$D$24)*$AC$62/'Constants &amp; Conversions'!$D$29)</f>
        <v>86.592973825518982</v>
      </c>
      <c r="AE65" s="150"/>
      <c r="AF65" s="54"/>
      <c r="AG65" s="192"/>
      <c r="AH65" s="150"/>
      <c r="AI65" s="54"/>
      <c r="AJ65" s="192"/>
      <c r="AK65" s="54" t="s">
        <v>86</v>
      </c>
      <c r="AL65" s="117" t="s">
        <v>134</v>
      </c>
      <c r="AM65" s="120">
        <f>0.03*AP24</f>
        <v>4.9403985526688547</v>
      </c>
      <c r="AN65" s="54">
        <v>1</v>
      </c>
      <c r="AO65" s="191">
        <f>AM65*AN65</f>
        <v>4.9403985526688547</v>
      </c>
      <c r="AS65" s="27"/>
      <c r="AT65" s="14"/>
      <c r="AU65" s="5"/>
      <c r="AV65" s="5"/>
      <c r="AW65" s="5"/>
      <c r="AX65" s="15"/>
      <c r="AY65" s="159"/>
      <c r="BO65" s="27"/>
      <c r="BP65" s="9"/>
      <c r="BQ65" s="9"/>
      <c r="BR65" s="9"/>
      <c r="BS65" s="9"/>
      <c r="BT65" s="187"/>
      <c r="BU65" s="188"/>
      <c r="BV65" s="188"/>
      <c r="BW65" s="187"/>
      <c r="BX65" s="188"/>
      <c r="BY65" s="17"/>
      <c r="BZ65" s="334"/>
      <c r="CA65" s="190"/>
      <c r="CB65" s="17"/>
      <c r="CC65" s="700"/>
      <c r="CD65" s="700"/>
      <c r="CE65" s="700"/>
      <c r="CF65" s="190"/>
      <c r="CG65" s="17"/>
    </row>
    <row r="66" spans="2:85" ht="21">
      <c r="B66" s="42" t="s">
        <v>57</v>
      </c>
      <c r="C66" s="5" t="s">
        <v>64</v>
      </c>
      <c r="D66" s="5">
        <v>1335</v>
      </c>
      <c r="E66" s="5" t="s">
        <v>322</v>
      </c>
      <c r="F66" s="15">
        <f>'Design Calculations'!C236</f>
        <v>8659.2973825518984</v>
      </c>
      <c r="G66" s="569">
        <f>D66*F66/'Constants &amp; Conversions'!D29</f>
        <v>11.560162005706784</v>
      </c>
      <c r="W66" s="27"/>
      <c r="X66" s="153" t="s">
        <v>2</v>
      </c>
      <c r="Y66" s="148" t="s">
        <v>132</v>
      </c>
      <c r="Z66" s="9">
        <f t="shared" si="19"/>
        <v>1</v>
      </c>
      <c r="AA66" s="137">
        <f>(AC25/Z25)/Z66</f>
        <v>0.37360028726273597</v>
      </c>
      <c r="AB66" s="149" t="s">
        <v>124</v>
      </c>
      <c r="AC66" s="136">
        <f>'Design Calculations'!G285</f>
        <v>2540.5508333333332</v>
      </c>
      <c r="AD66" s="133">
        <f>IF(Y66="No",(AC66*'Constants &amp; Conversions'!$D$24)*$AC$62/'Constants &amp; Conversions'!$D$29,Z66*AA66*((AC66/('Summary Table'!$H$25/'Summary Table'!$C$111))*'Constants &amp; Conversions'!$D$24)*$AC$62/'Constants &amp; Conversions'!$D$29)</f>
        <v>0.64021880999999992</v>
      </c>
      <c r="AE66" s="149"/>
      <c r="AF66" s="9"/>
      <c r="AG66" s="133"/>
      <c r="AH66" s="149"/>
      <c r="AI66" s="9"/>
      <c r="AJ66" s="133"/>
      <c r="AK66" s="9"/>
      <c r="AL66" s="148"/>
      <c r="AM66" s="9"/>
      <c r="AN66" s="9"/>
      <c r="AO66" s="134"/>
      <c r="AS66" s="27"/>
      <c r="AT66" s="14"/>
      <c r="AU66" s="5"/>
      <c r="AV66" s="5"/>
      <c r="AW66" s="5"/>
      <c r="AX66" s="15"/>
      <c r="AY66" s="159"/>
      <c r="BO66" s="27"/>
      <c r="BP66" s="179" t="s">
        <v>621</v>
      </c>
      <c r="BQ66" s="180">
        <f>BV62</f>
        <v>0.22825575360000003</v>
      </c>
      <c r="BR66" s="181" t="s">
        <v>616</v>
      </c>
      <c r="BS66" s="9"/>
      <c r="BT66" s="187"/>
      <c r="BU66" s="188"/>
      <c r="BV66" s="17"/>
      <c r="BW66" s="187"/>
      <c r="BX66" s="188"/>
      <c r="BY66" s="17"/>
      <c r="BZ66" s="334"/>
      <c r="CA66" s="190"/>
      <c r="CB66" s="17"/>
      <c r="CC66" s="334"/>
      <c r="CD66" s="334"/>
      <c r="CE66" s="334"/>
      <c r="CF66" s="190"/>
      <c r="CG66" s="17"/>
    </row>
    <row r="67" spans="2:85" ht="26">
      <c r="B67" s="56" t="s">
        <v>58</v>
      </c>
      <c r="C67" s="54" t="s">
        <v>64</v>
      </c>
      <c r="D67" s="54">
        <v>435</v>
      </c>
      <c r="E67" s="54" t="s">
        <v>322</v>
      </c>
      <c r="F67" s="129">
        <f>'Design Calculations'!I236</f>
        <v>11545.729843402531</v>
      </c>
      <c r="G67" s="564">
        <f>D67*F67/'Constants &amp; Conversions'!D29</f>
        <v>5.0223924818801002</v>
      </c>
      <c r="W67" s="27"/>
      <c r="X67" s="56" t="s">
        <v>27</v>
      </c>
      <c r="Y67" s="117" t="s">
        <v>132</v>
      </c>
      <c r="Z67" s="54">
        <f t="shared" si="19"/>
        <v>1</v>
      </c>
      <c r="AA67" s="119">
        <f>(AC26/Z26)/Z67</f>
        <v>1</v>
      </c>
      <c r="AB67" s="150"/>
      <c r="AC67" s="118"/>
      <c r="AD67" s="192"/>
      <c r="AE67" s="150" t="s">
        <v>44</v>
      </c>
      <c r="AF67" s="54">
        <f>VLOOKUP('Summary Table'!C23,'Scenarios Data'!B29:U37,7,FALSE)*('Summary Table'!H25/'Summary Table'!C111)</f>
        <v>50008500</v>
      </c>
      <c r="AG67" s="192">
        <f>IF(Y67="No",$AF$62*AF67*'Constants &amp; Conversions'!D31*'Constants &amp; Conversions'!D19/'Constants &amp; Conversions'!D29,Z67*AA67*$AF$62*(AF67/('Summary Table'!$H$25/'Summary Table'!$C$111))*'Constants &amp; Conversions'!D31*'Constants &amp; Conversions'!D19/'Constants &amp; Conversions'!D29)*'Summary Table'!H38</f>
        <v>24.016118154463392</v>
      </c>
      <c r="AH67" s="150" t="s">
        <v>44</v>
      </c>
      <c r="AI67" s="54">
        <f>VLOOKUP('Summary Table'!C23,'Scenarios Data'!B29:U37,6,FALSE)*('Summary Table'!H25/'Summary Table'!C111)</f>
        <v>1014210</v>
      </c>
      <c r="AJ67" s="192">
        <f>IF(Y67="No",$AI$62*AI67*'Constants &amp; Conversions'!D19/'Constants &amp; Conversions'!D29,Z67*AA67*$AI$62*(AI67/('Summary Table'!H25/'Summary Table'!C111))*'Constants &amp; Conversions'!D19/'Constants &amp; Conversions'!D29)*'Summary Table'!H38</f>
        <v>185.02937175718799</v>
      </c>
      <c r="AK67" s="54"/>
      <c r="AL67" s="117"/>
      <c r="AM67" s="54"/>
      <c r="AN67" s="54"/>
      <c r="AO67" s="191"/>
      <c r="AS67" s="27"/>
      <c r="AT67" s="678" t="s">
        <v>619</v>
      </c>
      <c r="AU67" s="678"/>
      <c r="AV67" s="5"/>
      <c r="AW67" s="5"/>
      <c r="AX67" s="15"/>
      <c r="AY67" s="159"/>
      <c r="BO67" s="27"/>
      <c r="BP67" s="182" t="s">
        <v>622</v>
      </c>
      <c r="BQ67" s="178">
        <f>BV63</f>
        <v>2.6057856782347043E-3</v>
      </c>
      <c r="BR67" s="183" t="s">
        <v>616</v>
      </c>
      <c r="BS67" s="9"/>
      <c r="BT67" s="187"/>
      <c r="BU67" s="188"/>
      <c r="BV67" s="17"/>
      <c r="BW67" s="187"/>
      <c r="BX67" s="188"/>
      <c r="BY67" s="17"/>
      <c r="BZ67" s="334"/>
      <c r="CA67" s="190"/>
      <c r="CB67" s="17"/>
      <c r="CC67" s="334"/>
      <c r="CD67" s="334"/>
      <c r="CE67" s="334"/>
      <c r="CF67" s="190"/>
      <c r="CG67" s="17"/>
    </row>
    <row r="68" spans="2:85" ht="22" thickBot="1">
      <c r="B68" s="43" t="s">
        <v>85</v>
      </c>
      <c r="C68" s="30" t="s">
        <v>63</v>
      </c>
      <c r="D68" s="30">
        <v>10</v>
      </c>
      <c r="E68" s="30" t="s">
        <v>320</v>
      </c>
      <c r="F68" s="127">
        <f>24432.28*'Constants &amp; Conversions'!D19/'Constants &amp; Conversions'!D28*('Summary Table'!H25/'Summary Table'!C111)</f>
        <v>205231.152</v>
      </c>
      <c r="G68" s="570">
        <f>D68*F68/'Constants &amp; Conversions'!D29</f>
        <v>2.0523115199999999</v>
      </c>
      <c r="W68" s="27"/>
      <c r="X68" s="153" t="s">
        <v>598</v>
      </c>
      <c r="Y68" s="148" t="s">
        <v>132</v>
      </c>
      <c r="Z68" s="9">
        <f t="shared" si="19"/>
        <v>1</v>
      </c>
      <c r="AA68" s="137">
        <f>(AC27/Z27)/Z68</f>
        <v>1</v>
      </c>
      <c r="AB68" s="149"/>
      <c r="AC68" s="136"/>
      <c r="AD68" s="133"/>
      <c r="AE68" s="149" t="s">
        <v>44</v>
      </c>
      <c r="AF68" s="9">
        <f>VLOOKUP('Summary Table'!C23,'Scenarios Data'!B29:U37,15,FALSE)*('Summary Table'!H25/'Summary Table'!C111)</f>
        <v>53089500</v>
      </c>
      <c r="AG68" s="133">
        <f>IF(Y68="No",$AF$62*AF68*'Constants &amp; Conversions'!D31*'Constants &amp; Conversions'!D19/'Constants &amp; Conversions'!D29,Z68*AA68*$AF$62*(AF68/('Summary Table'!$H$25/'Summary Table'!$C$111))*'Constants &amp; Conversions'!D31*'Constants &amp; Conversions'!D19/'Constants &amp; Conversions'!D29)*'Summary Table'!H38</f>
        <v>25.495739819458375</v>
      </c>
      <c r="AH68" s="149"/>
      <c r="AI68" s="9"/>
      <c r="AJ68" s="133"/>
      <c r="AK68" s="9"/>
      <c r="AL68" s="148"/>
      <c r="AM68" s="9"/>
      <c r="AN68" s="9"/>
      <c r="AO68" s="134"/>
      <c r="AS68" s="27"/>
      <c r="AT68" s="14"/>
      <c r="AU68" s="5"/>
      <c r="AV68" s="5"/>
      <c r="AW68" s="5"/>
      <c r="AX68" s="15"/>
      <c r="AY68" s="159"/>
      <c r="BO68" s="27"/>
      <c r="BP68" s="184" t="s">
        <v>623</v>
      </c>
      <c r="BQ68" s="185">
        <f>BV64</f>
        <v>0</v>
      </c>
      <c r="BR68" s="186" t="s">
        <v>616</v>
      </c>
      <c r="BS68" s="9"/>
      <c r="BT68" s="187"/>
      <c r="BU68" s="188"/>
      <c r="BV68" s="17"/>
      <c r="BW68" s="187"/>
      <c r="BX68" s="188"/>
      <c r="BY68" s="17"/>
      <c r="BZ68" s="334"/>
      <c r="CA68" s="190"/>
      <c r="CB68" s="17"/>
      <c r="CC68" s="334"/>
      <c r="CD68" s="334"/>
      <c r="CE68" s="334"/>
      <c r="CF68" s="190"/>
      <c r="CG68" s="17"/>
    </row>
    <row r="69" spans="2:85" ht="22" thickBot="1">
      <c r="B69" s="14"/>
      <c r="C69" s="5"/>
      <c r="D69" s="5"/>
      <c r="E69" s="5"/>
      <c r="F69" s="15"/>
      <c r="G69" s="159"/>
      <c r="W69" s="27"/>
      <c r="X69" s="56" t="s">
        <v>740</v>
      </c>
      <c r="Y69" s="117" t="s">
        <v>131</v>
      </c>
      <c r="Z69" s="54">
        <f t="shared" si="19"/>
        <v>1</v>
      </c>
      <c r="AA69" s="119">
        <f>IF(AC28=0,1,(AC28/Z28)/Z69)</f>
        <v>1</v>
      </c>
      <c r="AB69" s="150"/>
      <c r="AC69" s="118"/>
      <c r="AD69" s="192"/>
      <c r="AE69" s="117"/>
      <c r="AF69" s="54"/>
      <c r="AG69" s="192"/>
      <c r="AH69" s="117" t="s">
        <v>44</v>
      </c>
      <c r="AI69" s="54">
        <f>VLOOKUP('Summary Table'!C23,'Scenarios Data'!B29:U37,18,FALSE)*('Summary Table'!H25/'Summary Table'!C111)-VLOOKUP('Summary Table'!C23,'Scenarios Data'!B29:U37,19,FALSE)*('Summary Table'!H25/'Summary Table'!C111)</f>
        <v>395030</v>
      </c>
      <c r="AJ69" s="192">
        <f>IF(Y69="No",$AI$62*AI69*'Constants &amp; Conversions'!D19/'Constants &amp; Conversions'!D29,Z69*AA69*$AI$62*(AI69/('Summary Table'!H25/'Summary Table'!C111))*'Constants &amp; Conversions'!D19/'Constants &amp; Conversions'!D29)</f>
        <v>72.068065514283987</v>
      </c>
      <c r="AK69" s="54"/>
      <c r="AL69" s="117"/>
      <c r="AM69" s="54"/>
      <c r="AN69" s="54"/>
      <c r="AO69" s="191"/>
      <c r="AS69" s="27"/>
      <c r="AT69" s="114"/>
      <c r="AU69" s="104" t="s">
        <v>46</v>
      </c>
      <c r="AV69" s="104" t="s">
        <v>62</v>
      </c>
      <c r="AW69" s="104" t="s">
        <v>312</v>
      </c>
      <c r="AX69" s="104" t="s">
        <v>47</v>
      </c>
      <c r="AY69" s="105" t="s">
        <v>75</v>
      </c>
      <c r="BO69" s="27"/>
      <c r="BP69" s="231"/>
      <c r="BQ69" s="203"/>
      <c r="BR69" s="231"/>
      <c r="BS69" s="9"/>
      <c r="BT69" s="187"/>
      <c r="BU69" s="188"/>
      <c r="BV69" s="17"/>
      <c r="BW69" s="187"/>
      <c r="BX69" s="188"/>
      <c r="BY69" s="17"/>
      <c r="BZ69" s="334"/>
      <c r="CA69" s="190"/>
      <c r="CB69" s="17"/>
      <c r="CC69" s="334"/>
      <c r="CD69" s="334"/>
      <c r="CE69" s="334"/>
      <c r="CF69" s="190"/>
      <c r="CG69" s="17"/>
    </row>
    <row r="70" spans="2:85" ht="22" thickBot="1">
      <c r="B70" s="169" t="s">
        <v>620</v>
      </c>
      <c r="C70" s="170">
        <f>SUM(G60:G68)</f>
        <v>64.899857975330121</v>
      </c>
      <c r="D70" s="171" t="s">
        <v>616</v>
      </c>
      <c r="E70" s="5"/>
      <c r="F70" s="15"/>
      <c r="G70" s="159"/>
      <c r="W70" s="27"/>
      <c r="X70" s="172" t="s">
        <v>797</v>
      </c>
      <c r="Y70" s="175" t="s">
        <v>132</v>
      </c>
      <c r="Z70" s="139">
        <f t="shared" si="19"/>
        <v>4</v>
      </c>
      <c r="AA70" s="176">
        <f>IF(AC29=0,1,(AC29/Z29)/Z70)</f>
        <v>4.3215985998839734</v>
      </c>
      <c r="AB70" s="175" t="s">
        <v>124</v>
      </c>
      <c r="AC70" s="173">
        <f>VLOOKUP('Summary Table'!C23,'Scenarios Data'!B29:U37,20,FALSE)*('Summary Table'!H25/'Summary Table'!C111)</f>
        <v>117486</v>
      </c>
      <c r="AD70" s="140">
        <f>IF(Y70="No",(AC70*'Constants &amp; Conversions'!$D$24)*$AC$62/'Constants &amp; Conversions'!$D$29,Z70*AA70*((AC70/('Summary Table'!$H$25/'Summary Table'!$C$111))*'Constants &amp; Conversions'!$D$24)*$AC$62/'Constants &amp; Conversions'!$D$29)</f>
        <v>29.606472</v>
      </c>
      <c r="AE70" s="175"/>
      <c r="AF70" s="139"/>
      <c r="AG70" s="140"/>
      <c r="AH70" s="175"/>
      <c r="AI70" s="139"/>
      <c r="AJ70" s="140"/>
      <c r="AK70" s="139"/>
      <c r="AL70" s="175"/>
      <c r="AM70" s="139"/>
      <c r="AN70" s="139"/>
      <c r="AO70" s="141"/>
      <c r="AS70" s="27"/>
      <c r="AT70" s="315" t="s">
        <v>59</v>
      </c>
      <c r="AU70" s="488" t="s">
        <v>65</v>
      </c>
      <c r="AV70" s="488">
        <f>'Summary Table'!H48</f>
        <v>0.51380000000000003</v>
      </c>
      <c r="AW70" s="488" t="s">
        <v>321</v>
      </c>
      <c r="AX70" s="508">
        <f>12200.68*'Constants &amp; Conversions'!D32*'Constants &amp; Conversions'!D19*('Summary Table'!H25/'Summary Table'!C111)</f>
        <v>225942050.38944</v>
      </c>
      <c r="AY70" s="563">
        <f>-AV70*AX70/'Constants &amp; Conversions'!D29</f>
        <v>-116.08902549009427</v>
      </c>
      <c r="BO70" s="27"/>
      <c r="BP70" s="231"/>
      <c r="BQ70" s="203"/>
      <c r="BR70" s="231"/>
      <c r="BS70" s="9"/>
      <c r="BT70" s="187"/>
      <c r="BU70" s="188"/>
      <c r="BV70" s="17"/>
      <c r="BW70" s="187"/>
      <c r="BX70" s="188"/>
      <c r="BY70" s="17"/>
      <c r="BZ70" s="334"/>
      <c r="CA70" s="190"/>
      <c r="CB70" s="17"/>
      <c r="CC70" s="334"/>
      <c r="CD70" s="334"/>
      <c r="CE70" s="334"/>
      <c r="CF70" s="190"/>
      <c r="CG70" s="17"/>
    </row>
    <row r="71" spans="2:85" ht="17" thickBot="1">
      <c r="B71" s="14"/>
      <c r="C71" s="5"/>
      <c r="D71" s="5"/>
      <c r="E71" s="5"/>
      <c r="F71" s="15"/>
      <c r="G71" s="159"/>
      <c r="W71" s="27"/>
      <c r="X71" s="9"/>
      <c r="Y71" s="9"/>
      <c r="Z71" s="9"/>
      <c r="AA71" s="9"/>
      <c r="AB71" s="187"/>
      <c r="AC71" s="188"/>
      <c r="AD71" s="17"/>
      <c r="AE71" s="187"/>
      <c r="AF71" s="188"/>
      <c r="AG71" s="17"/>
      <c r="AH71" s="334"/>
      <c r="AI71" s="190"/>
      <c r="AJ71" s="17"/>
      <c r="AK71" s="700"/>
      <c r="AL71" s="700"/>
      <c r="AM71" s="700"/>
      <c r="AN71" s="190"/>
      <c r="AO71" s="17"/>
      <c r="AS71" s="27"/>
      <c r="AT71" s="56" t="s">
        <v>60</v>
      </c>
      <c r="AU71" s="54" t="s">
        <v>63</v>
      </c>
      <c r="AV71" s="54">
        <f>'Summary Table'!H49</f>
        <v>4482</v>
      </c>
      <c r="AW71" s="54" t="s">
        <v>320</v>
      </c>
      <c r="AX71" s="118">
        <f>12231.6*'Constants &amp; Conversions'!D19/'Constants &amp; Conversions'!D28*('Summary Table'!H25/'Summary Table'!C111)</f>
        <v>102745.44</v>
      </c>
      <c r="AY71" s="564">
        <f>-AV71*AX71/'Constants &amp; Conversions'!D29</f>
        <v>-460.50506207999996</v>
      </c>
      <c r="BO71" s="27"/>
    </row>
    <row r="72" spans="2:85" ht="27" thickBot="1">
      <c r="B72" s="14"/>
      <c r="C72" s="5"/>
      <c r="D72" s="5"/>
      <c r="E72" s="5"/>
      <c r="F72" s="15"/>
      <c r="G72" s="159"/>
      <c r="W72" s="27"/>
      <c r="X72" s="179" t="s">
        <v>621</v>
      </c>
      <c r="Y72" s="180">
        <f>SUM(AD64:AD70)</f>
        <v>181.78439500465819</v>
      </c>
      <c r="Z72" s="181" t="s">
        <v>616</v>
      </c>
      <c r="AA72" s="9"/>
      <c r="AB72" s="187"/>
      <c r="AC72" s="188"/>
      <c r="AD72" s="17"/>
      <c r="AE72" s="187"/>
      <c r="AF72" s="188"/>
      <c r="AG72" s="17"/>
      <c r="AH72" s="334"/>
      <c r="AI72" s="190"/>
      <c r="AJ72" s="17"/>
      <c r="AK72" s="334"/>
      <c r="AL72" s="334"/>
      <c r="AM72" s="334"/>
      <c r="AN72" s="190"/>
      <c r="AO72" s="17"/>
      <c r="AS72" s="27"/>
      <c r="AT72" s="172" t="s">
        <v>61</v>
      </c>
      <c r="AU72" s="139" t="s">
        <v>63</v>
      </c>
      <c r="AV72" s="409">
        <f>'Summary Table'!H55</f>
        <v>40</v>
      </c>
      <c r="AW72" s="139" t="s">
        <v>320</v>
      </c>
      <c r="AX72" s="173">
        <f>(VLOOKUP('Summary Table'!C23,'Scenarios Data'!B14:AR22,33,FALSE)-VLOOKUP('Summary Table'!C23,'Scenarios Data'!B14:AR22,35,FALSE))*'Constants &amp; Conversions'!D19/'Constants &amp; Conversions'!D28*('Summary Table'!H25/'Summary Table'!C111)</f>
        <v>394724.4</v>
      </c>
      <c r="AY72" s="566">
        <f>-AV72*AX72/'Constants &amp; Conversions'!D29</f>
        <v>-15.788976</v>
      </c>
      <c r="BO72" s="27"/>
      <c r="BP72" s="678" t="s">
        <v>617</v>
      </c>
      <c r="BQ72" s="678"/>
      <c r="BR72" s="678"/>
    </row>
    <row r="73" spans="2:85" ht="22" thickBot="1">
      <c r="B73" s="14"/>
      <c r="C73" s="5"/>
      <c r="D73" s="5"/>
      <c r="E73" s="5"/>
      <c r="F73" s="15"/>
      <c r="G73" s="159"/>
      <c r="W73" s="27"/>
      <c r="X73" s="182" t="s">
        <v>622</v>
      </c>
      <c r="Y73" s="178">
        <f>SUM(AG64:AG70)</f>
        <v>49.511857973921764</v>
      </c>
      <c r="Z73" s="183" t="s">
        <v>616</v>
      </c>
      <c r="AA73" s="9"/>
      <c r="AB73" s="187"/>
      <c r="AC73" s="188"/>
      <c r="AD73" s="17"/>
      <c r="AE73" s="187"/>
      <c r="AF73" s="188"/>
      <c r="AG73" s="17"/>
      <c r="AH73" s="334"/>
      <c r="AI73" s="190"/>
      <c r="AJ73" s="17"/>
      <c r="AK73" s="334"/>
      <c r="AL73" s="334"/>
      <c r="AM73" s="334"/>
      <c r="AN73" s="190"/>
      <c r="AO73" s="17"/>
      <c r="AS73" s="27"/>
      <c r="AT73" s="17"/>
      <c r="AU73" s="9"/>
      <c r="AV73" s="9"/>
      <c r="AW73" s="9"/>
      <c r="AX73" s="136"/>
      <c r="AY73" s="174"/>
      <c r="BO73" s="27"/>
    </row>
    <row r="74" spans="2:85" ht="27" thickBot="1">
      <c r="B74" s="678" t="s">
        <v>619</v>
      </c>
      <c r="C74" s="678"/>
      <c r="D74" s="5"/>
      <c r="E74" s="5"/>
      <c r="F74" s="15"/>
      <c r="G74" s="159"/>
      <c r="W74" s="27"/>
      <c r="X74" s="182" t="s">
        <v>623</v>
      </c>
      <c r="Y74" s="178">
        <f>SUM(AJ64:AJ70)</f>
        <v>257.09743727147196</v>
      </c>
      <c r="Z74" s="183" t="s">
        <v>616</v>
      </c>
      <c r="AA74" s="9"/>
      <c r="AB74" s="187"/>
      <c r="AC74" s="188"/>
      <c r="AD74" s="17"/>
      <c r="AE74" s="187"/>
      <c r="AF74" s="188"/>
      <c r="AG74" s="17"/>
      <c r="AH74" s="334"/>
      <c r="AI74" s="190"/>
      <c r="AJ74" s="17"/>
      <c r="AK74" s="334"/>
      <c r="AL74" s="334"/>
      <c r="AM74" s="334"/>
      <c r="AN74" s="190"/>
      <c r="AO74" s="17"/>
      <c r="AS74" s="27"/>
      <c r="AT74" s="169" t="s">
        <v>619</v>
      </c>
      <c r="AU74" s="170">
        <f>SUM(AY70:AY72)</f>
        <v>-592.38306357009424</v>
      </c>
      <c r="AV74" s="171" t="s">
        <v>616</v>
      </c>
      <c r="AW74" s="9"/>
      <c r="AX74" s="136"/>
      <c r="AY74" s="174"/>
      <c r="BO74" s="27"/>
      <c r="BP74" s="103"/>
      <c r="BQ74" s="104" t="s">
        <v>89</v>
      </c>
      <c r="BR74" s="104" t="s">
        <v>90</v>
      </c>
      <c r="BS74" s="104" t="s">
        <v>92</v>
      </c>
      <c r="BT74" s="104" t="s">
        <v>93</v>
      </c>
      <c r="BU74" s="104" t="s">
        <v>91</v>
      </c>
      <c r="BV74" s="105" t="s">
        <v>95</v>
      </c>
    </row>
    <row r="75" spans="2:85" ht="22" thickBot="1">
      <c r="B75" s="14"/>
      <c r="C75" s="5"/>
      <c r="D75" s="5"/>
      <c r="E75" s="5"/>
      <c r="F75" s="15"/>
      <c r="G75" s="159"/>
      <c r="W75" s="27"/>
      <c r="X75" s="184" t="s">
        <v>624</v>
      </c>
      <c r="Y75" s="185">
        <f>SUM(AO64:AO70)</f>
        <v>11.717219523140715</v>
      </c>
      <c r="Z75" s="186" t="s">
        <v>616</v>
      </c>
      <c r="AA75" s="9"/>
      <c r="AB75" s="187"/>
      <c r="AC75" s="188"/>
      <c r="AD75" s="17"/>
      <c r="AE75" s="187"/>
      <c r="AF75" s="188"/>
      <c r="AG75" s="17"/>
      <c r="AH75" s="334"/>
      <c r="AI75" s="190"/>
      <c r="AJ75" s="17"/>
      <c r="AK75" s="334"/>
      <c r="AL75" s="334"/>
      <c r="AM75" s="334"/>
      <c r="AN75" s="190"/>
      <c r="AO75" s="17"/>
      <c r="AS75" s="27"/>
      <c r="BO75" s="27"/>
      <c r="BP75" s="59" t="s">
        <v>81</v>
      </c>
      <c r="BQ75" s="30">
        <f>'Summary Table'!H35</f>
        <v>32</v>
      </c>
      <c r="BR75" s="30">
        <f>SUM(BV23:BV27)</f>
        <v>5.31</v>
      </c>
      <c r="BS75" s="30">
        <v>40</v>
      </c>
      <c r="BT75" s="30">
        <v>4.5</v>
      </c>
      <c r="BU75" s="109">
        <f>365.25/7</f>
        <v>52.178571428571431</v>
      </c>
      <c r="BV75" s="196">
        <f>BQ75*BR75*BS75*BT75*BU75/'Constants &amp; Conversions'!D29</f>
        <v>1.5959129142857142</v>
      </c>
    </row>
    <row r="76" spans="2:85" ht="22" thickBot="1">
      <c r="B76" s="114"/>
      <c r="C76" s="104" t="s">
        <v>46</v>
      </c>
      <c r="D76" s="104" t="s">
        <v>62</v>
      </c>
      <c r="E76" s="104" t="s">
        <v>312</v>
      </c>
      <c r="F76" s="104" t="s">
        <v>47</v>
      </c>
      <c r="G76" s="105" t="s">
        <v>75</v>
      </c>
      <c r="W76" s="27"/>
      <c r="X76" s="231"/>
      <c r="Y76" s="203"/>
      <c r="Z76" s="231"/>
      <c r="AA76" s="9"/>
      <c r="AB76" s="187"/>
      <c r="AC76" s="188"/>
      <c r="AD76" s="17"/>
      <c r="AE76" s="187"/>
      <c r="AF76" s="188"/>
      <c r="AG76" s="17"/>
      <c r="AH76" s="334"/>
      <c r="AI76" s="190"/>
      <c r="AJ76" s="17"/>
      <c r="AK76" s="334"/>
      <c r="AL76" s="334"/>
      <c r="AM76" s="334"/>
      <c r="AN76" s="190"/>
      <c r="AO76" s="17"/>
      <c r="AS76" s="27"/>
      <c r="BO76" s="27"/>
      <c r="BP76" s="5"/>
      <c r="BQ76" s="5"/>
      <c r="BR76" s="5"/>
      <c r="BS76" s="5"/>
      <c r="BT76" s="5"/>
      <c r="BU76" s="5"/>
      <c r="BV76" s="5"/>
    </row>
    <row r="77" spans="2:85" ht="22" thickBot="1">
      <c r="B77" s="315" t="s">
        <v>59</v>
      </c>
      <c r="C77" s="488" t="s">
        <v>65</v>
      </c>
      <c r="D77" s="488">
        <f>'Summary Table'!H48</f>
        <v>0.51380000000000003</v>
      </c>
      <c r="E77" s="488" t="s">
        <v>321</v>
      </c>
      <c r="F77" s="508">
        <f>12200.68*'Constants &amp; Conversions'!D32*'Constants &amp; Conversions'!D19*('Summary Table'!H25/'Summary Table'!C111)</f>
        <v>225942050.38944</v>
      </c>
      <c r="G77" s="563">
        <f>-D77*F77/'Constants &amp; Conversions'!D29</f>
        <v>-116.08902549009427</v>
      </c>
      <c r="W77" s="27"/>
      <c r="X77" s="231"/>
      <c r="Y77" s="203"/>
      <c r="Z77" s="231"/>
      <c r="AA77" s="9"/>
      <c r="AB77" s="187"/>
      <c r="AC77" s="188"/>
      <c r="AD77" s="17"/>
      <c r="AE77" s="187"/>
      <c r="AF77" s="188"/>
      <c r="AG77" s="17"/>
      <c r="AH77" s="334"/>
      <c r="AI77" s="190"/>
      <c r="AJ77" s="17"/>
      <c r="AK77" s="334"/>
      <c r="AL77" s="334"/>
      <c r="AM77" s="334"/>
      <c r="AN77" s="190"/>
      <c r="AO77" s="17"/>
      <c r="AS77" s="27"/>
      <c r="BO77" s="27"/>
      <c r="BP77" s="335"/>
      <c r="BQ77" s="104" t="s">
        <v>94</v>
      </c>
      <c r="BR77" s="105" t="s">
        <v>96</v>
      </c>
      <c r="BS77" s="5"/>
      <c r="BT77" s="5"/>
      <c r="BU77" s="5"/>
      <c r="BV77" s="5"/>
    </row>
    <row r="78" spans="2:85" ht="26">
      <c r="B78" s="56" t="s">
        <v>60</v>
      </c>
      <c r="C78" s="54" t="s">
        <v>63</v>
      </c>
      <c r="D78" s="54">
        <f>'Summary Table'!H49</f>
        <v>4482</v>
      </c>
      <c r="E78" s="54" t="s">
        <v>320</v>
      </c>
      <c r="F78" s="118">
        <f>12231.6*'Constants &amp; Conversions'!D19/'Constants &amp; Conversions'!D28*('Summary Table'!H25/'Summary Table'!C111)</f>
        <v>102745.44</v>
      </c>
      <c r="G78" s="564">
        <f>-D78*F78/'Constants &amp; Conversions'!D29</f>
        <v>-460.50506207999996</v>
      </c>
      <c r="W78" s="27"/>
      <c r="AS78" s="27"/>
      <c r="AT78" s="678" t="s">
        <v>66</v>
      </c>
      <c r="AU78" s="678"/>
      <c r="BO78" s="27"/>
      <c r="BP78" s="42" t="s">
        <v>82</v>
      </c>
      <c r="BQ78" s="166">
        <v>0.22500000000000001</v>
      </c>
      <c r="BR78" s="126">
        <f>$BV$75*BQ78</f>
        <v>0.35908040571428573</v>
      </c>
      <c r="BS78" s="5"/>
      <c r="BT78" s="5"/>
      <c r="BU78" s="5"/>
      <c r="BV78" s="5"/>
    </row>
    <row r="79" spans="2:85" ht="27" thickBot="1">
      <c r="B79" s="172" t="s">
        <v>61</v>
      </c>
      <c r="C79" s="139" t="s">
        <v>63</v>
      </c>
      <c r="D79" s="409">
        <f>'Summary Table'!H55</f>
        <v>40</v>
      </c>
      <c r="E79" s="139" t="s">
        <v>320</v>
      </c>
      <c r="F79" s="173">
        <f>(VLOOKUP('Summary Table'!C23,'Scenarios Data'!B14:AR22,33,FALSE)-VLOOKUP('Summary Table'!C23,'Scenarios Data'!B14:AR22,35,FALSE))*'Constants &amp; Conversions'!D19/'Constants &amp; Conversions'!D28*('Summary Table'!H25/'Summary Table'!C111)</f>
        <v>394724.4</v>
      </c>
      <c r="G79" s="566">
        <f>-D79*F79/'Constants &amp; Conversions'!D29</f>
        <v>-15.788976</v>
      </c>
      <c r="W79" s="27"/>
      <c r="X79" s="678" t="s">
        <v>617</v>
      </c>
      <c r="Y79" s="678"/>
      <c r="Z79" s="678"/>
      <c r="AS79" s="27"/>
      <c r="AT79" s="3"/>
      <c r="BO79" s="27"/>
      <c r="BP79" s="56" t="s">
        <v>83</v>
      </c>
      <c r="BQ79" s="168">
        <v>0.15</v>
      </c>
      <c r="BR79" s="191">
        <f>$BV$75*BQ79</f>
        <v>0.23938693714285714</v>
      </c>
      <c r="BS79" s="5"/>
      <c r="BT79" s="5"/>
      <c r="BU79" s="5"/>
      <c r="BV79" s="5"/>
    </row>
    <row r="80" spans="2:85" ht="22" thickBot="1">
      <c r="B80" s="17"/>
      <c r="C80" s="9"/>
      <c r="D80" s="9"/>
      <c r="E80" s="9"/>
      <c r="F80" s="136"/>
      <c r="G80" s="174"/>
      <c r="W80" s="27"/>
      <c r="AS80" s="27"/>
      <c r="AT80" s="702"/>
      <c r="AU80" s="703"/>
      <c r="AV80" s="703"/>
      <c r="AW80" s="703"/>
      <c r="AX80" s="696" t="s">
        <v>67</v>
      </c>
      <c r="AY80" s="697"/>
      <c r="AZ80" s="698"/>
      <c r="BA80" s="696" t="s">
        <v>68</v>
      </c>
      <c r="BB80" s="697"/>
      <c r="BC80" s="698"/>
      <c r="BD80" s="696" t="s">
        <v>69</v>
      </c>
      <c r="BE80" s="697"/>
      <c r="BF80" s="698"/>
      <c r="BG80" s="697" t="s">
        <v>70</v>
      </c>
      <c r="BH80" s="697"/>
      <c r="BI80" s="697"/>
      <c r="BJ80" s="697"/>
      <c r="BK80" s="699"/>
      <c r="BL80" s="2"/>
      <c r="BO80" s="27"/>
      <c r="BP80" s="43" t="s">
        <v>84</v>
      </c>
      <c r="BQ80" s="194">
        <v>0.5</v>
      </c>
      <c r="BR80" s="128">
        <f>$BV$75*BQ80</f>
        <v>0.79795645714285712</v>
      </c>
      <c r="BS80" s="5"/>
      <c r="BT80" s="5"/>
      <c r="BU80" s="5"/>
      <c r="BV80" s="5"/>
    </row>
    <row r="81" spans="2:85" ht="22" thickBot="1">
      <c r="B81" s="169" t="s">
        <v>619</v>
      </c>
      <c r="C81" s="170">
        <f>SUM(G70:G79)</f>
        <v>-592.38306357009424</v>
      </c>
      <c r="D81" s="171" t="s">
        <v>616</v>
      </c>
      <c r="E81" s="9"/>
      <c r="F81" s="136"/>
      <c r="G81" s="174"/>
      <c r="W81" s="27"/>
      <c r="X81" s="103"/>
      <c r="Y81" s="104" t="s">
        <v>89</v>
      </c>
      <c r="Z81" s="104" t="s">
        <v>90</v>
      </c>
      <c r="AA81" s="104" t="s">
        <v>92</v>
      </c>
      <c r="AB81" s="104" t="s">
        <v>93</v>
      </c>
      <c r="AC81" s="104" t="s">
        <v>91</v>
      </c>
      <c r="AD81" s="105" t="s">
        <v>95</v>
      </c>
      <c r="AS81" s="27"/>
      <c r="AT81" s="27"/>
      <c r="AU81" s="5"/>
      <c r="AV81" s="5"/>
      <c r="AW81" s="429"/>
      <c r="AX81" s="154" t="s">
        <v>476</v>
      </c>
      <c r="AY81" s="155">
        <f>'Summary Table'!H64</f>
        <v>0.03</v>
      </c>
      <c r="AZ81" s="156" t="s">
        <v>344</v>
      </c>
      <c r="BA81" s="154" t="s">
        <v>476</v>
      </c>
      <c r="BB81" s="155">
        <f>'Summary Table'!H65</f>
        <v>5.7000000000000002E-2</v>
      </c>
      <c r="BC81" s="156" t="s">
        <v>347</v>
      </c>
      <c r="BD81" s="154" t="s">
        <v>476</v>
      </c>
      <c r="BE81" s="155">
        <f>'Summary Table'!H66</f>
        <v>2.1718683666666665E-2</v>
      </c>
      <c r="BF81" s="156" t="s">
        <v>64</v>
      </c>
      <c r="BG81" s="429"/>
      <c r="BH81" s="429"/>
      <c r="BI81" s="429"/>
      <c r="BJ81" s="429"/>
      <c r="BK81" s="369"/>
      <c r="BL81" s="20"/>
      <c r="BO81" s="27"/>
      <c r="BP81" s="5"/>
      <c r="BQ81" s="166"/>
      <c r="BR81" s="5"/>
      <c r="BS81" s="5"/>
      <c r="BT81" s="5"/>
      <c r="BU81" s="5"/>
      <c r="BV81" s="5"/>
    </row>
    <row r="82" spans="2:85" ht="17" thickBot="1">
      <c r="W82" s="27"/>
      <c r="X82" s="59" t="s">
        <v>81</v>
      </c>
      <c r="Y82" s="30">
        <f>'Summary Table'!H35</f>
        <v>32</v>
      </c>
      <c r="Z82" s="30">
        <f>SUM(AF23:AF28)</f>
        <v>6.04</v>
      </c>
      <c r="AA82" s="30">
        <v>40</v>
      </c>
      <c r="AB82" s="30">
        <v>4.5</v>
      </c>
      <c r="AC82" s="109">
        <f>365.25/7</f>
        <v>52.178571428571431</v>
      </c>
      <c r="AD82" s="196">
        <f>Y82*Z82*AA82*AB82*AC82/'Constants &amp; Conversions'!D29</f>
        <v>1.8153133714285716</v>
      </c>
      <c r="AS82" s="27"/>
      <c r="AT82" s="114"/>
      <c r="AU82" s="104" t="s">
        <v>403</v>
      </c>
      <c r="AV82" s="104" t="s">
        <v>113</v>
      </c>
      <c r="AW82" s="104" t="s">
        <v>25</v>
      </c>
      <c r="AX82" s="146" t="s">
        <v>78</v>
      </c>
      <c r="AY82" s="104" t="s">
        <v>79</v>
      </c>
      <c r="AZ82" s="147" t="s">
        <v>75</v>
      </c>
      <c r="BA82" s="146" t="s">
        <v>78</v>
      </c>
      <c r="BB82" s="104" t="s">
        <v>79</v>
      </c>
      <c r="BC82" s="147" t="s">
        <v>75</v>
      </c>
      <c r="BD82" s="146" t="s">
        <v>78</v>
      </c>
      <c r="BE82" s="104" t="s">
        <v>79</v>
      </c>
      <c r="BF82" s="147" t="s">
        <v>75</v>
      </c>
      <c r="BG82" s="104" t="s">
        <v>76</v>
      </c>
      <c r="BH82" s="104" t="s">
        <v>71</v>
      </c>
      <c r="BI82" s="104" t="s">
        <v>72</v>
      </c>
      <c r="BJ82" s="104" t="s">
        <v>47</v>
      </c>
      <c r="BK82" s="105" t="s">
        <v>75</v>
      </c>
      <c r="BO82" s="27"/>
      <c r="BP82" s="335"/>
      <c r="BQ82" s="198" t="s">
        <v>97</v>
      </c>
      <c r="BR82" s="105" t="s">
        <v>615</v>
      </c>
      <c r="BS82" s="5"/>
      <c r="BT82" s="5"/>
      <c r="BU82" s="5"/>
      <c r="BV82" s="5"/>
    </row>
    <row r="83" spans="2:85" ht="17" thickBot="1">
      <c r="W83" s="27"/>
      <c r="X83" s="5"/>
      <c r="Y83" s="5"/>
      <c r="Z83" s="5"/>
      <c r="AA83" s="5"/>
      <c r="AB83" s="5"/>
      <c r="AC83" s="5"/>
      <c r="AD83" s="5"/>
      <c r="AS83" s="27"/>
      <c r="AT83" s="56" t="s">
        <v>3</v>
      </c>
      <c r="AU83" s="117" t="s">
        <v>131</v>
      </c>
      <c r="AV83" s="54">
        <f t="shared" ref="AV83:AV105" si="20">AZ23</f>
        <v>1</v>
      </c>
      <c r="AW83" s="119">
        <f t="shared" ref="AW83:AW105" si="21">(AY23/AV23)/AV83</f>
        <v>1</v>
      </c>
      <c r="AX83" s="150" t="s">
        <v>124</v>
      </c>
      <c r="AY83" s="118">
        <f>VLOOKUP('Summary Table'!C23,'Scenarios Data'!B14:AR22,21,FALSE)*('Summary Table'!H25/'Summary Table'!C111)</f>
        <v>271.27800000000002</v>
      </c>
      <c r="AZ83" s="192">
        <f>IF(AU83="No",(AY83*'Constants &amp; Conversions'!$D$24)*$AY$81/'Constants &amp; Conversions'!$D$29,AV83*AW83*((AY83/('Summary Table'!$H$25/'Summary Table'!$C$111))*'Constants &amp; Conversions'!$D$24)*$AY$81/'Constants &amp; Conversions'!$D$29)</f>
        <v>6.836205599999999E-2</v>
      </c>
      <c r="BA83" s="150"/>
      <c r="BB83" s="54"/>
      <c r="BC83" s="192"/>
      <c r="BD83" s="150"/>
      <c r="BE83" s="54"/>
      <c r="BF83" s="192"/>
      <c r="BG83" s="54"/>
      <c r="BH83" s="117"/>
      <c r="BI83" s="54"/>
      <c r="BJ83" s="54"/>
      <c r="BK83" s="191"/>
      <c r="BO83" s="27"/>
      <c r="BP83" s="59" t="s">
        <v>86</v>
      </c>
      <c r="BQ83" s="195">
        <v>0.08</v>
      </c>
      <c r="BR83" s="196">
        <f>(SUM(CF23:CF27))*BQ83</f>
        <v>8.6576933252459103</v>
      </c>
      <c r="BS83" s="5"/>
      <c r="BT83" s="5"/>
      <c r="BU83" s="5"/>
      <c r="BV83" s="5"/>
    </row>
    <row r="84" spans="2:85" ht="17" thickBot="1">
      <c r="W84" s="27"/>
      <c r="X84" s="335"/>
      <c r="Y84" s="104" t="s">
        <v>94</v>
      </c>
      <c r="Z84" s="105" t="s">
        <v>96</v>
      </c>
      <c r="AA84" s="5"/>
      <c r="AB84" s="5"/>
      <c r="AC84" s="5"/>
      <c r="AD84" s="5"/>
      <c r="AS84" s="27"/>
      <c r="AT84" s="153" t="s">
        <v>4</v>
      </c>
      <c r="AU84" s="148" t="s">
        <v>131</v>
      </c>
      <c r="AV84" s="9">
        <f t="shared" si="20"/>
        <v>1</v>
      </c>
      <c r="AW84" s="137">
        <f t="shared" si="21"/>
        <v>1</v>
      </c>
      <c r="AX84" s="149" t="s">
        <v>124</v>
      </c>
      <c r="AY84" s="136">
        <f>VLOOKUP('Summary Table'!C23,'Scenarios Data'!B14:AR22,24,FALSE)*('Summary Table'!H25/'Summary Table'!C111)</f>
        <v>396.78256711660362</v>
      </c>
      <c r="AZ84" s="133">
        <f>IF(AU84="No",(AY84*'Constants &amp; Conversions'!$D$24)*$AY$81/'Constants &amp; Conversions'!$D$29,AV84*AW84*((AY84/('Summary Table'!$H$25/'Summary Table'!$C$111))*'Constants &amp; Conversions'!$D$24)*$AY$81/'Constants &amp; Conversions'!$D$29)</f>
        <v>9.9989206913384115E-2</v>
      </c>
      <c r="BA84" s="149"/>
      <c r="BB84" s="9"/>
      <c r="BC84" s="133"/>
      <c r="BD84" s="149"/>
      <c r="BE84" s="9"/>
      <c r="BF84" s="133"/>
      <c r="BG84" s="9"/>
      <c r="BH84" s="148"/>
      <c r="BI84" s="9"/>
      <c r="BJ84" s="9"/>
      <c r="BK84" s="134"/>
      <c r="BO84" s="27"/>
      <c r="BP84" s="5"/>
      <c r="BQ84" s="5"/>
      <c r="BR84" s="5"/>
      <c r="BS84" s="5"/>
      <c r="BT84" s="5"/>
      <c r="BU84" s="5"/>
      <c r="BV84" s="5"/>
    </row>
    <row r="85" spans="2:85" ht="27" thickBot="1">
      <c r="B85" s="678" t="s">
        <v>66</v>
      </c>
      <c r="C85" s="678"/>
      <c r="W85" s="27"/>
      <c r="X85" s="42" t="s">
        <v>82</v>
      </c>
      <c r="Y85" s="166">
        <v>0.22500000000000001</v>
      </c>
      <c r="Z85" s="126">
        <f>$AD$82*Y85</f>
        <v>0.40844550857142864</v>
      </c>
      <c r="AA85" s="5"/>
      <c r="AB85" s="5"/>
      <c r="AC85" s="5"/>
      <c r="AD85" s="5"/>
      <c r="AS85" s="27"/>
      <c r="AT85" s="56" t="s">
        <v>28</v>
      </c>
      <c r="AU85" s="117" t="s">
        <v>131</v>
      </c>
      <c r="AV85" s="54">
        <f t="shared" si="20"/>
        <v>1</v>
      </c>
      <c r="AW85" s="119">
        <f t="shared" si="21"/>
        <v>1</v>
      </c>
      <c r="AX85" s="150"/>
      <c r="AY85" s="118"/>
      <c r="AZ85" s="192"/>
      <c r="BA85" s="150" t="s">
        <v>44</v>
      </c>
      <c r="BB85" s="54">
        <f>VLOOKUP('Summary Table'!C23,'Scenarios Data'!B14:AR22,27,FALSE)*('Summary Table'!H25/'Summary Table'!C111)</f>
        <v>62847.676412199799</v>
      </c>
      <c r="BC85" s="192">
        <f>IF(AU85="No",$BB$81*BB85*'Constants &amp; Conversions'!D31*'Constants &amp; Conversions'!D19/'Constants &amp; Conversions'!D29,AV85*AW85*$BB$81*(BB85/('Summary Table'!$H$25/'Summary Table'!$C$111))*'Constants &amp; Conversions'!D31*'Constants &amp; Conversions'!D19/'Constants &amp; Conversions'!D29)</f>
        <v>3.0182013506681309E-2</v>
      </c>
      <c r="BD85" s="150"/>
      <c r="BE85" s="54"/>
      <c r="BF85" s="192"/>
      <c r="BG85" s="54"/>
      <c r="BH85" s="117"/>
      <c r="BI85" s="54"/>
      <c r="BJ85" s="54"/>
      <c r="BK85" s="191"/>
      <c r="BO85" s="27"/>
      <c r="BP85" s="169" t="s">
        <v>783</v>
      </c>
      <c r="BQ85" s="170">
        <f>BV75+SUM(BR78:BR80)+BR83</f>
        <v>11.650030039531625</v>
      </c>
      <c r="BR85" s="171" t="s">
        <v>616</v>
      </c>
      <c r="BS85" s="5"/>
      <c r="BT85" s="5"/>
      <c r="BU85" s="5"/>
      <c r="BV85" s="5"/>
    </row>
    <row r="86" spans="2:85" ht="17" thickBot="1">
      <c r="B86" s="3"/>
      <c r="W86" s="27"/>
      <c r="X86" s="56" t="s">
        <v>83</v>
      </c>
      <c r="Y86" s="168">
        <v>0.15</v>
      </c>
      <c r="Z86" s="191">
        <f>$AD$82*Y86</f>
        <v>0.27229700571428572</v>
      </c>
      <c r="AA86" s="5"/>
      <c r="AB86" s="5"/>
      <c r="AC86" s="5"/>
      <c r="AD86" s="5"/>
      <c r="AS86" s="27"/>
      <c r="AT86" s="153" t="s">
        <v>31</v>
      </c>
      <c r="AU86" s="148" t="s">
        <v>132</v>
      </c>
      <c r="AV86" s="9">
        <f t="shared" si="20"/>
        <v>13</v>
      </c>
      <c r="AW86" s="137">
        <f t="shared" si="21"/>
        <v>1.1713045854818473</v>
      </c>
      <c r="AX86" s="149"/>
      <c r="AY86" s="136"/>
      <c r="AZ86" s="133"/>
      <c r="BA86" s="149"/>
      <c r="BB86" s="9"/>
      <c r="BC86" s="133"/>
      <c r="BD86" s="149"/>
      <c r="BE86" s="9"/>
      <c r="BF86" s="133"/>
      <c r="BG86" s="9" t="s">
        <v>77</v>
      </c>
      <c r="BH86" s="151" t="s">
        <v>281</v>
      </c>
      <c r="BI86" s="135">
        <f>$AY$81/'Constants &amp; Conversions'!R15/'Constants &amp; Conversions'!D26</f>
        <v>2.7777777777777779E-3</v>
      </c>
      <c r="BJ86" s="136">
        <f>'Design Calculations'!E88*'Constants &amp; Conversions'!D17</f>
        <v>1565669014.5940442</v>
      </c>
      <c r="BK86" s="134">
        <f>BJ86*BI86/'Constants &amp; Conversions'!D29</f>
        <v>4.3490805960945673</v>
      </c>
      <c r="BO86" s="27"/>
      <c r="BP86" s="5"/>
      <c r="BQ86" s="5"/>
      <c r="BR86" s="5"/>
      <c r="BS86" s="5"/>
      <c r="BT86" s="5"/>
      <c r="BU86" s="5"/>
      <c r="BV86" s="5"/>
    </row>
    <row r="87" spans="2:85" ht="22" thickBot="1">
      <c r="B87" s="702"/>
      <c r="C87" s="703"/>
      <c r="D87" s="703"/>
      <c r="E87" s="703"/>
      <c r="F87" s="696" t="s">
        <v>67</v>
      </c>
      <c r="G87" s="697"/>
      <c r="H87" s="698"/>
      <c r="I87" s="696" t="s">
        <v>68</v>
      </c>
      <c r="J87" s="697"/>
      <c r="K87" s="698"/>
      <c r="L87" s="696" t="s">
        <v>69</v>
      </c>
      <c r="M87" s="697"/>
      <c r="N87" s="698"/>
      <c r="O87" s="697" t="s">
        <v>70</v>
      </c>
      <c r="P87" s="697"/>
      <c r="Q87" s="697"/>
      <c r="R87" s="697"/>
      <c r="S87" s="699"/>
      <c r="T87" s="2"/>
      <c r="W87" s="27"/>
      <c r="X87" s="43" t="s">
        <v>84</v>
      </c>
      <c r="Y87" s="194">
        <v>0.5</v>
      </c>
      <c r="Z87" s="128">
        <f>$AD$82*Y87</f>
        <v>0.90765668571428582</v>
      </c>
      <c r="AA87" s="5"/>
      <c r="AB87" s="5"/>
      <c r="AC87" s="5"/>
      <c r="AD87" s="5"/>
      <c r="AS87" s="27"/>
      <c r="AT87" s="56" t="s">
        <v>32</v>
      </c>
      <c r="AU87" s="117" t="s">
        <v>132</v>
      </c>
      <c r="AV87" s="54">
        <f t="shared" si="20"/>
        <v>20</v>
      </c>
      <c r="AW87" s="119">
        <f t="shared" si="21"/>
        <v>1.1696540208665516</v>
      </c>
      <c r="AX87" s="150"/>
      <c r="AY87" s="118"/>
      <c r="AZ87" s="192"/>
      <c r="BA87" s="150"/>
      <c r="BB87" s="54"/>
      <c r="BC87" s="192"/>
      <c r="BD87" s="150"/>
      <c r="BE87" s="54"/>
      <c r="BF87" s="192"/>
      <c r="BG87" s="54" t="s">
        <v>77</v>
      </c>
      <c r="BH87" s="152" t="s">
        <v>281</v>
      </c>
      <c r="BI87" s="142">
        <f>$AY$81/'Constants &amp; Conversions'!R15/'Constants &amp; Conversions'!D26</f>
        <v>2.7777777777777779E-3</v>
      </c>
      <c r="BJ87" s="54">
        <f>'Design Calculations'!K88*'Constants &amp; Conversions'!D17</f>
        <v>4461988718.1367979</v>
      </c>
      <c r="BK87" s="191">
        <f>BJ87*BI87/'Constants &amp; Conversions'!D29</f>
        <v>12.39441310593555</v>
      </c>
      <c r="BO87" s="27"/>
      <c r="BP87" s="5"/>
      <c r="BQ87" s="5"/>
      <c r="BR87" s="5"/>
      <c r="BS87" s="5"/>
      <c r="BT87" s="5"/>
      <c r="BU87" s="5"/>
      <c r="BV87" s="5"/>
    </row>
    <row r="88" spans="2:85" ht="22" thickBot="1">
      <c r="B88" s="27"/>
      <c r="C88" s="5"/>
      <c r="D88" s="5"/>
      <c r="E88" s="21"/>
      <c r="F88" s="154" t="s">
        <v>476</v>
      </c>
      <c r="G88" s="155">
        <f>'Summary Table'!H64</f>
        <v>0.03</v>
      </c>
      <c r="H88" s="156" t="s">
        <v>344</v>
      </c>
      <c r="I88" s="154" t="s">
        <v>476</v>
      </c>
      <c r="J88" s="155">
        <f>'Summary Table'!H65</f>
        <v>5.7000000000000002E-2</v>
      </c>
      <c r="K88" s="156" t="s">
        <v>347</v>
      </c>
      <c r="L88" s="154" t="s">
        <v>476</v>
      </c>
      <c r="M88" s="155">
        <f>'Summary Table'!H66</f>
        <v>2.1718683666666665E-2</v>
      </c>
      <c r="N88" s="156" t="s">
        <v>64</v>
      </c>
      <c r="O88" s="21"/>
      <c r="P88" s="21"/>
      <c r="Q88" s="21"/>
      <c r="R88" s="21"/>
      <c r="S88" s="88"/>
      <c r="T88" s="20"/>
      <c r="W88" s="27"/>
      <c r="X88" s="5"/>
      <c r="Y88" s="166"/>
      <c r="Z88" s="5"/>
      <c r="AA88" s="5"/>
      <c r="AB88" s="5"/>
      <c r="AC88" s="5"/>
      <c r="AD88" s="5"/>
      <c r="AS88" s="27"/>
      <c r="AT88" s="153" t="s">
        <v>8</v>
      </c>
      <c r="AU88" s="148" t="s">
        <v>132</v>
      </c>
      <c r="AV88" s="9">
        <f t="shared" si="20"/>
        <v>6</v>
      </c>
      <c r="AW88" s="137">
        <f t="shared" si="21"/>
        <v>2.0912625</v>
      </c>
      <c r="AX88" s="149" t="s">
        <v>124</v>
      </c>
      <c r="AY88" s="136">
        <f>'Design Calculations'!C307</f>
        <v>292.36210051419187</v>
      </c>
      <c r="AZ88" s="133">
        <f>IF(AU88="No",(AY88*'Constants &amp; Conversions'!$D$24)*$AY$81/'Constants &amp; Conversions'!$D$29,AV88*AW88*((AY88/('Summary Table'!$H$25/'Summary Table'!$C$111))*'Constants &amp; Conversions'!$D$24)*$AY$81/'Constants &amp; Conversions'!$D$29)</f>
        <v>7.3675249329576337E-2</v>
      </c>
      <c r="BA88" s="149"/>
      <c r="BB88" s="9"/>
      <c r="BC88" s="133"/>
      <c r="BD88" s="149"/>
      <c r="BE88" s="9"/>
      <c r="BF88" s="133"/>
      <c r="BG88" s="9"/>
      <c r="BH88" s="148"/>
      <c r="BI88" s="9"/>
      <c r="BJ88" s="9"/>
      <c r="BK88" s="134"/>
      <c r="BO88" s="27"/>
      <c r="BP88" s="5"/>
      <c r="BQ88" s="5"/>
      <c r="BR88" s="14"/>
      <c r="BS88" s="14"/>
      <c r="BT88" s="5"/>
      <c r="BU88" s="5"/>
      <c r="BV88" s="5"/>
    </row>
    <row r="89" spans="2:85" ht="27" thickBot="1">
      <c r="B89" s="114"/>
      <c r="C89" s="104" t="s">
        <v>403</v>
      </c>
      <c r="D89" s="104" t="s">
        <v>113</v>
      </c>
      <c r="E89" s="104" t="s">
        <v>25</v>
      </c>
      <c r="F89" s="146" t="s">
        <v>78</v>
      </c>
      <c r="G89" s="104" t="s">
        <v>79</v>
      </c>
      <c r="H89" s="147" t="s">
        <v>75</v>
      </c>
      <c r="I89" s="146" t="s">
        <v>78</v>
      </c>
      <c r="J89" s="104" t="s">
        <v>79</v>
      </c>
      <c r="K89" s="147" t="s">
        <v>75</v>
      </c>
      <c r="L89" s="146" t="s">
        <v>78</v>
      </c>
      <c r="M89" s="104" t="s">
        <v>79</v>
      </c>
      <c r="N89" s="147" t="s">
        <v>75</v>
      </c>
      <c r="O89" s="104" t="s">
        <v>76</v>
      </c>
      <c r="P89" s="104" t="s">
        <v>71</v>
      </c>
      <c r="Q89" s="104" t="s">
        <v>72</v>
      </c>
      <c r="R89" s="104" t="s">
        <v>47</v>
      </c>
      <c r="S89" s="105" t="s">
        <v>75</v>
      </c>
      <c r="W89" s="27"/>
      <c r="X89" s="335"/>
      <c r="Y89" s="198" t="s">
        <v>97</v>
      </c>
      <c r="Z89" s="105" t="s">
        <v>615</v>
      </c>
      <c r="AA89" s="5"/>
      <c r="AB89" s="5"/>
      <c r="AC89" s="5"/>
      <c r="AD89" s="5"/>
      <c r="AS89" s="27"/>
      <c r="AT89" s="56" t="s">
        <v>111</v>
      </c>
      <c r="AU89" s="117" t="s">
        <v>131</v>
      </c>
      <c r="AV89" s="54">
        <f t="shared" si="20"/>
        <v>13</v>
      </c>
      <c r="AW89" s="119">
        <f t="shared" si="21"/>
        <v>1.4481591551734085</v>
      </c>
      <c r="AX89" s="150" t="s">
        <v>127</v>
      </c>
      <c r="AY89" s="118">
        <f>4*('Summary Table'!H25/'Summary Table'!C111)</f>
        <v>4</v>
      </c>
      <c r="AZ89" s="192">
        <f>IF(AU89="No",(AY89*'Constants &amp; Conversions'!$D$24)*$AY$81/'Constants &amp; Conversions'!$D$29,AV89*AW89*((AY89/('Summary Table'!$H$25/'Summary Table'!$C$111))*'Constants &amp; Conversions'!$D$24)*$AY$81/'Constants &amp; Conversions'!$D$29)</f>
        <v>1.8976677569392343E-2</v>
      </c>
      <c r="BA89" s="150" t="s">
        <v>114</v>
      </c>
      <c r="BB89" s="54">
        <f>60*('Summary Table'!H25/'Summary Table'!C111)</f>
        <v>60</v>
      </c>
      <c r="BC89" s="193">
        <f>IF(AU89="No",(BB89*'Constants &amp; Conversions'!D15*'Constants &amp; Conversions'!D18*'Constants &amp; Conversions'!D16)*$BB$81/'Constants &amp; Conversions'!D29,AV89*AW89*((BB89/('Summary Table'!$H$25/'Summary Table'!$C$111))*'Constants &amp; Conversions'!D15*'Constants &amp; Conversions'!D18*'Constants &amp; Conversions'!D16)*$BB$81/'Constants &amp; Conversions'!D29)</f>
        <v>0.12283700361490048</v>
      </c>
      <c r="BD89" s="150"/>
      <c r="BE89" s="54"/>
      <c r="BF89" s="192"/>
      <c r="BG89" s="54" t="s">
        <v>86</v>
      </c>
      <c r="BH89" s="117" t="s">
        <v>112</v>
      </c>
      <c r="BI89" s="54">
        <v>25600</v>
      </c>
      <c r="BJ89" s="54">
        <f>AV89</f>
        <v>13</v>
      </c>
      <c r="BK89" s="191">
        <f>BI89*BJ89/'Constants &amp; Conversions'!D29</f>
        <v>0.33279999999999998</v>
      </c>
      <c r="BO89" s="27"/>
      <c r="BP89" s="678" t="s">
        <v>345</v>
      </c>
      <c r="BQ89" s="678"/>
    </row>
    <row r="90" spans="2:85" ht="17" thickBot="1">
      <c r="B90" s="153" t="s">
        <v>0</v>
      </c>
      <c r="C90" s="148" t="s">
        <v>132</v>
      </c>
      <c r="D90" s="9">
        <f>H23</f>
        <v>1</v>
      </c>
      <c r="E90" s="137">
        <f t="shared" ref="E90:E118" si="22">(G23/D23)/D90</f>
        <v>4862.588377443788</v>
      </c>
      <c r="F90" s="149" t="s">
        <v>124</v>
      </c>
      <c r="G90" s="136">
        <f>'Design Calculations'!C231</f>
        <v>257717.18400452076</v>
      </c>
      <c r="H90" s="133">
        <f>IF(C90="No",(G90*'Constants &amp; Conversions'!$D$24)*$G$88/'Constants &amp; Conversions'!$D$29,D90*E90*((G90/('Summary Table'!$H$25/'Summary Table'!$C$111))*'Constants &amp; Conversions'!$D$24)*$G$88/'Constants &amp; Conversions'!$D$29)</f>
        <v>64.944730369139222</v>
      </c>
      <c r="I90" s="149"/>
      <c r="J90" s="9"/>
      <c r="K90" s="133"/>
      <c r="L90" s="149"/>
      <c r="M90" s="9"/>
      <c r="N90" s="133"/>
      <c r="O90" s="9" t="s">
        <v>86</v>
      </c>
      <c r="P90" s="148" t="s">
        <v>134</v>
      </c>
      <c r="Q90" s="143">
        <f>0.03*T23</f>
        <v>6.7768209704718601</v>
      </c>
      <c r="R90" s="9">
        <v>1</v>
      </c>
      <c r="S90" s="134">
        <f>Q90*R90</f>
        <v>6.7768209704718601</v>
      </c>
      <c r="W90" s="27"/>
      <c r="X90" s="59" t="s">
        <v>86</v>
      </c>
      <c r="Y90" s="195">
        <v>0.08</v>
      </c>
      <c r="Z90" s="196">
        <f>(SUM(AP23:AP28)-AP23-AP24)*Y90</f>
        <v>7.3800917299319142</v>
      </c>
      <c r="AA90" s="5"/>
      <c r="AB90" s="5"/>
      <c r="AC90" s="5"/>
      <c r="AD90" s="5"/>
      <c r="AS90" s="27"/>
      <c r="AT90" s="153" t="s">
        <v>29</v>
      </c>
      <c r="AU90" s="148" t="s">
        <v>131</v>
      </c>
      <c r="AV90" s="9">
        <f t="shared" si="20"/>
        <v>3</v>
      </c>
      <c r="AW90" s="137">
        <f t="shared" si="21"/>
        <v>1.026690058479532</v>
      </c>
      <c r="AX90" s="149" t="s">
        <v>124</v>
      </c>
      <c r="AY90" s="136">
        <f>127*('Summary Table'!H25/'Summary Table'!C111)</f>
        <v>127</v>
      </c>
      <c r="AZ90" s="133">
        <f>IF(AU90="No",(AY90*'Constants &amp; Conversions'!$D$24)*$AY$81/'Constants &amp; Conversions'!$D$29,AV90*AW90*((AY90/('Summary Table'!$H$25/'Summary Table'!$C$111))*'Constants &amp; Conversions'!$D$24)*$AY$81/'Constants &amp; Conversions'!$D$29)</f>
        <v>9.8574565894736829E-2</v>
      </c>
      <c r="BA90" s="149"/>
      <c r="BB90" s="9"/>
      <c r="BC90" s="133"/>
      <c r="BD90" s="149"/>
      <c r="BE90" s="9"/>
      <c r="BF90" s="133"/>
      <c r="BG90" s="9"/>
      <c r="BH90" s="148"/>
      <c r="BI90" s="9"/>
      <c r="BJ90" s="9"/>
      <c r="BK90" s="134"/>
      <c r="BO90" s="27"/>
      <c r="CB90" s="10"/>
      <c r="CC90" s="10"/>
      <c r="CD90" s="10"/>
    </row>
    <row r="91" spans="2:85" ht="22" thickBot="1">
      <c r="B91" s="56" t="s">
        <v>1</v>
      </c>
      <c r="C91" s="117" t="s">
        <v>132</v>
      </c>
      <c r="D91" s="54">
        <f>H24</f>
        <v>1</v>
      </c>
      <c r="E91" s="119">
        <f t="shared" si="22"/>
        <v>6483.4511699250506</v>
      </c>
      <c r="F91" s="150" t="s">
        <v>124</v>
      </c>
      <c r="G91" s="118">
        <f>'Design Calculations'!I231</f>
        <v>343622.91200602771</v>
      </c>
      <c r="H91" s="192">
        <f>IF(C91="No",(G91*'Constants &amp; Conversions'!$D$24)*$G$88/'Constants &amp; Conversions'!$D$29,D91*E91*((G91/('Summary Table'!$H$25/'Summary Table'!$C$111))*'Constants &amp; Conversions'!$D$24)*$G$88/'Constants &amp; Conversions'!$D$29)</f>
        <v>86.592973825518982</v>
      </c>
      <c r="I91" s="150"/>
      <c r="J91" s="54"/>
      <c r="K91" s="192"/>
      <c r="L91" s="150"/>
      <c r="M91" s="54"/>
      <c r="N91" s="192"/>
      <c r="O91" s="54" t="s">
        <v>86</v>
      </c>
      <c r="P91" s="117" t="s">
        <v>134</v>
      </c>
      <c r="Q91" s="120">
        <f>0.03*T24</f>
        <v>4.9403985526688547</v>
      </c>
      <c r="R91" s="54">
        <v>1</v>
      </c>
      <c r="S91" s="191">
        <f>Q91*R91</f>
        <v>4.9403985526688547</v>
      </c>
      <c r="W91" s="27"/>
      <c r="X91" s="5"/>
      <c r="Y91" s="5"/>
      <c r="Z91" s="5"/>
      <c r="AA91" s="5"/>
      <c r="AB91" s="5"/>
      <c r="AC91" s="5"/>
      <c r="AD91" s="5"/>
      <c r="AS91" s="27"/>
      <c r="AT91" s="56" t="s">
        <v>30</v>
      </c>
      <c r="AU91" s="117" t="s">
        <v>131</v>
      </c>
      <c r="AV91" s="54">
        <f t="shared" si="20"/>
        <v>3</v>
      </c>
      <c r="AW91" s="119">
        <f t="shared" si="21"/>
        <v>0.90086041666666672</v>
      </c>
      <c r="AX91" s="150" t="s">
        <v>124</v>
      </c>
      <c r="AY91" s="118">
        <f>400*('Summary Table'!H25/'Summary Table'!C111)</f>
        <v>400</v>
      </c>
      <c r="AZ91" s="192">
        <f>IF(AU91="No",(AY91*'Constants &amp; Conversions'!$D$24)*$AY$81/'Constants &amp; Conversions'!$D$29,AV91*AW91*((AY91/('Summary Table'!$H$25/'Summary Table'!$C$111))*'Constants &amp; Conversions'!$D$24)*$AY$81/'Constants &amp; Conversions'!$D$29)</f>
        <v>0.27242019000000001</v>
      </c>
      <c r="BA91" s="150"/>
      <c r="BB91" s="54"/>
      <c r="BC91" s="192"/>
      <c r="BD91" s="150"/>
      <c r="BE91" s="54"/>
      <c r="BF91" s="192"/>
      <c r="BG91" s="54"/>
      <c r="BH91" s="117"/>
      <c r="BI91" s="54"/>
      <c r="BJ91" s="54"/>
      <c r="BK91" s="191"/>
      <c r="BO91" s="27"/>
      <c r="BP91" s="201" t="s">
        <v>628</v>
      </c>
      <c r="BQ91" s="229">
        <f>BQ31+C146</f>
        <v>1170.2915494706695</v>
      </c>
      <c r="BR91" s="181" t="s">
        <v>614</v>
      </c>
      <c r="BS91" s="199"/>
      <c r="BT91" s="199"/>
      <c r="BU91" s="199"/>
      <c r="BV91" s="199"/>
      <c r="BW91" s="199"/>
      <c r="BX91" s="199"/>
      <c r="BY91" s="199"/>
      <c r="BZ91" s="199"/>
      <c r="CA91" s="10"/>
      <c r="CB91" s="10"/>
      <c r="CC91" s="10"/>
      <c r="CD91" s="10"/>
      <c r="CE91" s="10"/>
      <c r="CF91" s="10"/>
      <c r="CG91" s="10"/>
    </row>
    <row r="92" spans="2:85" ht="22" thickBot="1">
      <c r="B92" s="153" t="s">
        <v>2</v>
      </c>
      <c r="C92" s="148" t="s">
        <v>132</v>
      </c>
      <c r="D92" s="9">
        <f>H25</f>
        <v>1</v>
      </c>
      <c r="E92" s="137">
        <f t="shared" si="22"/>
        <v>0.81777409314505756</v>
      </c>
      <c r="F92" s="149" t="s">
        <v>124</v>
      </c>
      <c r="G92" s="136">
        <f>'Design Calculations'!C285</f>
        <v>15692.260833333334</v>
      </c>
      <c r="H92" s="133">
        <f>IF(C92="No",(G92*'Constants &amp; Conversions'!$D$24)*$G$88/'Constants &amp; Conversions'!$D$29,D92*E92*((G92/('Summary Table'!$H$25/'Summary Table'!$C$111))*'Constants &amp; Conversions'!$D$24)*$G$88/'Constants &amp; Conversions'!$D$29)</f>
        <v>3.9544497299999999</v>
      </c>
      <c r="I92" s="149"/>
      <c r="J92" s="9"/>
      <c r="K92" s="133"/>
      <c r="L92" s="149"/>
      <c r="M92" s="9"/>
      <c r="N92" s="133"/>
      <c r="O92" s="9"/>
      <c r="P92" s="148"/>
      <c r="Q92" s="9"/>
      <c r="R92" s="9"/>
      <c r="S92" s="134"/>
      <c r="W92" s="27"/>
      <c r="X92" s="169" t="s">
        <v>783</v>
      </c>
      <c r="Y92" s="170">
        <f>AD82+SUM(Z85:Z87)+Z90</f>
        <v>10.783804301360487</v>
      </c>
      <c r="Z92" s="171" t="s">
        <v>616</v>
      </c>
      <c r="AA92" s="5"/>
      <c r="AB92" s="5"/>
      <c r="AC92" s="5"/>
      <c r="AD92" s="5"/>
      <c r="AS92" s="27"/>
      <c r="AT92" s="153" t="s">
        <v>9</v>
      </c>
      <c r="AU92" s="148" t="s">
        <v>131</v>
      </c>
      <c r="AV92" s="9">
        <f t="shared" si="20"/>
        <v>1</v>
      </c>
      <c r="AW92" s="137">
        <f t="shared" si="21"/>
        <v>1</v>
      </c>
      <c r="AX92" s="149"/>
      <c r="AY92" s="136"/>
      <c r="AZ92" s="133"/>
      <c r="BA92" s="149"/>
      <c r="BB92" s="9"/>
      <c r="BC92" s="133"/>
      <c r="BD92" s="149" t="s">
        <v>44</v>
      </c>
      <c r="BE92" s="136">
        <f>65915.2*('Summary Table'!H25/'Summary Table'!C111)</f>
        <v>65915.199999999997</v>
      </c>
      <c r="BF92" s="133">
        <f>IF(AU92="No",$BE$81*BE92*'Constants &amp; Conversions'!D19/'Constants &amp; Conversions'!D29,AV92*AW92*$BE$81*(BE92/('Summary Table'!H25/'Summary Table'!C111))*'Constants &amp; Conversions'!D19/'Constants &amp; Conversions'!D29)</f>
        <v>12.025367572050559</v>
      </c>
      <c r="BG92" s="9"/>
      <c r="BH92" s="148"/>
      <c r="BI92" s="9"/>
      <c r="BJ92" s="9"/>
      <c r="BK92" s="134"/>
      <c r="BO92" s="27"/>
      <c r="BP92" s="202" t="s">
        <v>627</v>
      </c>
      <c r="BQ92" s="230">
        <f>BQ44+SUM(BQ66:BQ68)+BQ85+BQ55+C147</f>
        <v>101.74828447324373</v>
      </c>
      <c r="BR92" s="186" t="s">
        <v>616</v>
      </c>
      <c r="BS92" s="199"/>
      <c r="BT92" s="199"/>
      <c r="BU92" s="199"/>
      <c r="BV92" s="199"/>
      <c r="BW92" s="199"/>
      <c r="BX92" s="199"/>
      <c r="BY92" s="199"/>
      <c r="BZ92" s="199"/>
      <c r="CA92" s="10"/>
      <c r="CB92" s="10"/>
      <c r="CC92" s="10"/>
      <c r="CD92" s="10"/>
      <c r="CE92" s="10"/>
      <c r="CF92" s="10"/>
      <c r="CG92" s="10"/>
    </row>
    <row r="93" spans="2:85" ht="21">
      <c r="B93" s="56" t="s">
        <v>27</v>
      </c>
      <c r="C93" s="117" t="s">
        <v>132</v>
      </c>
      <c r="D93" s="54">
        <f>H26</f>
        <v>1</v>
      </c>
      <c r="E93" s="119">
        <f>(G26/D26)/D93</f>
        <v>1</v>
      </c>
      <c r="F93" s="150"/>
      <c r="G93" s="118"/>
      <c r="H93" s="192"/>
      <c r="I93" s="150" t="s">
        <v>44</v>
      </c>
      <c r="J93" s="54">
        <f>VLOOKUP('Summary Table'!C23,'Scenarios Data'!B14:AR22,18,FALSE)*('Summary Table'!H25/'Summary Table'!C111)</f>
        <v>29366900</v>
      </c>
      <c r="K93" s="192">
        <f>IF(C93="No",$J$88*J93*'Constants &amp; Conversions'!D31*'Constants &amp; Conversions'!D19/'Constants &amp; Conversions'!D29,D93*E93*$J$88*(J93/('Summary Table'!$H$25/'Summary Table'!$C$111))*'Constants &amp; Conversions'!D31*'Constants &amp; Conversions'!D19/'Constants &amp; Conversions'!D29)*'Summary Table'!H38</f>
        <v>14.103181263791376</v>
      </c>
      <c r="L93" s="150" t="s">
        <v>44</v>
      </c>
      <c r="M93" s="54">
        <f>VLOOKUP('Summary Table'!C23,'Scenarios Data'!B14:AR22,17,FALSE)*('Summary Table'!$H$25/'Summary Table'!$C$111)</f>
        <v>796407</v>
      </c>
      <c r="N93" s="192">
        <f>IF(C93="No",$M$88*M93*'Constants &amp; Conversions'!D19/'Constants &amp; Conversions'!D29,D93*E93*$M$88*(M93/('Summary Table'!$H$25/'Summary Table'!$C$111))*'Constants &amp; Conversions'!D19/'Constants &amp; Conversions'!D29)*'Summary Table'!H38</f>
        <v>145.29405830451958</v>
      </c>
      <c r="O93" s="54"/>
      <c r="P93" s="117"/>
      <c r="Q93" s="54"/>
      <c r="R93" s="54"/>
      <c r="S93" s="191"/>
      <c r="W93" s="27"/>
      <c r="X93" s="5"/>
      <c r="Y93" s="5"/>
      <c r="Z93" s="5"/>
      <c r="AA93" s="5"/>
      <c r="AB93" s="5"/>
      <c r="AC93" s="5"/>
      <c r="AD93" s="5"/>
      <c r="AS93" s="27"/>
      <c r="AT93" s="56" t="s">
        <v>10</v>
      </c>
      <c r="AU93" s="117" t="s">
        <v>131</v>
      </c>
      <c r="AV93" s="54">
        <f t="shared" si="20"/>
        <v>1</v>
      </c>
      <c r="AW93" s="119">
        <f t="shared" si="21"/>
        <v>1</v>
      </c>
      <c r="AX93" s="150" t="s">
        <v>124</v>
      </c>
      <c r="AY93" s="118">
        <f>20.2985*('Summary Table'!H25/'Summary Table'!C111)</f>
        <v>20.298500000000001</v>
      </c>
      <c r="AZ93" s="192">
        <f>IF(AU93="No",(AY93*'Constants &amp; Conversions'!$D$24)*$AY$81/'Constants &amp; Conversions'!$D$29,AV93*AW93*((AY93/('Summary Table'!$H$25/'Summary Table'!$C$111))*'Constants &amp; Conversions'!$D$24)*$AY$81/'Constants &amp; Conversions'!$D$29)</f>
        <v>5.115222E-3</v>
      </c>
      <c r="BA93" s="150"/>
      <c r="BB93" s="54"/>
      <c r="BC93" s="192"/>
      <c r="BD93" s="150"/>
      <c r="BE93" s="54"/>
      <c r="BF93" s="192"/>
      <c r="BG93" s="54"/>
      <c r="BH93" s="117"/>
      <c r="BI93" s="54"/>
      <c r="BJ93" s="54"/>
      <c r="BK93" s="191"/>
      <c r="BO93" s="27"/>
      <c r="BP93" s="227" t="s">
        <v>629</v>
      </c>
      <c r="BQ93" s="228">
        <f>BQ44+SUM(BQ66:BQ68)+BQ85+C148</f>
        <v>720.21604369101601</v>
      </c>
      <c r="BR93" s="204" t="s">
        <v>616</v>
      </c>
      <c r="BS93" s="199"/>
      <c r="BT93" s="199"/>
      <c r="BU93" s="199"/>
      <c r="BV93" s="199"/>
      <c r="BW93" s="199"/>
      <c r="BX93" s="199"/>
      <c r="BY93" s="199"/>
      <c r="BZ93" s="199"/>
      <c r="CA93" s="10"/>
      <c r="CB93" s="10"/>
      <c r="CC93" s="10"/>
      <c r="CD93" s="10"/>
      <c r="CE93" s="10"/>
      <c r="CF93" s="10"/>
      <c r="CG93" s="10"/>
    </row>
    <row r="94" spans="2:85" ht="21">
      <c r="B94" s="153" t="s">
        <v>598</v>
      </c>
      <c r="C94" s="148" t="s">
        <v>132</v>
      </c>
      <c r="D94" s="9">
        <f>H27</f>
        <v>1</v>
      </c>
      <c r="E94" s="137">
        <f t="shared" si="22"/>
        <v>1</v>
      </c>
      <c r="F94" s="149"/>
      <c r="G94" s="136"/>
      <c r="H94" s="133"/>
      <c r="I94" s="149" t="s">
        <v>44</v>
      </c>
      <c r="J94" s="9">
        <f>VLOOKUP('Summary Table'!C23,'Scenarios Data'!B14:AR22,42,FALSE)*('Summary Table'!H25/'Summary Table'!C111)</f>
        <v>50488500</v>
      </c>
      <c r="K94" s="133">
        <f>IF(C94="No",$J$88*J94*'Constants &amp; Conversions'!D31*'Constants &amp; Conversions'!D19/'Constants &amp; Conversions'!D29,D94*E94*$J$88*(J94/('Summary Table'!$H$25/'Summary Table'!$C$111))*'Constants &amp; Conversions'!D31*'Constants &amp; Conversions'!D19/'Constants &amp; Conversions'!D29)*'Summary Table'!H38</f>
        <v>24.246633701103306</v>
      </c>
      <c r="L94" s="149"/>
      <c r="M94" s="9"/>
      <c r="N94" s="133"/>
      <c r="O94" s="9"/>
      <c r="P94" s="148"/>
      <c r="Q94" s="9"/>
      <c r="R94" s="9"/>
      <c r="S94" s="134"/>
      <c r="W94" s="27"/>
      <c r="X94" s="5"/>
      <c r="Y94" s="5"/>
      <c r="Z94" s="5"/>
      <c r="AA94" s="5"/>
      <c r="AB94" s="5"/>
      <c r="AC94" s="5"/>
      <c r="AD94" s="5"/>
      <c r="AS94" s="27"/>
      <c r="AT94" s="153" t="s">
        <v>11</v>
      </c>
      <c r="AU94" s="148" t="s">
        <v>132</v>
      </c>
      <c r="AV94" s="9">
        <f t="shared" si="20"/>
        <v>14</v>
      </c>
      <c r="AW94" s="137">
        <f t="shared" si="21"/>
        <v>1.3150028307227779</v>
      </c>
      <c r="AX94" s="149" t="s">
        <v>124</v>
      </c>
      <c r="AY94" s="136">
        <f>'Design Calculations'!C329</f>
        <v>165.04430483386795</v>
      </c>
      <c r="AZ94" s="133">
        <f>IF(AU94="No",(AY94*'Constants &amp; Conversions'!$D$24)*$AY$81/'Constants &amp; Conversions'!$D$29,AV94*AW94*((AY94/('Summary Table'!$H$25/'Summary Table'!$C$111))*'Constants &amp; Conversions'!$D$24)*$AY$81/'Constants &amp; Conversions'!$D$29)</f>
        <v>4.1591164818134727E-2</v>
      </c>
      <c r="BA94" s="149"/>
      <c r="BB94" s="9"/>
      <c r="BC94" s="133"/>
      <c r="BD94" s="149" t="s">
        <v>44</v>
      </c>
      <c r="BE94" s="9">
        <f>9779*('Summary Table'!H25/'Summary Table'!C111)</f>
        <v>9779</v>
      </c>
      <c r="BF94" s="133">
        <f>IF(AU94="No",$BE$81*BE94*'Constants &amp; Conversions'!D19/'Constants &amp; Conversions'!D29,AV94*AW94*$BE$81*(BE94/('Summary Table'!H25/'Summary Table'!C111))*'Constants &amp; Conversions'!D19/'Constants &amp; Conversions'!D29)</f>
        <v>1.7840508636411998</v>
      </c>
      <c r="BG94" s="9"/>
      <c r="BH94" s="148"/>
      <c r="BI94" s="9"/>
      <c r="BJ94" s="9"/>
      <c r="BK94" s="134"/>
      <c r="BO94" s="27"/>
      <c r="BP94" s="205" t="s">
        <v>630</v>
      </c>
      <c r="BQ94" s="211">
        <f>BQ55+C149</f>
        <v>-618.46775921777237</v>
      </c>
      <c r="BR94" s="212" t="s">
        <v>616</v>
      </c>
      <c r="BS94" s="199"/>
      <c r="BT94" s="199"/>
      <c r="BU94" s="199"/>
      <c r="BV94" s="199"/>
      <c r="BW94" s="199"/>
      <c r="BX94" s="199"/>
      <c r="BY94" s="199"/>
      <c r="BZ94" s="199"/>
      <c r="CA94" s="10"/>
      <c r="CB94" s="10"/>
      <c r="CC94" s="10"/>
      <c r="CD94" s="10"/>
      <c r="CE94" s="10"/>
      <c r="CF94" s="10"/>
      <c r="CG94" s="10"/>
    </row>
    <row r="95" spans="2:85" ht="21">
      <c r="B95" s="56" t="s">
        <v>3</v>
      </c>
      <c r="C95" s="117" t="s">
        <v>131</v>
      </c>
      <c r="D95" s="54">
        <f t="shared" ref="D95:D118" si="23">H28</f>
        <v>1</v>
      </c>
      <c r="E95" s="119">
        <f t="shared" si="22"/>
        <v>1</v>
      </c>
      <c r="F95" s="150" t="s">
        <v>124</v>
      </c>
      <c r="G95" s="118">
        <f>VLOOKUP('Summary Table'!C23,'Scenarios Data'!B14:AR22,21,FALSE)*('Summary Table'!H25/'Summary Table'!C111)</f>
        <v>271.27800000000002</v>
      </c>
      <c r="H95" s="192">
        <f>IF(C95="No",(G95*'Constants &amp; Conversions'!$D$24)*$G$88/'Constants &amp; Conversions'!$D$29,D95*E95*((G95/('Summary Table'!$H$25/'Summary Table'!$C$111))*'Constants &amp; Conversions'!$D$24)*$G$88/'Constants &amp; Conversions'!$D$29)</f>
        <v>6.836205599999999E-2</v>
      </c>
      <c r="I95" s="150"/>
      <c r="J95" s="54"/>
      <c r="K95" s="192"/>
      <c r="L95" s="150"/>
      <c r="M95" s="54"/>
      <c r="N95" s="192"/>
      <c r="O95" s="54"/>
      <c r="P95" s="117"/>
      <c r="Q95" s="54"/>
      <c r="R95" s="54"/>
      <c r="S95" s="191"/>
      <c r="W95" s="27"/>
      <c r="X95" s="5"/>
      <c r="Y95" s="5"/>
      <c r="Z95" s="14"/>
      <c r="AA95" s="14"/>
      <c r="AB95" s="5"/>
      <c r="AC95" s="5"/>
      <c r="AD95" s="5"/>
      <c r="AS95" s="27"/>
      <c r="AT95" s="56" t="s">
        <v>33</v>
      </c>
      <c r="AU95" s="117" t="s">
        <v>131</v>
      </c>
      <c r="AV95" s="54">
        <f t="shared" si="20"/>
        <v>3</v>
      </c>
      <c r="AW95" s="119">
        <f t="shared" si="21"/>
        <v>1.4517083333333334</v>
      </c>
      <c r="AX95" s="150" t="s">
        <v>124</v>
      </c>
      <c r="AY95" s="118">
        <f>'Design Calculations'!C338</f>
        <v>348.41</v>
      </c>
      <c r="AZ95" s="192">
        <f>IF(AU95="No",(AY95*'Constants &amp; Conversions'!$D$24)*$AY$81/'Constants &amp; Conversions'!$D$29,AV95*AW95*((AY95/('Summary Table'!$H$25/'Summary Table'!$C$111))*'Constants &amp; Conversions'!$D$24)*$AY$81/'Constants &amp; Conversions'!$D$29)</f>
        <v>0.38237701351499997</v>
      </c>
      <c r="BA95" s="150"/>
      <c r="BB95" s="54"/>
      <c r="BC95" s="193"/>
      <c r="BD95" s="150"/>
      <c r="BE95" s="54"/>
      <c r="BF95" s="192"/>
      <c r="BG95" s="54"/>
      <c r="BH95" s="117"/>
      <c r="BI95" s="54"/>
      <c r="BJ95" s="54"/>
      <c r="BK95" s="191"/>
      <c r="BO95" s="27"/>
      <c r="BP95" s="200" t="s">
        <v>360</v>
      </c>
      <c r="BQ95" s="207">
        <f>'Summary Table'!H30</f>
        <v>0.25700000000000001</v>
      </c>
      <c r="BR95" s="209"/>
      <c r="BS95" s="199"/>
      <c r="BT95" s="199"/>
      <c r="BU95" s="199"/>
      <c r="BV95" s="199"/>
      <c r="BW95" s="199"/>
      <c r="BX95" s="199"/>
      <c r="BY95" s="199"/>
      <c r="BZ95" s="199"/>
      <c r="CA95" s="10"/>
      <c r="CB95" s="10"/>
      <c r="CC95" s="10"/>
      <c r="CD95" s="10"/>
      <c r="CE95" s="10"/>
      <c r="CF95" s="10"/>
      <c r="CG95" s="10"/>
    </row>
    <row r="96" spans="2:85" ht="27" thickBot="1">
      <c r="B96" s="153" t="s">
        <v>4</v>
      </c>
      <c r="C96" s="148" t="s">
        <v>131</v>
      </c>
      <c r="D96" s="9">
        <f t="shared" si="23"/>
        <v>1</v>
      </c>
      <c r="E96" s="137">
        <f t="shared" si="22"/>
        <v>1</v>
      </c>
      <c r="F96" s="149" t="s">
        <v>124</v>
      </c>
      <c r="G96" s="136">
        <f>VLOOKUP('Summary Table'!C23,'Scenarios Data'!B14:AR22,24,FALSE)*('Summary Table'!H25/'Summary Table'!C111)</f>
        <v>396.78256711660362</v>
      </c>
      <c r="H96" s="133">
        <f>IF(C96="No",(G96*'Constants &amp; Conversions'!$D$24)*$G$88/'Constants &amp; Conversions'!$D$29,D96*E96*((G96/('Summary Table'!$H$25/'Summary Table'!$C$111))*'Constants &amp; Conversions'!$D$24)*$G$88/'Constants &amp; Conversions'!$D$29)</f>
        <v>9.9989206913384115E-2</v>
      </c>
      <c r="I96" s="149"/>
      <c r="J96" s="9"/>
      <c r="K96" s="133"/>
      <c r="L96" s="149"/>
      <c r="M96" s="9"/>
      <c r="N96" s="133"/>
      <c r="O96" s="9"/>
      <c r="P96" s="148"/>
      <c r="Q96" s="9"/>
      <c r="R96" s="9"/>
      <c r="S96" s="134"/>
      <c r="W96" s="27"/>
      <c r="X96" s="678" t="s">
        <v>345</v>
      </c>
      <c r="Y96" s="678"/>
      <c r="AS96" s="27"/>
      <c r="AT96" s="153" t="s">
        <v>1046</v>
      </c>
      <c r="AU96" s="148" t="s">
        <v>131</v>
      </c>
      <c r="AV96" s="9">
        <f t="shared" si="20"/>
        <v>2</v>
      </c>
      <c r="AW96" s="137">
        <f t="shared" si="21"/>
        <v>1.419018817204301</v>
      </c>
      <c r="AX96" s="149" t="s">
        <v>124</v>
      </c>
      <c r="AY96" s="136">
        <f>'Design Calculations'!C347</f>
        <v>59.121999999999993</v>
      </c>
      <c r="AZ96" s="133">
        <f>IF(AU96="No",(AY96*'Constants &amp; Conversions'!$D$24)*$AY$81/'Constants &amp; Conversions'!$D$29,AV96*AW96*((AY96/('Summary Table'!$H$25/'Summary Table'!$C$111))*'Constants &amp; Conversions'!$D$24)*$AY$81/'Constants &amp; Conversions'!$D$29)</f>
        <v>4.2283196177419345E-2</v>
      </c>
      <c r="BA96" s="149"/>
      <c r="BB96" s="9"/>
      <c r="BC96" s="133"/>
      <c r="BD96" s="149"/>
      <c r="BE96" s="9"/>
      <c r="BF96" s="133"/>
      <c r="BG96" s="9"/>
      <c r="BH96" s="148"/>
      <c r="BI96" s="9"/>
      <c r="BJ96" s="9"/>
      <c r="BK96" s="134"/>
      <c r="BO96" s="27"/>
      <c r="BP96" s="206" t="s">
        <v>98</v>
      </c>
      <c r="BQ96" s="208">
        <f>'Summary Table'!H31</f>
        <v>0.1</v>
      </c>
      <c r="BR96" s="210"/>
      <c r="BS96" s="199"/>
      <c r="BT96" s="199"/>
      <c r="BU96" s="199"/>
      <c r="BV96" s="199"/>
      <c r="BW96" s="199"/>
      <c r="BX96" s="199"/>
      <c r="BY96" s="199"/>
      <c r="BZ96" s="199"/>
      <c r="CA96" s="10"/>
      <c r="CB96" s="10"/>
      <c r="CC96" s="10"/>
      <c r="CD96" s="10"/>
      <c r="CE96" s="10"/>
      <c r="CF96" s="10"/>
      <c r="CG96" s="10"/>
    </row>
    <row r="97" spans="2:85" ht="22" thickBot="1">
      <c r="B97" s="56" t="s">
        <v>28</v>
      </c>
      <c r="C97" s="117" t="s">
        <v>131</v>
      </c>
      <c r="D97" s="54">
        <f t="shared" si="23"/>
        <v>1</v>
      </c>
      <c r="E97" s="119">
        <f t="shared" si="22"/>
        <v>1</v>
      </c>
      <c r="F97" s="150"/>
      <c r="G97" s="118"/>
      <c r="H97" s="192"/>
      <c r="I97" s="150" t="s">
        <v>44</v>
      </c>
      <c r="J97" s="54">
        <f>VLOOKUP('Summary Table'!C23,'Scenarios Data'!B14:AR22,27,FALSE)*('Summary Table'!H25/'Summary Table'!C111)</f>
        <v>62847.676412199799</v>
      </c>
      <c r="K97" s="192">
        <f>IF(C97="No",$J$88*J97*'Constants &amp; Conversions'!D31*'Constants &amp; Conversions'!D19/'Constants &amp; Conversions'!D29,D97*E97*$J$88*(J97/('Summary Table'!$H$25/'Summary Table'!$C$111))*'Constants &amp; Conversions'!D31*'Constants &amp; Conversions'!D19/'Constants &amp; Conversions'!D29)</f>
        <v>3.0182013506681309E-2</v>
      </c>
      <c r="L97" s="150"/>
      <c r="M97" s="54"/>
      <c r="N97" s="192"/>
      <c r="O97" s="54"/>
      <c r="P97" s="117"/>
      <c r="Q97" s="54"/>
      <c r="R97" s="54"/>
      <c r="S97" s="191"/>
      <c r="W97" s="27"/>
      <c r="AJ97" s="10"/>
      <c r="AK97" s="10"/>
      <c r="AL97" s="10"/>
      <c r="AS97" s="27"/>
      <c r="AT97" s="56" t="s">
        <v>34</v>
      </c>
      <c r="AU97" s="117" t="s">
        <v>131</v>
      </c>
      <c r="AV97" s="54">
        <f t="shared" si="20"/>
        <v>1</v>
      </c>
      <c r="AW97" s="119">
        <f t="shared" si="21"/>
        <v>1</v>
      </c>
      <c r="AX97" s="150"/>
      <c r="AY97" s="118"/>
      <c r="AZ97" s="192"/>
      <c r="BA97" s="150" t="s">
        <v>44</v>
      </c>
      <c r="BB97" s="54">
        <f>1150140*('Summary Table'!H25/'Summary Table'!C111)</f>
        <v>1150140</v>
      </c>
      <c r="BC97" s="193">
        <f>IF(AU97="No",$BB$81*BB97*'Constants &amp; Conversions'!D31*'Constants &amp; Conversions'!D19/'Constants &amp; Conversions'!D29,AV97*AW97*$BB$81*(BB97/('Summary Table'!$H$25/'Summary Table'!$C$111))*'Constants &amp; Conversions'!D31*'Constants &amp; Conversions'!D19/'Constants &amp; Conversions'!D29)</f>
        <v>0.55234406419257776</v>
      </c>
      <c r="BD97" s="150"/>
      <c r="BE97" s="54"/>
      <c r="BF97" s="192"/>
      <c r="BG97" s="54"/>
      <c r="BH97" s="117"/>
      <c r="BI97" s="54"/>
      <c r="BJ97" s="54"/>
      <c r="BK97" s="191"/>
      <c r="BO97" s="27"/>
      <c r="BP97" s="301"/>
      <c r="BQ97" s="302"/>
      <c r="BR97" s="303"/>
      <c r="BS97" s="304"/>
      <c r="BT97" s="304"/>
      <c r="BU97" s="304"/>
      <c r="BV97" s="304"/>
      <c r="BW97" s="304"/>
      <c r="BX97" s="304"/>
      <c r="BY97" s="304"/>
      <c r="BZ97" s="304"/>
      <c r="CA97" s="10"/>
      <c r="CB97" s="10"/>
      <c r="CC97" s="10"/>
      <c r="CD97" s="10"/>
      <c r="CE97" s="10"/>
      <c r="CF97" s="10"/>
      <c r="CG97" s="10"/>
    </row>
    <row r="98" spans="2:85" ht="22" thickBot="1">
      <c r="B98" s="153" t="s">
        <v>31</v>
      </c>
      <c r="C98" s="148" t="s">
        <v>132</v>
      </c>
      <c r="D98" s="9">
        <f t="shared" si="23"/>
        <v>13</v>
      </c>
      <c r="E98" s="137">
        <f t="shared" si="22"/>
        <v>1.1713045854818473</v>
      </c>
      <c r="F98" s="149"/>
      <c r="G98" s="136"/>
      <c r="H98" s="133"/>
      <c r="I98" s="149"/>
      <c r="J98" s="9"/>
      <c r="K98" s="133"/>
      <c r="L98" s="149"/>
      <c r="M98" s="9"/>
      <c r="N98" s="133"/>
      <c r="O98" s="9" t="s">
        <v>77</v>
      </c>
      <c r="P98" s="151" t="s">
        <v>281</v>
      </c>
      <c r="Q98" s="135">
        <f>$G$88/'Constants &amp; Conversions'!R15/'Constants &amp; Conversions'!D26</f>
        <v>2.7777777777777779E-3</v>
      </c>
      <c r="R98" s="136">
        <f>'Design Calculations'!E88*'Constants &amp; Conversions'!D17</f>
        <v>1565669014.5940442</v>
      </c>
      <c r="S98" s="134">
        <f>R98*Q98/'Constants &amp; Conversions'!D29</f>
        <v>4.3490805960945673</v>
      </c>
      <c r="W98" s="27"/>
      <c r="X98" s="201" t="s">
        <v>628</v>
      </c>
      <c r="Y98" s="229">
        <f>Y31</f>
        <v>991.62037602963892</v>
      </c>
      <c r="Z98" s="181" t="s">
        <v>614</v>
      </c>
      <c r="AA98" s="199"/>
      <c r="AB98" s="199"/>
      <c r="AC98" s="199"/>
      <c r="AD98" s="199"/>
      <c r="AE98" s="199"/>
      <c r="AF98" s="199"/>
      <c r="AG98" s="199"/>
      <c r="AH98" s="199"/>
      <c r="AI98" s="10"/>
      <c r="AJ98" s="10"/>
      <c r="AK98" s="10"/>
      <c r="AL98" s="10"/>
      <c r="AM98" s="10"/>
      <c r="AN98" s="10"/>
      <c r="AO98" s="10"/>
      <c r="AS98" s="27"/>
      <c r="AT98" s="153" t="s">
        <v>12</v>
      </c>
      <c r="AU98" s="148" t="s">
        <v>132</v>
      </c>
      <c r="AV98" s="9">
        <f t="shared" si="20"/>
        <v>3</v>
      </c>
      <c r="AW98" s="137">
        <f t="shared" si="21"/>
        <v>1.4097</v>
      </c>
      <c r="AX98" s="149" t="s">
        <v>124</v>
      </c>
      <c r="AY98" s="136">
        <f>2*AY38</f>
        <v>845.82</v>
      </c>
      <c r="AZ98" s="133">
        <f>IF(AU98="No",(AY98*'Constants &amp; Conversions'!$D$24)*$AY$81/'Constants &amp; Conversions'!$D$29,AV98*AW98*((AY98/('Summary Table'!$H$25/'Summary Table'!$C$111))*'Constants &amp; Conversions'!$D$24)*$AY$81/'Constants &amp; Conversions'!$D$29)</f>
        <v>0.21314664</v>
      </c>
      <c r="BA98" s="149"/>
      <c r="BB98" s="9"/>
      <c r="BC98" s="133"/>
      <c r="BD98" s="149"/>
      <c r="BE98" s="9"/>
      <c r="BF98" s="133"/>
      <c r="BG98" s="9"/>
      <c r="BH98" s="148"/>
      <c r="BI98" s="9"/>
      <c r="BJ98" s="9"/>
      <c r="BK98" s="134"/>
      <c r="BO98" s="27"/>
      <c r="BP98" s="199">
        <v>1</v>
      </c>
      <c r="BQ98" s="199">
        <v>2</v>
      </c>
      <c r="BR98" s="199">
        <v>3</v>
      </c>
      <c r="BS98" s="199">
        <v>4</v>
      </c>
      <c r="BT98" s="199">
        <v>5</v>
      </c>
      <c r="BU98" s="199">
        <v>6</v>
      </c>
      <c r="BV98" s="199">
        <v>7</v>
      </c>
      <c r="BW98" s="199">
        <v>8</v>
      </c>
      <c r="BX98" s="199">
        <v>9</v>
      </c>
      <c r="BY98" s="199">
        <v>10</v>
      </c>
      <c r="BZ98" s="199">
        <v>11</v>
      </c>
      <c r="CA98" s="10"/>
      <c r="CB98" s="693" t="s">
        <v>110</v>
      </c>
      <c r="CC98" s="694"/>
      <c r="CD98" s="10"/>
      <c r="CE98" s="693" t="s">
        <v>735</v>
      </c>
      <c r="CF98" s="694"/>
      <c r="CG98" s="10"/>
    </row>
    <row r="99" spans="2:85" ht="22" thickBot="1">
      <c r="B99" s="56" t="s">
        <v>32</v>
      </c>
      <c r="C99" s="117" t="s">
        <v>132</v>
      </c>
      <c r="D99" s="54">
        <f t="shared" si="23"/>
        <v>20</v>
      </c>
      <c r="E99" s="119">
        <f t="shared" si="22"/>
        <v>1.1696540208665516</v>
      </c>
      <c r="F99" s="150"/>
      <c r="G99" s="118"/>
      <c r="H99" s="192"/>
      <c r="I99" s="150"/>
      <c r="J99" s="54"/>
      <c r="K99" s="192"/>
      <c r="L99" s="150"/>
      <c r="M99" s="54"/>
      <c r="N99" s="192"/>
      <c r="O99" s="54" t="s">
        <v>77</v>
      </c>
      <c r="P99" s="152" t="s">
        <v>281</v>
      </c>
      <c r="Q99" s="142">
        <f>$G$88/'Constants &amp; Conversions'!R15/'Constants &amp; Conversions'!D26</f>
        <v>2.7777777777777779E-3</v>
      </c>
      <c r="R99" s="54">
        <f>'Design Calculations'!K88*'Constants &amp; Conversions'!D17</f>
        <v>4461988718.1367979</v>
      </c>
      <c r="S99" s="191">
        <f>R99*Q99/'Constants &amp; Conversions'!D29</f>
        <v>12.39441310593555</v>
      </c>
      <c r="W99" s="27"/>
      <c r="X99" s="202" t="s">
        <v>627</v>
      </c>
      <c r="Y99" s="230">
        <f>Y44+SUM(Y72:Y75)+Y92+Y55</f>
        <v>-36.281772764862694</v>
      </c>
      <c r="Z99" s="186" t="s">
        <v>616</v>
      </c>
      <c r="AA99" s="199"/>
      <c r="AB99" s="199"/>
      <c r="AC99" s="199"/>
      <c r="AD99" s="199"/>
      <c r="AE99" s="199"/>
      <c r="AF99" s="199"/>
      <c r="AG99" s="199"/>
      <c r="AH99" s="199"/>
      <c r="AI99" s="10"/>
      <c r="AJ99" s="10"/>
      <c r="AK99" s="10"/>
      <c r="AL99" s="10"/>
      <c r="AM99" s="10"/>
      <c r="AN99" s="10"/>
      <c r="AO99" s="10"/>
      <c r="AS99" s="27"/>
      <c r="AT99" s="56" t="s">
        <v>35</v>
      </c>
      <c r="AU99" s="117" t="s">
        <v>131</v>
      </c>
      <c r="AV99" s="54">
        <f t="shared" si="20"/>
        <v>3</v>
      </c>
      <c r="AW99" s="119">
        <f t="shared" si="21"/>
        <v>1.0575393848462116</v>
      </c>
      <c r="AX99" s="150" t="s">
        <v>127</v>
      </c>
      <c r="AY99" s="118">
        <f>4*('Summary Table'!H25/'Summary Table'!C111)</f>
        <v>4</v>
      </c>
      <c r="AZ99" s="192">
        <f>IF(AU99="No",(AY99*'Constants &amp; Conversions'!$D$24)*$AY$81/'Constants &amp; Conversions'!$D$29,AV99*AW99*((AY99/('Summary Table'!$H$25/'Summary Table'!$C$111))*'Constants &amp; Conversions'!$D$24)*$AY$81/'Constants &amp; Conversions'!$D$29)</f>
        <v>3.1979990997749439E-3</v>
      </c>
      <c r="BA99" s="150" t="s">
        <v>114</v>
      </c>
      <c r="BB99" s="54">
        <f>60*('Summary Table'!H25/'Summary Table'!C111)</f>
        <v>60</v>
      </c>
      <c r="BC99" s="193">
        <f>IF(AU99="No",(BB99*'Constants &amp; Conversions'!D15*'Constants &amp; Conversions'!D18/'Constants &amp; Conversions'!D28)*$BB$81/'Constants &amp; Conversions'!D29,AV99*AW99*((BB99/('Summary Table'!$H$25/'Summary Table'!$C$111))*'Constants &amp; Conversions'!D15*'Constants &amp; Conversions'!D18/'Constants &amp; Conversions'!D28)*$BB$81/'Constants &amp; Conversions'!D29)</f>
        <v>2.0700811590597213E-2</v>
      </c>
      <c r="BD99" s="150"/>
      <c r="BE99" s="54"/>
      <c r="BF99" s="192"/>
      <c r="BG99" s="54" t="s">
        <v>86</v>
      </c>
      <c r="BH99" s="117" t="s">
        <v>112</v>
      </c>
      <c r="BI99" s="54">
        <v>25600</v>
      </c>
      <c r="BJ99" s="54">
        <f>AV99</f>
        <v>3</v>
      </c>
      <c r="BK99" s="191">
        <f>BI99*BJ99/'Constants &amp; Conversions'!D29</f>
        <v>7.6799999999999993E-2</v>
      </c>
      <c r="BO99" s="27"/>
      <c r="BP99" s="536" t="s">
        <v>99</v>
      </c>
      <c r="BQ99" s="537" t="s">
        <v>100</v>
      </c>
      <c r="BR99" s="537" t="s">
        <v>101</v>
      </c>
      <c r="BS99" s="537" t="s">
        <v>102</v>
      </c>
      <c r="BT99" s="537" t="s">
        <v>103</v>
      </c>
      <c r="BU99" s="537" t="s">
        <v>104</v>
      </c>
      <c r="BV99" s="537" t="s">
        <v>105</v>
      </c>
      <c r="BW99" s="537" t="s">
        <v>106</v>
      </c>
      <c r="BX99" s="537" t="s">
        <v>107</v>
      </c>
      <c r="BY99" s="537" t="s">
        <v>108</v>
      </c>
      <c r="BZ99" s="538" t="s">
        <v>109</v>
      </c>
      <c r="CA99" s="10"/>
      <c r="CB99" s="221" t="s">
        <v>99</v>
      </c>
      <c r="CC99" s="222" t="s">
        <v>625</v>
      </c>
      <c r="CD99" s="10"/>
      <c r="CE99" s="440" t="s">
        <v>99</v>
      </c>
      <c r="CF99" s="441" t="s">
        <v>736</v>
      </c>
      <c r="CG99" s="10"/>
    </row>
    <row r="100" spans="2:85" ht="21">
      <c r="B100" s="153" t="s">
        <v>7</v>
      </c>
      <c r="C100" s="148" t="s">
        <v>131</v>
      </c>
      <c r="D100" s="9">
        <f t="shared" si="23"/>
        <v>1</v>
      </c>
      <c r="E100" s="137">
        <f t="shared" si="22"/>
        <v>1</v>
      </c>
      <c r="F100" s="149"/>
      <c r="G100" s="136"/>
      <c r="H100" s="133"/>
      <c r="I100" s="149"/>
      <c r="J100" s="9"/>
      <c r="K100" s="133"/>
      <c r="L100" s="149"/>
      <c r="M100" s="9"/>
      <c r="N100" s="133"/>
      <c r="O100" s="9" t="s">
        <v>77</v>
      </c>
      <c r="P100" s="148" t="s">
        <v>281</v>
      </c>
      <c r="Q100" s="135">
        <f>$G$88/'Constants &amp; Conversions'!R15/'Constants &amp; Conversions'!D26</f>
        <v>2.7777777777777779E-3</v>
      </c>
      <c r="R100" s="136">
        <f>VLOOKUP('Summary Table'!C23,'Scenarios Data'!B14:AR22,30,FALSE)*('Summary Table'!H25/'Summary Table'!C111)*'Constants &amp; Conversions'!D19</f>
        <v>18028095.038244594</v>
      </c>
      <c r="S100" s="134">
        <f>R100*Q100/'Constants &amp; Conversions'!D29</f>
        <v>5.0078041772901649E-2</v>
      </c>
      <c r="W100" s="27"/>
      <c r="X100" s="227" t="s">
        <v>629</v>
      </c>
      <c r="Y100" s="228">
        <f>Y44+SUM(Y72:Y75)+Y92</f>
        <v>584.57813610346443</v>
      </c>
      <c r="Z100" s="204" t="s">
        <v>616</v>
      </c>
      <c r="AA100" s="199"/>
      <c r="AB100" s="199"/>
      <c r="AC100" s="199"/>
      <c r="AD100" s="199"/>
      <c r="AE100" s="199"/>
      <c r="AF100" s="199"/>
      <c r="AG100" s="199"/>
      <c r="AH100" s="199"/>
      <c r="AI100" s="10"/>
      <c r="AJ100" s="10"/>
      <c r="AK100" s="10"/>
      <c r="AL100" s="10"/>
      <c r="AM100" s="10"/>
      <c r="AN100" s="10"/>
      <c r="AO100" s="10"/>
      <c r="AS100" s="27"/>
      <c r="AT100" s="153" t="s">
        <v>1045</v>
      </c>
      <c r="AU100" s="148" t="s">
        <v>131</v>
      </c>
      <c r="AV100" s="9">
        <f t="shared" si="20"/>
        <v>4</v>
      </c>
      <c r="AW100" s="137">
        <f t="shared" si="21"/>
        <v>2.2095462328767121</v>
      </c>
      <c r="AX100" s="149" t="s">
        <v>127</v>
      </c>
      <c r="AY100" s="136">
        <f>65*('Summary Table'!H25/'Summary Table'!C111)</f>
        <v>65</v>
      </c>
      <c r="AZ100" s="133">
        <f>IF(AU100="No",(AY100*'Constants &amp; Conversions'!$D$24)*$AY$81/'Constants &amp; Conversions'!$D$29,AV100*AW100*((AY100/('Summary Table'!$H$25/'Summary Table'!$C$111))*'Constants &amp; Conversions'!$D$24)*$AY$81/'Constants &amp; Conversions'!$D$29)</f>
        <v>0.14476946917808217</v>
      </c>
      <c r="BA100" s="149"/>
      <c r="BB100" s="9"/>
      <c r="BC100" s="133"/>
      <c r="BD100" s="149"/>
      <c r="BE100" s="9"/>
      <c r="BF100" s="133"/>
      <c r="BG100" s="9"/>
      <c r="BH100" s="148"/>
      <c r="BI100" s="9"/>
      <c r="BJ100" s="9"/>
      <c r="BK100" s="134"/>
      <c r="BO100" s="27"/>
      <c r="BP100" s="213">
        <v>0</v>
      </c>
      <c r="BQ100" s="214">
        <f>-BQ91</f>
        <v>-1170.2915494706695</v>
      </c>
      <c r="BR100" s="214">
        <f>'Summary Table'!H29*BQ100</f>
        <v>-58.514577473533478</v>
      </c>
      <c r="BS100" s="214"/>
      <c r="BT100" s="214"/>
      <c r="BU100" s="214"/>
      <c r="BV100" s="214"/>
      <c r="BW100" s="214"/>
      <c r="BX100" s="215">
        <f>BQ100+BR100</f>
        <v>-1228.806126944203</v>
      </c>
      <c r="BY100" s="215">
        <f t="shared" ref="BY100:BY150" si="24">BX100*1/(1+$BQ$96)^ABS((--BP100))</f>
        <v>-1228.806126944203</v>
      </c>
      <c r="BZ100" s="216">
        <f>BY100</f>
        <v>-1228.806126944203</v>
      </c>
      <c r="CA100" s="10"/>
      <c r="CB100" s="213">
        <v>1</v>
      </c>
      <c r="CC100" s="219">
        <v>10</v>
      </c>
      <c r="CD100" s="10"/>
      <c r="CE100" s="213">
        <v>2000</v>
      </c>
      <c r="CF100" s="372">
        <v>394.1</v>
      </c>
      <c r="CG100" s="10"/>
    </row>
    <row r="101" spans="2:85" ht="21">
      <c r="B101" s="56" t="s">
        <v>8</v>
      </c>
      <c r="C101" s="117" t="s">
        <v>132</v>
      </c>
      <c r="D101" s="54">
        <f t="shared" si="23"/>
        <v>6</v>
      </c>
      <c r="E101" s="119">
        <f t="shared" si="22"/>
        <v>2.0912625</v>
      </c>
      <c r="F101" s="150" t="s">
        <v>124</v>
      </c>
      <c r="G101" s="118">
        <f>'Design Calculations'!C307</f>
        <v>292.36210051419187</v>
      </c>
      <c r="H101" s="192">
        <f>IF(C101="No",(G101*'Constants &amp; Conversions'!$D$24)*$G$88/'Constants &amp; Conversions'!$D$29,D101*E101*((G101/('Summary Table'!$H$25/'Summary Table'!$C$111))*'Constants &amp; Conversions'!$D$24)*$G$88/'Constants &amp; Conversions'!$D$29)</f>
        <v>7.3675249329576337E-2</v>
      </c>
      <c r="I101" s="150"/>
      <c r="J101" s="54"/>
      <c r="K101" s="192"/>
      <c r="L101" s="150"/>
      <c r="M101" s="54"/>
      <c r="N101" s="192"/>
      <c r="O101" s="54"/>
      <c r="P101" s="117"/>
      <c r="Q101" s="54"/>
      <c r="R101" s="54"/>
      <c r="S101" s="191"/>
      <c r="W101" s="27"/>
      <c r="X101" s="205" t="s">
        <v>630</v>
      </c>
      <c r="Y101" s="211">
        <f>Y55</f>
        <v>-620.85990886832712</v>
      </c>
      <c r="Z101" s="212" t="s">
        <v>616</v>
      </c>
      <c r="AA101" s="199"/>
      <c r="AB101" s="199"/>
      <c r="AC101" s="199"/>
      <c r="AD101" s="199"/>
      <c r="AE101" s="199"/>
      <c r="AF101" s="199"/>
      <c r="AG101" s="199"/>
      <c r="AH101" s="199"/>
      <c r="AI101" s="10"/>
      <c r="AJ101" s="10"/>
      <c r="AK101" s="10"/>
      <c r="AL101" s="10"/>
      <c r="AM101" s="10"/>
      <c r="AN101" s="10"/>
      <c r="AO101" s="10"/>
      <c r="AS101" s="27"/>
      <c r="AT101" s="56" t="s">
        <v>36</v>
      </c>
      <c r="AU101" s="117" t="s">
        <v>131</v>
      </c>
      <c r="AV101" s="54">
        <f t="shared" si="20"/>
        <v>1</v>
      </c>
      <c r="AW101" s="119">
        <f t="shared" si="21"/>
        <v>11.1068</v>
      </c>
      <c r="AX101" s="150" t="s">
        <v>124</v>
      </c>
      <c r="AY101" s="118">
        <f>'Design Calculations'!C365</f>
        <v>919.08770000000004</v>
      </c>
      <c r="AZ101" s="192">
        <f>IF(AU101="No",(AY101*'Constants &amp; Conversions'!$D$24)*$AY$81/'Constants &amp; Conversions'!$D$29,AV101*AW101*((AY101/('Summary Table'!$H$25/'Summary Table'!$C$111))*'Constants &amp; Conversions'!$D$24)*$AY$81/'Constants &amp; Conversions'!$D$29)</f>
        <v>2.5724470631227199</v>
      </c>
      <c r="BA101" s="150"/>
      <c r="BB101" s="54"/>
      <c r="BC101" s="192"/>
      <c r="BD101" s="150"/>
      <c r="BE101" s="54"/>
      <c r="BF101" s="192"/>
      <c r="BG101" s="54" t="s">
        <v>80</v>
      </c>
      <c r="BH101" s="117" t="s">
        <v>407</v>
      </c>
      <c r="BI101" s="54">
        <v>150000</v>
      </c>
      <c r="BJ101" s="119">
        <f>AW101</f>
        <v>11.1068</v>
      </c>
      <c r="BK101" s="191">
        <f>BI101*BJ101/'Constants &amp; Conversions'!D29</f>
        <v>1.6660200000000001</v>
      </c>
      <c r="BO101" s="27"/>
      <c r="BP101" s="223">
        <v>1</v>
      </c>
      <c r="BQ101" s="224"/>
      <c r="BR101" s="224">
        <f>IF(BP101='Summary Table'!$H$27,-$BR$100+'Summary Table'!$H$28*ABS($BQ$100),0)</f>
        <v>0</v>
      </c>
      <c r="BS101" s="224">
        <f t="shared" ref="BS101:BS111" si="25">($BQ$100)*CC100/100</f>
        <v>-117.02915494706694</v>
      </c>
      <c r="BT101" s="224">
        <f>IF(BP101&gt;'Summary Table'!$H$27,0,-$BQ$92+BR101+BS101)</f>
        <v>-218.77743942031066</v>
      </c>
      <c r="BU101" s="224">
        <v>0</v>
      </c>
      <c r="BV101" s="224">
        <v>0</v>
      </c>
      <c r="BW101" s="224">
        <f t="shared" ref="BW101:BW150" si="26">IF(BT101&gt;0,(BT101-BV101)*(1-$BQ$95)+BV101,BT101)</f>
        <v>-218.77743942031066</v>
      </c>
      <c r="BX101" s="225">
        <f t="shared" ref="BX101:BX150" si="27">BW101-BS101</f>
        <v>-101.74828447324371</v>
      </c>
      <c r="BY101" s="225">
        <f t="shared" si="24"/>
        <v>-92.498440430221549</v>
      </c>
      <c r="BZ101" s="226">
        <f>IF(BP101&gt;'Summary Table'!$H$27,0,BY101+BZ100)</f>
        <v>-1321.3045673744246</v>
      </c>
      <c r="CA101" s="10"/>
      <c r="CB101" s="213">
        <v>2</v>
      </c>
      <c r="CC101" s="219">
        <v>18</v>
      </c>
      <c r="CD101" s="10"/>
      <c r="CE101" s="213">
        <v>2001</v>
      </c>
      <c r="CF101" s="372">
        <v>394.3</v>
      </c>
      <c r="CG101" s="10"/>
    </row>
    <row r="102" spans="2:85" ht="21">
      <c r="B102" s="153" t="s">
        <v>111</v>
      </c>
      <c r="C102" s="148" t="s">
        <v>131</v>
      </c>
      <c r="D102" s="9">
        <f t="shared" si="23"/>
        <v>13</v>
      </c>
      <c r="E102" s="137">
        <f t="shared" si="22"/>
        <v>1.4481591551734085</v>
      </c>
      <c r="F102" s="149" t="s">
        <v>127</v>
      </c>
      <c r="G102" s="136">
        <f>4*('Summary Table'!H25/'Summary Table'!C111)</f>
        <v>4</v>
      </c>
      <c r="H102" s="133">
        <f>IF(C102="No",(G102*'Constants &amp; Conversions'!$D$24)*$G$88/'Constants &amp; Conversions'!$D$29,D102*E102*((G102/('Summary Table'!$H$25/'Summary Table'!$C$111))*'Constants &amp; Conversions'!$D$24)*$G$88/'Constants &amp; Conversions'!$D$29)</f>
        <v>1.8976677569392343E-2</v>
      </c>
      <c r="I102" s="149" t="s">
        <v>114</v>
      </c>
      <c r="J102" s="9">
        <f>60*('Summary Table'!H25/'Summary Table'!C111)</f>
        <v>60</v>
      </c>
      <c r="K102" s="138">
        <f>IF(C102="No",(J102*'Constants &amp; Conversions'!D15*'Constants &amp; Conversions'!D18*'Constants &amp; Conversions'!D16)*$J$88/'Constants &amp; Conversions'!D29,D102*E102*((J102/('Summary Table'!$H$25/'Summary Table'!$C$111))*'Constants &amp; Conversions'!D15*'Constants &amp; Conversions'!D18*'Constants &amp; Conversions'!D16)*$J$88/'Constants &amp; Conversions'!D29)</f>
        <v>0.12283700361490048</v>
      </c>
      <c r="L102" s="149"/>
      <c r="M102" s="9"/>
      <c r="N102" s="133"/>
      <c r="O102" s="9" t="s">
        <v>86</v>
      </c>
      <c r="P102" s="148" t="s">
        <v>112</v>
      </c>
      <c r="Q102" s="9">
        <v>25600</v>
      </c>
      <c r="R102" s="9">
        <f>D102</f>
        <v>13</v>
      </c>
      <c r="S102" s="134">
        <f>Q102*R102/'Constants &amp; Conversions'!D29</f>
        <v>0.33279999999999998</v>
      </c>
      <c r="W102" s="27"/>
      <c r="X102" s="200" t="s">
        <v>360</v>
      </c>
      <c r="Y102" s="207">
        <f>'Summary Table'!H30</f>
        <v>0.25700000000000001</v>
      </c>
      <c r="Z102" s="209"/>
      <c r="AA102" s="199"/>
      <c r="AB102" s="199"/>
      <c r="AC102" s="199"/>
      <c r="AD102" s="199"/>
      <c r="AE102" s="199"/>
      <c r="AF102" s="199"/>
      <c r="AG102" s="199"/>
      <c r="AH102" s="199"/>
      <c r="AI102" s="10"/>
      <c r="AJ102" s="10"/>
      <c r="AK102" s="10"/>
      <c r="AL102" s="10"/>
      <c r="AM102" s="10"/>
      <c r="AN102" s="10"/>
      <c r="AO102" s="10"/>
      <c r="AS102" s="27"/>
      <c r="AT102" s="153" t="s">
        <v>13</v>
      </c>
      <c r="AU102" s="148" t="s">
        <v>131</v>
      </c>
      <c r="AV102" s="9">
        <f t="shared" si="20"/>
        <v>1</v>
      </c>
      <c r="AW102" s="145">
        <f t="shared" si="21"/>
        <v>1</v>
      </c>
      <c r="AX102" s="149"/>
      <c r="AY102" s="136"/>
      <c r="AZ102" s="133"/>
      <c r="BA102" s="149" t="s">
        <v>44</v>
      </c>
      <c r="BB102" s="9">
        <f>11827300*('Summary Table'!H25/'Summary Table'!C111)</f>
        <v>11827300</v>
      </c>
      <c r="BC102" s="138">
        <f>IF(AU102="No",$BB$81*BB102*'Constants &amp; Conversions'!D31*'Constants &amp; Conversions'!D19/'Constants &amp; Conversions'!D29,AV102*AW102*$BB$81*(BB102/('Summary Table'!$H$25/'Summary Table'!$C$111))*'Constants &amp; Conversions'!D31*'Constants &amp; Conversions'!D19/'Constants &amp; Conversions'!D29)</f>
        <v>5.6799510932798398</v>
      </c>
      <c r="BD102" s="149" t="s">
        <v>44</v>
      </c>
      <c r="BE102" s="9">
        <f>126435*('Summary Table'!H25/'Summary Table'!C111)</f>
        <v>126435</v>
      </c>
      <c r="BF102" s="133">
        <f>IF(AU102="No",$BE$81*BE102*'Constants &amp; Conversions'!D19/'Constants &amp; Conversions'!D29,AV102*AW102*$BE$81*(BE102/('Summary Table'!H25/'Summary Table'!C111))*'Constants &amp; Conversions'!D19/'Constants &amp; Conversions'!D29)</f>
        <v>23.066414862918002</v>
      </c>
      <c r="BG102" s="9"/>
      <c r="BH102" s="148"/>
      <c r="BI102" s="9"/>
      <c r="BJ102" s="9"/>
      <c r="BK102" s="134"/>
      <c r="BO102" s="27"/>
      <c r="BP102" s="295">
        <v>2</v>
      </c>
      <c r="BQ102" s="296"/>
      <c r="BR102" s="296">
        <f>IF(BP102='Summary Table'!$H$27,-$BR$100+'Summary Table'!$H$28*ABS($BQ$100),0)</f>
        <v>0</v>
      </c>
      <c r="BS102" s="296">
        <f t="shared" si="25"/>
        <v>-210.65247890472048</v>
      </c>
      <c r="BT102" s="296">
        <f>IF(BP102&gt;'Summary Table'!$H$27,0,-$BQ$92+BR102+BS102)</f>
        <v>-312.40076337796421</v>
      </c>
      <c r="BU102" s="296">
        <f t="shared" ref="BU102:BU150" si="28">IF(BT101&lt;0,-BT101+BU101,BU101-BV101)</f>
        <v>218.77743942031066</v>
      </c>
      <c r="BV102" s="296">
        <f t="shared" ref="BV102:BV150" si="29">IF(BT102&lt;0,0, IF(0.8*BT102&gt;BU102,BU102,0.8*BT102))</f>
        <v>0</v>
      </c>
      <c r="BW102" s="296">
        <f t="shared" si="26"/>
        <v>-312.40076337796421</v>
      </c>
      <c r="BX102" s="297">
        <f t="shared" si="27"/>
        <v>-101.74828447324373</v>
      </c>
      <c r="BY102" s="297">
        <f t="shared" si="24"/>
        <v>-84.089491300201416</v>
      </c>
      <c r="BZ102" s="298">
        <f>IF(BP102&gt;'Summary Table'!$H$27,0,BY102+BZ101)</f>
        <v>-1405.394058674626</v>
      </c>
      <c r="CA102" s="10"/>
      <c r="CB102" s="213">
        <v>3</v>
      </c>
      <c r="CC102" s="219">
        <v>14.4</v>
      </c>
      <c r="CD102" s="10"/>
      <c r="CE102" s="213">
        <v>2002</v>
      </c>
      <c r="CF102" s="372">
        <v>395.6</v>
      </c>
      <c r="CG102" s="10"/>
    </row>
    <row r="103" spans="2:85" ht="22" thickBot="1">
      <c r="B103" s="56" t="s">
        <v>29</v>
      </c>
      <c r="C103" s="117" t="s">
        <v>131</v>
      </c>
      <c r="D103" s="54">
        <f t="shared" si="23"/>
        <v>3</v>
      </c>
      <c r="E103" s="119">
        <f t="shared" si="22"/>
        <v>1.026690058479532</v>
      </c>
      <c r="F103" s="150" t="s">
        <v>124</v>
      </c>
      <c r="G103" s="118">
        <f>127*('Summary Table'!H25/'Summary Table'!C111)</f>
        <v>127</v>
      </c>
      <c r="H103" s="192">
        <f>IF(C103="No",(G103*'Constants &amp; Conversions'!$D$24)*$G$88/'Constants &amp; Conversions'!$D$29,D103*E103*((G103/('Summary Table'!$H$25/'Summary Table'!$C$111))*'Constants &amp; Conversions'!$D$24)*$G$88/'Constants &amp; Conversions'!$D$29)</f>
        <v>9.8574565894736829E-2</v>
      </c>
      <c r="I103" s="150"/>
      <c r="J103" s="54"/>
      <c r="K103" s="192"/>
      <c r="L103" s="150"/>
      <c r="M103" s="54"/>
      <c r="N103" s="192"/>
      <c r="O103" s="54"/>
      <c r="P103" s="117"/>
      <c r="Q103" s="54"/>
      <c r="R103" s="54"/>
      <c r="S103" s="191"/>
      <c r="W103" s="27"/>
      <c r="X103" s="206" t="s">
        <v>98</v>
      </c>
      <c r="Y103" s="208">
        <f>'Summary Table'!H31</f>
        <v>0.1</v>
      </c>
      <c r="Z103" s="210"/>
      <c r="AA103" s="199"/>
      <c r="AB103" s="199"/>
      <c r="AC103" s="199"/>
      <c r="AD103" s="199"/>
      <c r="AE103" s="199"/>
      <c r="AF103" s="199"/>
      <c r="AG103" s="199"/>
      <c r="AH103" s="199"/>
      <c r="AI103" s="10"/>
      <c r="AJ103" s="10"/>
      <c r="AK103" s="10"/>
      <c r="AL103" s="10"/>
      <c r="AM103" s="10"/>
      <c r="AN103" s="10"/>
      <c r="AO103" s="10"/>
      <c r="AS103" s="27"/>
      <c r="AT103" s="56" t="s">
        <v>37</v>
      </c>
      <c r="AU103" s="117" t="s">
        <v>131</v>
      </c>
      <c r="AV103" s="54">
        <f t="shared" si="20"/>
        <v>1</v>
      </c>
      <c r="AW103" s="144">
        <f t="shared" si="21"/>
        <v>1</v>
      </c>
      <c r="AX103" s="150"/>
      <c r="AY103" s="118"/>
      <c r="AZ103" s="192"/>
      <c r="BA103" s="150" t="s">
        <v>44</v>
      </c>
      <c r="BB103" s="54">
        <f>1417060*('Summary Table'!H25/'Summary Table'!C111)</f>
        <v>1417060</v>
      </c>
      <c r="BC103" s="193">
        <f>IF(AU103="No",$BB$81*BB103*'Constants &amp; Conversions'!D31*'Constants &amp; Conversions'!D19/'Constants &amp; Conversions'!D29,AV103*AW103*$BB$81*(BB103/('Summary Table'!$H$25/'Summary Table'!$C$111))*'Constants &amp; Conversions'!D31*'Constants &amp; Conversions'!D19/'Constants &amp; Conversions'!D29)</f>
        <v>0.68052991775325977</v>
      </c>
      <c r="BD103" s="150"/>
      <c r="BE103" s="54"/>
      <c r="BF103" s="192"/>
      <c r="BG103" s="54"/>
      <c r="BH103" s="117"/>
      <c r="BI103" s="54"/>
      <c r="BJ103" s="54"/>
      <c r="BK103" s="191"/>
      <c r="BO103" s="27"/>
      <c r="BP103" s="223">
        <v>3</v>
      </c>
      <c r="BQ103" s="224"/>
      <c r="BR103" s="224">
        <f>IF(BP103='Summary Table'!$H$27,-$BR$100+'Summary Table'!$H$28*ABS($BQ$100),0)</f>
        <v>0</v>
      </c>
      <c r="BS103" s="224">
        <f t="shared" si="25"/>
        <v>-168.52198312377641</v>
      </c>
      <c r="BT103" s="224">
        <f>IF(BP103&gt;'Summary Table'!$H$27,0,-$BQ$92+BR103+BS103)</f>
        <v>-270.27026759702017</v>
      </c>
      <c r="BU103" s="224">
        <f t="shared" si="28"/>
        <v>531.17820279827492</v>
      </c>
      <c r="BV103" s="224">
        <f t="shared" si="29"/>
        <v>0</v>
      </c>
      <c r="BW103" s="224">
        <f t="shared" si="26"/>
        <v>-270.27026759702017</v>
      </c>
      <c r="BX103" s="225">
        <f t="shared" si="27"/>
        <v>-101.74828447324376</v>
      </c>
      <c r="BY103" s="225">
        <f t="shared" si="24"/>
        <v>-76.444992091092203</v>
      </c>
      <c r="BZ103" s="226">
        <f>IF(BP103&gt;'Summary Table'!$H$27,0,BY103+BZ102)</f>
        <v>-1481.8390507657182</v>
      </c>
      <c r="CA103" s="10"/>
      <c r="CB103" s="213">
        <v>4</v>
      </c>
      <c r="CC103" s="219">
        <v>11.52</v>
      </c>
      <c r="CD103" s="10"/>
      <c r="CE103" s="213">
        <v>2003</v>
      </c>
      <c r="CF103" s="372">
        <v>402</v>
      </c>
      <c r="CG103" s="10"/>
    </row>
    <row r="104" spans="2:85" ht="22" thickBot="1">
      <c r="B104" s="153" t="s">
        <v>30</v>
      </c>
      <c r="C104" s="148" t="s">
        <v>131</v>
      </c>
      <c r="D104" s="9">
        <f t="shared" si="23"/>
        <v>3</v>
      </c>
      <c r="E104" s="137">
        <f t="shared" si="22"/>
        <v>0.90086041666666672</v>
      </c>
      <c r="F104" s="149" t="s">
        <v>124</v>
      </c>
      <c r="G104" s="136">
        <f>400*('Summary Table'!H25/'Summary Table'!C111)</f>
        <v>400</v>
      </c>
      <c r="H104" s="133">
        <f>IF(C104="No",(G104*'Constants &amp; Conversions'!$D$24)*$G$88/'Constants &amp; Conversions'!$D$29,D104*E104*((G104/('Summary Table'!$H$25/'Summary Table'!$C$111))*'Constants &amp; Conversions'!$D$24)*$G$88/'Constants &amp; Conversions'!$D$29)</f>
        <v>0.27242019000000001</v>
      </c>
      <c r="I104" s="149"/>
      <c r="J104" s="9"/>
      <c r="K104" s="133"/>
      <c r="L104" s="149"/>
      <c r="M104" s="9"/>
      <c r="N104" s="133"/>
      <c r="O104" s="9"/>
      <c r="P104" s="148"/>
      <c r="Q104" s="9"/>
      <c r="R104" s="9"/>
      <c r="S104" s="134"/>
      <c r="W104" s="27"/>
      <c r="X104" s="301"/>
      <c r="Y104" s="302"/>
      <c r="Z104" s="303"/>
      <c r="AA104" s="304"/>
      <c r="AB104" s="304"/>
      <c r="AC104" s="304"/>
      <c r="AD104" s="304"/>
      <c r="AE104" s="304"/>
      <c r="AF104" s="304"/>
      <c r="AG104" s="304"/>
      <c r="AH104" s="304"/>
      <c r="AI104" s="10"/>
      <c r="AJ104" s="10"/>
      <c r="AK104" s="10"/>
      <c r="AL104" s="10"/>
      <c r="AM104" s="10"/>
      <c r="AN104" s="10"/>
      <c r="AO104" s="10"/>
      <c r="AS104" s="27"/>
      <c r="AT104" s="153" t="s">
        <v>14</v>
      </c>
      <c r="AU104" s="148" t="s">
        <v>131</v>
      </c>
      <c r="AV104" s="9">
        <f t="shared" si="20"/>
        <v>1</v>
      </c>
      <c r="AW104" s="145">
        <f t="shared" si="21"/>
        <v>0.86223021582733805</v>
      </c>
      <c r="AX104" s="149" t="s">
        <v>124</v>
      </c>
      <c r="AY104" s="136">
        <f>'Design Calculations'!C356</f>
        <v>299.625</v>
      </c>
      <c r="AZ104" s="133">
        <f>IF(AU104="No",(AY104*'Constants &amp; Conversions'!$D$24)*$AY$81/'Constants &amp; Conversions'!$D$29,AV104*AW104*((AY104/('Summary Table'!$H$25/'Summary Table'!$C$111))*'Constants &amp; Conversions'!$D$24)*$AY$81/'Constants &amp; Conversions'!$D$29)</f>
        <v>6.5103123561151069E-2</v>
      </c>
      <c r="BA104" s="149"/>
      <c r="BB104" s="9"/>
      <c r="BC104" s="133"/>
      <c r="BD104" s="149"/>
      <c r="BE104" s="9"/>
      <c r="BF104" s="133"/>
      <c r="BG104" s="9" t="s">
        <v>80</v>
      </c>
      <c r="BH104" s="148" t="s">
        <v>407</v>
      </c>
      <c r="BI104" s="9">
        <v>100000</v>
      </c>
      <c r="BJ104" s="143">
        <f>AW104</f>
        <v>0.86223021582733805</v>
      </c>
      <c r="BK104" s="134">
        <f>BI104*BJ104/'Constants &amp; Conversions'!D29</f>
        <v>8.6223021582733816E-2</v>
      </c>
      <c r="BO104" s="27"/>
      <c r="BP104" s="213">
        <v>4</v>
      </c>
      <c r="BQ104" s="214"/>
      <c r="BR104" s="296">
        <f>IF(BP104='Summary Table'!$H$27,-$BR$100+'Summary Table'!$H$28*ABS($BQ$100),0)</f>
        <v>0</v>
      </c>
      <c r="BS104" s="296">
        <f t="shared" si="25"/>
        <v>-134.8175864990211</v>
      </c>
      <c r="BT104" s="296">
        <f>IF(BP104&gt;'Summary Table'!$H$27,0,-$BQ$92+BR104+BS104)</f>
        <v>-236.56587097226483</v>
      </c>
      <c r="BU104" s="214">
        <f t="shared" si="28"/>
        <v>801.44847039529509</v>
      </c>
      <c r="BV104" s="214">
        <f t="shared" si="29"/>
        <v>0</v>
      </c>
      <c r="BW104" s="214">
        <f t="shared" si="26"/>
        <v>-236.56587097226483</v>
      </c>
      <c r="BX104" s="215">
        <f t="shared" si="27"/>
        <v>-101.74828447324373</v>
      </c>
      <c r="BY104" s="215">
        <f t="shared" si="24"/>
        <v>-69.495447355538346</v>
      </c>
      <c r="BZ104" s="298">
        <f>IF(BP104&gt;'Summary Table'!$H$27,0,BY104+BZ103)</f>
        <v>-1551.3344981212565</v>
      </c>
      <c r="CA104" s="10"/>
      <c r="CB104" s="213">
        <v>5</v>
      </c>
      <c r="CC104" s="219">
        <v>9.2200000000000006</v>
      </c>
      <c r="CD104" s="10"/>
      <c r="CE104" s="213">
        <v>2004</v>
      </c>
      <c r="CF104" s="372">
        <v>444.2</v>
      </c>
      <c r="CG104" s="10"/>
    </row>
    <row r="105" spans="2:85" ht="17" thickBot="1">
      <c r="B105" s="56" t="s">
        <v>9</v>
      </c>
      <c r="C105" s="117" t="s">
        <v>131</v>
      </c>
      <c r="D105" s="54">
        <f t="shared" si="23"/>
        <v>1</v>
      </c>
      <c r="E105" s="119">
        <f t="shared" si="22"/>
        <v>1</v>
      </c>
      <c r="F105" s="150"/>
      <c r="G105" s="118"/>
      <c r="H105" s="192"/>
      <c r="I105" s="150"/>
      <c r="J105" s="54"/>
      <c r="K105" s="192"/>
      <c r="L105" s="150" t="s">
        <v>44</v>
      </c>
      <c r="M105" s="118">
        <f>65915.2*('Summary Table'!$H$25/'Summary Table'!$C$111)</f>
        <v>65915.199999999997</v>
      </c>
      <c r="N105" s="192">
        <f>IF(C105="No",$M$88*M105*'Constants &amp; Conversions'!D19/'Constants &amp; Conversions'!D29,D105*E105*$M$88*(M105/('Summary Table'!$H$25/'Summary Table'!$C$111))*'Constants &amp; Conversions'!D19/'Constants &amp; Conversions'!D29)</f>
        <v>12.025367572050559</v>
      </c>
      <c r="O105" s="54"/>
      <c r="P105" s="117"/>
      <c r="Q105" s="54"/>
      <c r="R105" s="54"/>
      <c r="S105" s="191"/>
      <c r="W105" s="27"/>
      <c r="X105" s="199">
        <v>1</v>
      </c>
      <c r="Y105" s="199">
        <v>2</v>
      </c>
      <c r="Z105" s="199">
        <v>3</v>
      </c>
      <c r="AA105" s="199">
        <v>4</v>
      </c>
      <c r="AB105" s="199">
        <v>5</v>
      </c>
      <c r="AC105" s="199">
        <v>6</v>
      </c>
      <c r="AD105" s="199">
        <v>7</v>
      </c>
      <c r="AE105" s="199">
        <v>8</v>
      </c>
      <c r="AF105" s="199">
        <v>9</v>
      </c>
      <c r="AG105" s="199">
        <v>10</v>
      </c>
      <c r="AH105" s="199">
        <v>11</v>
      </c>
      <c r="AI105" s="10"/>
      <c r="AJ105" s="693" t="s">
        <v>110</v>
      </c>
      <c r="AK105" s="694"/>
      <c r="AL105" s="10"/>
      <c r="AM105" s="695"/>
      <c r="AN105" s="695"/>
      <c r="AO105" s="10"/>
      <c r="AS105" s="27"/>
      <c r="AT105" s="59" t="s">
        <v>38</v>
      </c>
      <c r="AU105" s="443" t="s">
        <v>131</v>
      </c>
      <c r="AV105" s="130">
        <f t="shared" si="20"/>
        <v>1</v>
      </c>
      <c r="AW105" s="549">
        <f t="shared" si="21"/>
        <v>0.38782875</v>
      </c>
      <c r="AX105" s="443" t="s">
        <v>124</v>
      </c>
      <c r="AY105" s="550">
        <f>400*('Summary Table'!H25/'Summary Table'!C111)</f>
        <v>400</v>
      </c>
      <c r="AZ105" s="547">
        <f>IF(AU105="No",(AY105*'Constants &amp; Conversions'!$D$24)*$AY$81/'Constants &amp; Conversions'!$D$29,AV105*AW105*((AY105/('Summary Table'!$H$25/'Summary Table'!$C$111))*'Constants &amp; Conversions'!$D$24)*$AY$81/'Constants &amp; Conversions'!$D$29)</f>
        <v>3.9093137999999999E-2</v>
      </c>
      <c r="BA105" s="548"/>
      <c r="BB105" s="130"/>
      <c r="BC105" s="547"/>
      <c r="BD105" s="548"/>
      <c r="BE105" s="130"/>
      <c r="BF105" s="547"/>
      <c r="BG105" s="130"/>
      <c r="BH105" s="443"/>
      <c r="BI105" s="130"/>
      <c r="BJ105" s="130"/>
      <c r="BK105" s="196"/>
      <c r="BO105" s="27"/>
      <c r="BP105" s="223">
        <v>5</v>
      </c>
      <c r="BQ105" s="224"/>
      <c r="BR105" s="224">
        <f>IF(BP105='Summary Table'!$H$27,-$BR$100+'Summary Table'!$H$28*ABS($BQ$100),0)</f>
        <v>0</v>
      </c>
      <c r="BS105" s="224">
        <f t="shared" si="25"/>
        <v>-107.90088086119573</v>
      </c>
      <c r="BT105" s="224">
        <f>IF(BP105&gt;'Summary Table'!$H$27,0,-$BQ$92+BR105+BS105)</f>
        <v>-209.64916533443946</v>
      </c>
      <c r="BU105" s="224">
        <f t="shared" si="28"/>
        <v>1038.0143413675598</v>
      </c>
      <c r="BV105" s="224">
        <f t="shared" si="29"/>
        <v>0</v>
      </c>
      <c r="BW105" s="224">
        <f t="shared" si="26"/>
        <v>-209.64916533443946</v>
      </c>
      <c r="BX105" s="225">
        <f t="shared" si="27"/>
        <v>-101.74828447324373</v>
      </c>
      <c r="BY105" s="225">
        <f t="shared" si="24"/>
        <v>-63.17767941412577</v>
      </c>
      <c r="BZ105" s="226">
        <f>IF(BP105&gt;'Summary Table'!$H$27,0,BY105+BZ104)</f>
        <v>-1614.5121775353823</v>
      </c>
      <c r="CA105" s="10"/>
      <c r="CB105" s="213">
        <v>6</v>
      </c>
      <c r="CC105" s="219">
        <v>7.37</v>
      </c>
      <c r="CD105" s="10"/>
      <c r="CE105" s="213">
        <v>2005</v>
      </c>
      <c r="CF105" s="372">
        <v>468.2</v>
      </c>
      <c r="CG105" s="10"/>
    </row>
    <row r="106" spans="2:85" ht="17" thickBot="1">
      <c r="B106" s="153" t="s">
        <v>10</v>
      </c>
      <c r="C106" s="148" t="s">
        <v>131</v>
      </c>
      <c r="D106" s="9">
        <f t="shared" si="23"/>
        <v>1</v>
      </c>
      <c r="E106" s="137">
        <f t="shared" si="22"/>
        <v>1</v>
      </c>
      <c r="F106" s="149" t="s">
        <v>124</v>
      </c>
      <c r="G106" s="136">
        <f>20.2985*('Summary Table'!H25/'Summary Table'!C111)</f>
        <v>20.298500000000001</v>
      </c>
      <c r="H106" s="133">
        <f>IF(C106="No",(G106*'Constants &amp; Conversions'!$D$24)*$G$88/'Constants &amp; Conversions'!$D$29,D106*E106*((G106/('Summary Table'!$H$25/'Summary Table'!$C$111))*'Constants &amp; Conversions'!$D$24)*$G$88/'Constants &amp; Conversions'!$D$29)</f>
        <v>5.115222E-3</v>
      </c>
      <c r="I106" s="149"/>
      <c r="J106" s="9"/>
      <c r="K106" s="133"/>
      <c r="L106" s="149"/>
      <c r="M106" s="9"/>
      <c r="N106" s="133"/>
      <c r="O106" s="9"/>
      <c r="P106" s="148"/>
      <c r="Q106" s="9"/>
      <c r="R106" s="9"/>
      <c r="S106" s="134"/>
      <c r="W106" s="27"/>
      <c r="X106" s="536" t="s">
        <v>99</v>
      </c>
      <c r="Y106" s="537" t="s">
        <v>100</v>
      </c>
      <c r="Z106" s="537" t="s">
        <v>101</v>
      </c>
      <c r="AA106" s="537" t="s">
        <v>102</v>
      </c>
      <c r="AB106" s="537" t="s">
        <v>103</v>
      </c>
      <c r="AC106" s="537" t="s">
        <v>104</v>
      </c>
      <c r="AD106" s="537" t="s">
        <v>105</v>
      </c>
      <c r="AE106" s="537" t="s">
        <v>106</v>
      </c>
      <c r="AF106" s="537" t="s">
        <v>107</v>
      </c>
      <c r="AG106" s="537" t="s">
        <v>108</v>
      </c>
      <c r="AH106" s="538" t="s">
        <v>109</v>
      </c>
      <c r="AI106" s="10"/>
      <c r="AJ106" s="221" t="s">
        <v>99</v>
      </c>
      <c r="AK106" s="222" t="s">
        <v>625</v>
      </c>
      <c r="AL106" s="10"/>
      <c r="AM106" s="327"/>
      <c r="AN106" s="327"/>
      <c r="AO106" s="10"/>
      <c r="AS106" s="27"/>
      <c r="AT106" s="9"/>
      <c r="AU106" s="9"/>
      <c r="AV106" s="9"/>
      <c r="AW106" s="9"/>
      <c r="AX106" s="187"/>
      <c r="AY106" s="188"/>
      <c r="AZ106" s="17"/>
      <c r="BA106" s="187"/>
      <c r="BB106" s="188"/>
      <c r="BC106" s="17"/>
      <c r="BD106" s="334"/>
      <c r="BE106" s="190"/>
      <c r="BF106" s="17"/>
      <c r="BG106" s="700"/>
      <c r="BH106" s="700"/>
      <c r="BI106" s="700"/>
      <c r="BJ106" s="190"/>
      <c r="BK106" s="17"/>
      <c r="BO106" s="27"/>
      <c r="BP106" s="213">
        <v>6</v>
      </c>
      <c r="BQ106" s="214"/>
      <c r="BR106" s="296">
        <f>IF(BP106='Summary Table'!$H$27,-$BR$100+'Summary Table'!$H$28*ABS($BQ$100),0)</f>
        <v>0</v>
      </c>
      <c r="BS106" s="296">
        <f t="shared" si="25"/>
        <v>-86.250487195988342</v>
      </c>
      <c r="BT106" s="296">
        <f>IF(BP106&gt;'Summary Table'!$H$27,0,-$BQ$92+BR106+BS106)</f>
        <v>-187.99877166923207</v>
      </c>
      <c r="BU106" s="214">
        <f t="shared" si="28"/>
        <v>1247.6635067019993</v>
      </c>
      <c r="BV106" s="214">
        <f t="shared" si="29"/>
        <v>0</v>
      </c>
      <c r="BW106" s="214">
        <f t="shared" si="26"/>
        <v>-187.99877166923207</v>
      </c>
      <c r="BX106" s="215">
        <f t="shared" si="27"/>
        <v>-101.74828447324373</v>
      </c>
      <c r="BY106" s="215">
        <f t="shared" si="24"/>
        <v>-57.434254012841599</v>
      </c>
      <c r="BZ106" s="298">
        <f>IF(BP106&gt;'Summary Table'!$H$27,0,BY106+BZ105)</f>
        <v>-1671.9464315482239</v>
      </c>
      <c r="CA106" s="10"/>
      <c r="CB106" s="213">
        <v>7</v>
      </c>
      <c r="CC106" s="219">
        <v>6.55</v>
      </c>
      <c r="CD106" s="10"/>
      <c r="CE106" s="213">
        <v>2006</v>
      </c>
      <c r="CF106" s="372">
        <v>496.7</v>
      </c>
      <c r="CG106" s="10"/>
    </row>
    <row r="107" spans="2:85" ht="21">
      <c r="B107" s="56" t="s">
        <v>11</v>
      </c>
      <c r="C107" s="117" t="s">
        <v>132</v>
      </c>
      <c r="D107" s="54">
        <f t="shared" si="23"/>
        <v>14</v>
      </c>
      <c r="E107" s="119">
        <f t="shared" si="22"/>
        <v>1.3150028307227779</v>
      </c>
      <c r="F107" s="150" t="s">
        <v>124</v>
      </c>
      <c r="G107" s="118">
        <f>'Design Calculations'!C329</f>
        <v>165.04430483386795</v>
      </c>
      <c r="H107" s="192">
        <f>IF(C107="No",(G107*'Constants &amp; Conversions'!$D$24)*$G$88/'Constants &amp; Conversions'!$D$29,D107*E107*((G107/('Summary Table'!$H$25/'Summary Table'!$C$111))*'Constants &amp; Conversions'!$D$24)*$G$88/'Constants &amp; Conversions'!$D$29)</f>
        <v>4.1591164818134727E-2</v>
      </c>
      <c r="I107" s="150"/>
      <c r="J107" s="54"/>
      <c r="K107" s="192"/>
      <c r="L107" s="150" t="s">
        <v>44</v>
      </c>
      <c r="M107" s="54">
        <f>9779*('Summary Table'!$H$25/'Summary Table'!$C$111)</f>
        <v>9779</v>
      </c>
      <c r="N107" s="192">
        <f>IF(C107="No",$M$88*M107*'Constants &amp; Conversions'!D19/'Constants &amp; Conversions'!D29,D107*E107*$M$88*(M107/('Summary Table'!$H$25/'Summary Table'!$C$111))*'Constants &amp; Conversions'!D19/'Constants &amp; Conversions'!D29)</f>
        <v>1.7840508636411998</v>
      </c>
      <c r="O107" s="54"/>
      <c r="P107" s="117"/>
      <c r="Q107" s="54"/>
      <c r="R107" s="54"/>
      <c r="S107" s="191"/>
      <c r="W107" s="27"/>
      <c r="X107" s="213">
        <v>0</v>
      </c>
      <c r="Y107" s="214">
        <f>-Y98</f>
        <v>-991.62037602963892</v>
      </c>
      <c r="Z107" s="214">
        <f>'Summary Table'!H29*Y107</f>
        <v>-49.581018801481946</v>
      </c>
      <c r="AA107" s="214"/>
      <c r="AB107" s="214"/>
      <c r="AC107" s="214"/>
      <c r="AD107" s="214"/>
      <c r="AE107" s="214"/>
      <c r="AF107" s="215">
        <f>Y107+Z107</f>
        <v>-1041.201394831121</v>
      </c>
      <c r="AG107" s="215">
        <f t="shared" ref="AG107:AG138" si="30">AF107*1/(1+$Y$103)^ABS((--X107))</f>
        <v>-1041.201394831121</v>
      </c>
      <c r="AH107" s="216">
        <f>AG107</f>
        <v>-1041.201394831121</v>
      </c>
      <c r="AI107" s="10"/>
      <c r="AJ107" s="213">
        <v>1</v>
      </c>
      <c r="AK107" s="219">
        <v>10</v>
      </c>
      <c r="AL107" s="10"/>
      <c r="AM107" s="327"/>
      <c r="AN107" s="327"/>
      <c r="AO107" s="10"/>
      <c r="AS107" s="27"/>
      <c r="AT107" s="179" t="s">
        <v>621</v>
      </c>
      <c r="AU107" s="180">
        <f>SUM(AZ83:AZ105)</f>
        <v>4.141121975179372</v>
      </c>
      <c r="AV107" s="181" t="s">
        <v>616</v>
      </c>
      <c r="AW107" s="9"/>
      <c r="AX107" s="187"/>
      <c r="AY107" s="188"/>
      <c r="AZ107" s="17"/>
      <c r="BA107" s="187"/>
      <c r="BB107" s="188"/>
      <c r="BC107" s="17"/>
      <c r="BD107" s="334"/>
      <c r="BE107" s="190"/>
      <c r="BF107" s="17"/>
      <c r="BG107" s="334"/>
      <c r="BH107" s="334"/>
      <c r="BI107" s="334"/>
      <c r="BJ107" s="190"/>
      <c r="BK107" s="17"/>
      <c r="BO107" s="27"/>
      <c r="BP107" s="223">
        <v>7</v>
      </c>
      <c r="BQ107" s="224"/>
      <c r="BR107" s="224">
        <f>IF(BP107='Summary Table'!$H$27,-$BR$100+'Summary Table'!$H$28*ABS($BQ$100),0)</f>
        <v>0</v>
      </c>
      <c r="BS107" s="224">
        <f t="shared" si="25"/>
        <v>-76.654096490328854</v>
      </c>
      <c r="BT107" s="224">
        <f>IF(BP107&gt;'Summary Table'!$H$27,0,-$BQ$92+BR107+BS107)</f>
        <v>-178.40238096357257</v>
      </c>
      <c r="BU107" s="224">
        <f t="shared" si="28"/>
        <v>1435.6622783712314</v>
      </c>
      <c r="BV107" s="224">
        <f t="shared" si="29"/>
        <v>0</v>
      </c>
      <c r="BW107" s="224">
        <f t="shared" si="26"/>
        <v>-178.40238096357257</v>
      </c>
      <c r="BX107" s="225">
        <f t="shared" si="27"/>
        <v>-101.74828447324371</v>
      </c>
      <c r="BY107" s="225">
        <f t="shared" si="24"/>
        <v>-52.212958193492348</v>
      </c>
      <c r="BZ107" s="226">
        <f>IF(BP107&gt;'Summary Table'!$H$27,0,BY107+BZ106)</f>
        <v>-1724.1593897417163</v>
      </c>
      <c r="CA107" s="10"/>
      <c r="CB107" s="213">
        <v>8</v>
      </c>
      <c r="CC107" s="219">
        <v>6.55</v>
      </c>
      <c r="CD107" s="10"/>
      <c r="CE107" s="213">
        <v>2007</v>
      </c>
      <c r="CF107" s="372">
        <v>525.4</v>
      </c>
    </row>
    <row r="108" spans="2:85" ht="21">
      <c r="B108" s="153" t="s">
        <v>33</v>
      </c>
      <c r="C108" s="148" t="s">
        <v>131</v>
      </c>
      <c r="D108" s="9">
        <f t="shared" si="23"/>
        <v>3</v>
      </c>
      <c r="E108" s="137">
        <f t="shared" si="22"/>
        <v>1.4517083333333334</v>
      </c>
      <c r="F108" s="149" t="s">
        <v>124</v>
      </c>
      <c r="G108" s="136">
        <f>'Design Calculations'!C338</f>
        <v>348.41</v>
      </c>
      <c r="H108" s="133">
        <f>IF(C108="No",(G108*'Constants &amp; Conversions'!$D$24)*$G$88/'Constants &amp; Conversions'!$D$29,D108*E108*((G108/('Summary Table'!$H$25/'Summary Table'!$C$111))*'Constants &amp; Conversions'!$D$24)*$G$88/'Constants &amp; Conversions'!$D$29)</f>
        <v>0.38237701351499997</v>
      </c>
      <c r="I108" s="149"/>
      <c r="J108" s="9"/>
      <c r="K108" s="138"/>
      <c r="L108" s="149"/>
      <c r="M108" s="9"/>
      <c r="N108" s="133"/>
      <c r="O108" s="9"/>
      <c r="P108" s="148"/>
      <c r="Q108" s="9"/>
      <c r="R108" s="9"/>
      <c r="S108" s="134"/>
      <c r="W108" s="27"/>
      <c r="X108" s="223">
        <v>1</v>
      </c>
      <c r="Y108" s="224"/>
      <c r="Z108" s="224">
        <f>IF(X108='Summary Table'!$H$27,-$Z$107+'Summary Table'!$H$28*ABS($Y$107),0)</f>
        <v>0</v>
      </c>
      <c r="AA108" s="224">
        <f t="shared" ref="AA108:AA118" si="31">($Y$107)*AK107/100</f>
        <v>-99.162037602963906</v>
      </c>
      <c r="AB108" s="224">
        <f>IF(X108&gt;'Summary Table'!$H$27,0,-$Y$99+Z108+AA108)</f>
        <v>-62.880264838101212</v>
      </c>
      <c r="AC108" s="224">
        <v>0</v>
      </c>
      <c r="AD108" s="224">
        <v>0</v>
      </c>
      <c r="AE108" s="224">
        <f t="shared" ref="AE108:AE139" si="32">IF(AB108&gt;0,(AB108-AD108)*(1-$Y$102)+AD108,AB108)</f>
        <v>-62.880264838101212</v>
      </c>
      <c r="AF108" s="225">
        <f t="shared" ref="AF108:AF157" si="33">AE108-AA108</f>
        <v>36.281772764862694</v>
      </c>
      <c r="AG108" s="225">
        <f t="shared" si="30"/>
        <v>32.983429786238808</v>
      </c>
      <c r="AH108" s="226">
        <f>IF(X108&gt;'Summary Table'!$H$27,0,AG108+AH107)</f>
        <v>-1008.2179650448821</v>
      </c>
      <c r="AI108" s="10"/>
      <c r="AJ108" s="213">
        <v>2</v>
      </c>
      <c r="AK108" s="219">
        <v>18</v>
      </c>
      <c r="AL108" s="10"/>
      <c r="AM108" s="327"/>
      <c r="AN108" s="327"/>
      <c r="AO108" s="10"/>
      <c r="AS108" s="27"/>
      <c r="AT108" s="182" t="s">
        <v>622</v>
      </c>
      <c r="AU108" s="178">
        <f>SUM(BC83:BC105)</f>
        <v>7.086544903937857</v>
      </c>
      <c r="AV108" s="183" t="s">
        <v>616</v>
      </c>
      <c r="AW108" s="9"/>
      <c r="AX108" s="187"/>
      <c r="AY108" s="188"/>
      <c r="AZ108" s="17"/>
      <c r="BA108" s="187"/>
      <c r="BB108" s="188"/>
      <c r="BC108" s="17"/>
      <c r="BD108" s="334"/>
      <c r="BE108" s="190"/>
      <c r="BF108" s="17"/>
      <c r="BG108" s="334"/>
      <c r="BH108" s="334"/>
      <c r="BI108" s="334"/>
      <c r="BJ108" s="190"/>
      <c r="BK108" s="17"/>
      <c r="BO108" s="27"/>
      <c r="BP108" s="213">
        <v>8</v>
      </c>
      <c r="BQ108" s="214"/>
      <c r="BR108" s="296">
        <f>IF(BP108='Summary Table'!$H$27,-$BR$100+'Summary Table'!$H$28*ABS($BQ$100),0)</f>
        <v>0</v>
      </c>
      <c r="BS108" s="296">
        <f t="shared" si="25"/>
        <v>-76.654096490328854</v>
      </c>
      <c r="BT108" s="296">
        <f>IF(BP108&gt;'Summary Table'!$H$27,0,-$BQ$92+BR108+BS108)</f>
        <v>-178.40238096357257</v>
      </c>
      <c r="BU108" s="214">
        <f t="shared" si="28"/>
        <v>1614.064659334804</v>
      </c>
      <c r="BV108" s="214">
        <f t="shared" si="29"/>
        <v>0</v>
      </c>
      <c r="BW108" s="214">
        <f t="shared" si="26"/>
        <v>-178.40238096357257</v>
      </c>
      <c r="BX108" s="215">
        <f t="shared" si="27"/>
        <v>-101.74828447324371</v>
      </c>
      <c r="BY108" s="215">
        <f t="shared" si="24"/>
        <v>-47.466325630447592</v>
      </c>
      <c r="BZ108" s="298">
        <f>IF(BP108&gt;'Summary Table'!$H$27,0,BY108+BZ107)</f>
        <v>-1771.6257153721638</v>
      </c>
      <c r="CA108" s="10"/>
      <c r="CB108" s="213">
        <v>9</v>
      </c>
      <c r="CC108" s="219">
        <v>6.56</v>
      </c>
      <c r="CD108" s="10"/>
      <c r="CE108" s="213">
        <v>2008</v>
      </c>
      <c r="CF108" s="372">
        <v>575.4</v>
      </c>
    </row>
    <row r="109" spans="2:85" ht="21">
      <c r="B109" s="56" t="s">
        <v>1046</v>
      </c>
      <c r="C109" s="117" t="s">
        <v>131</v>
      </c>
      <c r="D109" s="54">
        <f t="shared" si="23"/>
        <v>2</v>
      </c>
      <c r="E109" s="119">
        <f t="shared" si="22"/>
        <v>1.419018817204301</v>
      </c>
      <c r="F109" s="150" t="s">
        <v>124</v>
      </c>
      <c r="G109" s="118">
        <f>'Design Calculations'!C347</f>
        <v>59.121999999999993</v>
      </c>
      <c r="H109" s="192">
        <f>IF(C109="No",(G109*'Constants &amp; Conversions'!$D$24)*$G$88/'Constants &amp; Conversions'!$D$29,D109*E109*((G109/('Summary Table'!$H$25/'Summary Table'!$C$111))*'Constants &amp; Conversions'!$D$24)*$G$88/'Constants &amp; Conversions'!$D$29)</f>
        <v>4.2283196177419345E-2</v>
      </c>
      <c r="I109" s="150"/>
      <c r="J109" s="54"/>
      <c r="K109" s="192"/>
      <c r="L109" s="150"/>
      <c r="M109" s="54"/>
      <c r="N109" s="192"/>
      <c r="O109" s="54"/>
      <c r="P109" s="117"/>
      <c r="Q109" s="54"/>
      <c r="R109" s="54"/>
      <c r="S109" s="191"/>
      <c r="W109" s="27"/>
      <c r="X109" s="295">
        <v>2</v>
      </c>
      <c r="Y109" s="296"/>
      <c r="Z109" s="296">
        <f>IF(X109='Summary Table'!$H$27,-$Z$107+'Summary Table'!$H$28*ABS($Y$107),0)</f>
        <v>0</v>
      </c>
      <c r="AA109" s="296">
        <f t="shared" si="31"/>
        <v>-178.49166768533502</v>
      </c>
      <c r="AB109" s="296">
        <f>IF(X109&gt;'Summary Table'!$H$27,0,-$Y$99+Z109+AA109)</f>
        <v>-142.20989492047232</v>
      </c>
      <c r="AC109" s="296">
        <f t="shared" ref="AC109:AC157" si="34">IF(AB108&lt;0,-AB108+AC108,AC108-AD108)</f>
        <v>62.880264838101212</v>
      </c>
      <c r="AD109" s="296">
        <f t="shared" ref="AD109:AD157" si="35">IF(AB109&lt;0,0, IF(0.8*AB109&gt;AC109,AC109,0.8*AB109))</f>
        <v>0</v>
      </c>
      <c r="AE109" s="296">
        <f t="shared" si="32"/>
        <v>-142.20989492047232</v>
      </c>
      <c r="AF109" s="297">
        <f t="shared" si="33"/>
        <v>36.281772764862694</v>
      </c>
      <c r="AG109" s="297">
        <f t="shared" si="30"/>
        <v>29.984936169308007</v>
      </c>
      <c r="AH109" s="298">
        <f>IF(X109&gt;'Summary Table'!$H$27,0,AG109+AH108)</f>
        <v>-978.23302887557418</v>
      </c>
      <c r="AI109" s="10"/>
      <c r="AJ109" s="213">
        <v>3</v>
      </c>
      <c r="AK109" s="219">
        <v>14.4</v>
      </c>
      <c r="AL109" s="10"/>
      <c r="AM109" s="327"/>
      <c r="AN109" s="327"/>
      <c r="AO109" s="10"/>
      <c r="AS109" s="27"/>
      <c r="AT109" s="182" t="s">
        <v>623</v>
      </c>
      <c r="AU109" s="178">
        <f>SUM(BF83:BF105)</f>
        <v>36.875833298609763</v>
      </c>
      <c r="AV109" s="183" t="s">
        <v>616</v>
      </c>
      <c r="AW109" s="9"/>
      <c r="AX109" s="187"/>
      <c r="AY109" s="188"/>
      <c r="AZ109" s="17"/>
      <c r="BA109" s="187"/>
      <c r="BB109" s="188"/>
      <c r="BC109" s="17"/>
      <c r="BD109" s="334"/>
      <c r="BE109" s="190"/>
      <c r="BF109" s="17"/>
      <c r="BG109" s="334"/>
      <c r="BH109" s="334"/>
      <c r="BI109" s="334"/>
      <c r="BJ109" s="190"/>
      <c r="BK109" s="17"/>
      <c r="BO109" s="27"/>
      <c r="BP109" s="223">
        <v>9</v>
      </c>
      <c r="BQ109" s="224"/>
      <c r="BR109" s="224">
        <f>IF(BP109='Summary Table'!$H$27,-$BR$100+'Summary Table'!$H$28*ABS($BQ$100),0)</f>
        <v>0</v>
      </c>
      <c r="BS109" s="224">
        <f t="shared" si="25"/>
        <v>-76.771125645275916</v>
      </c>
      <c r="BT109" s="224">
        <f>IF(BP109&gt;'Summary Table'!$H$27,0,-$BQ$92+BR109+BS109)</f>
        <v>-178.51941011851966</v>
      </c>
      <c r="BU109" s="224">
        <f t="shared" si="28"/>
        <v>1792.4670402983766</v>
      </c>
      <c r="BV109" s="224">
        <f t="shared" si="29"/>
        <v>0</v>
      </c>
      <c r="BW109" s="224">
        <f t="shared" si="26"/>
        <v>-178.51941011851966</v>
      </c>
      <c r="BX109" s="225">
        <f t="shared" si="27"/>
        <v>-101.74828447324374</v>
      </c>
      <c r="BY109" s="225">
        <f t="shared" si="24"/>
        <v>-43.151205118588734</v>
      </c>
      <c r="BZ109" s="226">
        <f>IF(BP109&gt;'Summary Table'!$H$27,0,BY109+BZ108)</f>
        <v>-1814.7769204907524</v>
      </c>
      <c r="CA109" s="10"/>
      <c r="CB109" s="213">
        <v>10</v>
      </c>
      <c r="CC109" s="219">
        <v>6.55</v>
      </c>
      <c r="CD109" s="10"/>
      <c r="CE109" s="213">
        <v>2009</v>
      </c>
      <c r="CF109" s="372">
        <v>521.9</v>
      </c>
    </row>
    <row r="110" spans="2:85" ht="22" thickBot="1">
      <c r="B110" s="153" t="s">
        <v>34</v>
      </c>
      <c r="C110" s="148" t="s">
        <v>131</v>
      </c>
      <c r="D110" s="9">
        <f t="shared" si="23"/>
        <v>1</v>
      </c>
      <c r="E110" s="137">
        <f t="shared" si="22"/>
        <v>1</v>
      </c>
      <c r="F110" s="149"/>
      <c r="G110" s="136"/>
      <c r="H110" s="133"/>
      <c r="I110" s="149" t="s">
        <v>44</v>
      </c>
      <c r="J110" s="9">
        <f>1150140*('Summary Table'!H25/'Summary Table'!C111)</f>
        <v>1150140</v>
      </c>
      <c r="K110" s="138">
        <f>IF(C110="No",$J$88*J110*'Constants &amp; Conversions'!D31*'Constants &amp; Conversions'!D19/'Constants &amp; Conversions'!D29,D110*E110*$J$88*(J110/('Summary Table'!$H$25/'Summary Table'!$C$111))*'Constants &amp; Conversions'!D31*'Constants &amp; Conversions'!D19/'Constants &amp; Conversions'!D29)</f>
        <v>0.55234406419257776</v>
      </c>
      <c r="L110" s="149"/>
      <c r="M110" s="9"/>
      <c r="N110" s="133"/>
      <c r="O110" s="9"/>
      <c r="P110" s="148"/>
      <c r="Q110" s="9"/>
      <c r="R110" s="9"/>
      <c r="S110" s="134"/>
      <c r="W110" s="27"/>
      <c r="X110" s="223">
        <v>3</v>
      </c>
      <c r="Y110" s="224"/>
      <c r="Z110" s="224">
        <f>IF(X110='Summary Table'!$H$27,-$Z$107+'Summary Table'!$H$28*ABS($Y$107),0)</f>
        <v>0</v>
      </c>
      <c r="AA110" s="224">
        <f t="shared" si="31"/>
        <v>-142.793334148268</v>
      </c>
      <c r="AB110" s="224">
        <f>IF(X110&gt;'Summary Table'!$H$27,0,-$Y$99+Z110+AA110)</f>
        <v>-106.51156138340531</v>
      </c>
      <c r="AC110" s="224">
        <f t="shared" si="34"/>
        <v>205.09015975857352</v>
      </c>
      <c r="AD110" s="224">
        <f t="shared" si="35"/>
        <v>0</v>
      </c>
      <c r="AE110" s="224">
        <f t="shared" si="32"/>
        <v>-106.51156138340531</v>
      </c>
      <c r="AF110" s="225">
        <f t="shared" si="33"/>
        <v>36.281772764862694</v>
      </c>
      <c r="AG110" s="225">
        <f t="shared" si="30"/>
        <v>27.259032881189093</v>
      </c>
      <c r="AH110" s="226">
        <f>IF(X110&gt;'Summary Table'!$H$27,0,AG110+AH109)</f>
        <v>-950.97399599438506</v>
      </c>
      <c r="AI110" s="10"/>
      <c r="AJ110" s="213">
        <v>4</v>
      </c>
      <c r="AK110" s="219">
        <v>11.52</v>
      </c>
      <c r="AL110" s="10"/>
      <c r="AM110" s="327"/>
      <c r="AN110" s="327"/>
      <c r="AO110" s="10"/>
      <c r="AS110" s="27"/>
      <c r="AT110" s="184" t="s">
        <v>624</v>
      </c>
      <c r="AU110" s="185">
        <f>SUM(BK83:BK105)</f>
        <v>18.905336723612848</v>
      </c>
      <c r="AV110" s="186" t="s">
        <v>616</v>
      </c>
      <c r="AW110" s="9"/>
      <c r="AX110" s="187"/>
      <c r="AY110" s="188"/>
      <c r="AZ110" s="17"/>
      <c r="BA110" s="187"/>
      <c r="BB110" s="188"/>
      <c r="BC110" s="17"/>
      <c r="BD110" s="334"/>
      <c r="BE110" s="190"/>
      <c r="BF110" s="17"/>
      <c r="BG110" s="334"/>
      <c r="BH110" s="334"/>
      <c r="BI110" s="334"/>
      <c r="BJ110" s="190"/>
      <c r="BK110" s="17"/>
      <c r="BO110" s="27"/>
      <c r="BP110" s="213">
        <v>10</v>
      </c>
      <c r="BQ110" s="214"/>
      <c r="BR110" s="296">
        <f>IF(BP110='Summary Table'!$H$27,-$BR$100+'Summary Table'!$H$28*ABS($BQ$100),0)</f>
        <v>0</v>
      </c>
      <c r="BS110" s="296">
        <f t="shared" si="25"/>
        <v>-76.654096490328854</v>
      </c>
      <c r="BT110" s="296">
        <f>IF(BP110&gt;'Summary Table'!$H$27,0,-$BQ$92+BR110+BS110)</f>
        <v>-178.40238096357257</v>
      </c>
      <c r="BU110" s="214">
        <f t="shared" si="28"/>
        <v>1970.9864504168963</v>
      </c>
      <c r="BV110" s="214">
        <f t="shared" si="29"/>
        <v>0</v>
      </c>
      <c r="BW110" s="214">
        <f t="shared" si="26"/>
        <v>-178.40238096357257</v>
      </c>
      <c r="BX110" s="215">
        <f t="shared" si="27"/>
        <v>-101.74828447324371</v>
      </c>
      <c r="BY110" s="215">
        <f t="shared" si="24"/>
        <v>-39.228368289626104</v>
      </c>
      <c r="BZ110" s="298">
        <f>IF(BP110&gt;'Summary Table'!$H$27,0,BY110+BZ109)</f>
        <v>-1854.0052887803786</v>
      </c>
      <c r="CA110" s="10"/>
      <c r="CB110" s="217">
        <v>11</v>
      </c>
      <c r="CC110" s="220">
        <v>3.28</v>
      </c>
      <c r="CD110" s="10"/>
      <c r="CE110" s="213">
        <v>2010</v>
      </c>
      <c r="CF110" s="372">
        <v>550.79999999999995</v>
      </c>
    </row>
    <row r="111" spans="2:85" ht="21">
      <c r="B111" s="56" t="s">
        <v>12</v>
      </c>
      <c r="C111" s="117" t="s">
        <v>132</v>
      </c>
      <c r="D111" s="54">
        <f t="shared" si="23"/>
        <v>3</v>
      </c>
      <c r="E111" s="119">
        <f t="shared" si="22"/>
        <v>1.4097</v>
      </c>
      <c r="F111" s="150" t="s">
        <v>124</v>
      </c>
      <c r="G111" s="118">
        <f>2*G44</f>
        <v>845.82</v>
      </c>
      <c r="H111" s="192">
        <f>IF(C111="No",(G111*'Constants &amp; Conversions'!$D$24)*$G$88/'Constants &amp; Conversions'!$D$29,D111*E111*((G111/('Summary Table'!$H$25/'Summary Table'!$C$111))*'Constants &amp; Conversions'!$D$24)*$G$88/'Constants &amp; Conversions'!$D$29)</f>
        <v>0.21314664</v>
      </c>
      <c r="I111" s="150"/>
      <c r="J111" s="54"/>
      <c r="K111" s="192"/>
      <c r="L111" s="150"/>
      <c r="M111" s="54"/>
      <c r="N111" s="192"/>
      <c r="O111" s="54"/>
      <c r="P111" s="117"/>
      <c r="Q111" s="54"/>
      <c r="R111" s="54"/>
      <c r="S111" s="191"/>
      <c r="W111" s="27"/>
      <c r="X111" s="213">
        <v>4</v>
      </c>
      <c r="Y111" s="214"/>
      <c r="Z111" s="296">
        <f>IF(X111='Summary Table'!$H$27,-$Z$107+'Summary Table'!$H$28*ABS($Y$107),0)</f>
        <v>0</v>
      </c>
      <c r="AA111" s="296">
        <f t="shared" si="31"/>
        <v>-114.2346673186144</v>
      </c>
      <c r="AB111" s="296">
        <f>IF(X111&gt;'Summary Table'!$H$27,0,-$Y$99+Z111+AA111)</f>
        <v>-77.952894553751705</v>
      </c>
      <c r="AC111" s="214">
        <f t="shared" si="34"/>
        <v>311.60172114197883</v>
      </c>
      <c r="AD111" s="214">
        <f t="shared" si="35"/>
        <v>0</v>
      </c>
      <c r="AE111" s="214">
        <f t="shared" si="32"/>
        <v>-77.952894553751705</v>
      </c>
      <c r="AF111" s="215">
        <f t="shared" si="33"/>
        <v>36.281772764862694</v>
      </c>
      <c r="AG111" s="215">
        <f t="shared" si="30"/>
        <v>24.780938982899176</v>
      </c>
      <c r="AH111" s="298">
        <f>IF(X111&gt;'Summary Table'!$H$27,0,AG111+AH110)</f>
        <v>-926.19305701148585</v>
      </c>
      <c r="AI111" s="10"/>
      <c r="AJ111" s="213">
        <v>5</v>
      </c>
      <c r="AK111" s="219">
        <v>9.2200000000000006</v>
      </c>
      <c r="AL111" s="10"/>
      <c r="AM111" s="327"/>
      <c r="AN111" s="327"/>
      <c r="AO111" s="10"/>
      <c r="AS111" s="27"/>
      <c r="AT111" s="231"/>
      <c r="AU111" s="203"/>
      <c r="AV111" s="231"/>
      <c r="AW111" s="9"/>
      <c r="AX111" s="187"/>
      <c r="AY111" s="188"/>
      <c r="AZ111" s="17"/>
      <c r="BA111" s="187"/>
      <c r="BB111" s="188"/>
      <c r="BC111" s="17"/>
      <c r="BD111" s="334"/>
      <c r="BE111" s="190"/>
      <c r="BF111" s="17"/>
      <c r="BG111" s="334"/>
      <c r="BH111" s="334"/>
      <c r="BI111" s="334"/>
      <c r="BJ111" s="190"/>
      <c r="BK111" s="17"/>
      <c r="BO111" s="27"/>
      <c r="BP111" s="223">
        <v>11</v>
      </c>
      <c r="BQ111" s="224"/>
      <c r="BR111" s="224">
        <f>IF(BP111='Summary Table'!$H$27,-$BR$100+'Summary Table'!$H$28*ABS($BQ$100),0)</f>
        <v>0</v>
      </c>
      <c r="BS111" s="224">
        <f t="shared" si="25"/>
        <v>-38.385562822637958</v>
      </c>
      <c r="BT111" s="224">
        <f>IF(BP111&gt;'Summary Table'!$H$27,0,-$BQ$92+BR111+BS111)</f>
        <v>-140.13384729588168</v>
      </c>
      <c r="BU111" s="224">
        <f t="shared" si="28"/>
        <v>2149.3888313804691</v>
      </c>
      <c r="BV111" s="224">
        <f t="shared" si="29"/>
        <v>0</v>
      </c>
      <c r="BW111" s="224">
        <f t="shared" si="26"/>
        <v>-140.13384729588168</v>
      </c>
      <c r="BX111" s="225">
        <f t="shared" si="27"/>
        <v>-101.74828447324373</v>
      </c>
      <c r="BY111" s="225">
        <f t="shared" si="24"/>
        <v>-35.662152990569183</v>
      </c>
      <c r="BZ111" s="226">
        <f>IF(BP111&gt;'Summary Table'!$H$27,0,BY111+BZ110)</f>
        <v>-1889.6674417709478</v>
      </c>
      <c r="CA111" s="10"/>
      <c r="CB111" s="10"/>
      <c r="CC111" s="10"/>
      <c r="CD111" s="10"/>
      <c r="CE111" s="213">
        <v>2011</v>
      </c>
      <c r="CF111" s="372">
        <v>585.70000000000005</v>
      </c>
    </row>
    <row r="112" spans="2:85" ht="21">
      <c r="B112" s="153" t="s">
        <v>35</v>
      </c>
      <c r="C112" s="148" t="s">
        <v>131</v>
      </c>
      <c r="D112" s="9">
        <f t="shared" si="23"/>
        <v>3</v>
      </c>
      <c r="E112" s="137">
        <f t="shared" si="22"/>
        <v>1.0575393848462116</v>
      </c>
      <c r="F112" s="149" t="s">
        <v>127</v>
      </c>
      <c r="G112" s="136">
        <f>4*('Summary Table'!H25/'Summary Table'!C111)</f>
        <v>4</v>
      </c>
      <c r="H112" s="133">
        <f>IF(C112="No",(G112*'Constants &amp; Conversions'!$D$24)*$G$88/'Constants &amp; Conversions'!$D$29,D112*E112*((G112/('Summary Table'!$H$25/'Summary Table'!$C$111))*'Constants &amp; Conversions'!$D$24)*$G$88/'Constants &amp; Conversions'!$D$29)</f>
        <v>3.1979990997749439E-3</v>
      </c>
      <c r="I112" s="149" t="s">
        <v>114</v>
      </c>
      <c r="J112" s="9">
        <f>60*('Summary Table'!H25/'Summary Table'!C111)</f>
        <v>60</v>
      </c>
      <c r="K112" s="138">
        <f>IF(C112="No",(J112*'Constants &amp; Conversions'!D15*'Constants &amp; Conversions'!D18/'Constants &amp; Conversions'!D28)*$J$88/'Constants &amp; Conversions'!D29,D112*E112*((J112/('Summary Table'!$H$25/'Summary Table'!$C$111))*'Constants &amp; Conversions'!D15*'Constants &amp; Conversions'!D18/'Constants &amp; Conversions'!D28)*$J$88/'Constants &amp; Conversions'!D29)</f>
        <v>2.0700811590597213E-2</v>
      </c>
      <c r="L112" s="149"/>
      <c r="M112" s="9"/>
      <c r="N112" s="133"/>
      <c r="O112" s="9" t="s">
        <v>86</v>
      </c>
      <c r="P112" s="148" t="s">
        <v>112</v>
      </c>
      <c r="Q112" s="9">
        <v>25600</v>
      </c>
      <c r="R112" s="9">
        <f>D112</f>
        <v>3</v>
      </c>
      <c r="S112" s="134">
        <f>Q112*R112/'Constants &amp; Conversions'!D29</f>
        <v>7.6799999999999993E-2</v>
      </c>
      <c r="W112" s="27"/>
      <c r="X112" s="223">
        <v>5</v>
      </c>
      <c r="Y112" s="224"/>
      <c r="Z112" s="224">
        <f>IF(X112='Summary Table'!$H$27,-$Z$107+'Summary Table'!$H$28*ABS($Y$107),0)</f>
        <v>0</v>
      </c>
      <c r="AA112" s="224">
        <f t="shared" si="31"/>
        <v>-91.427398669932714</v>
      </c>
      <c r="AB112" s="224">
        <f>IF(X112&gt;'Summary Table'!$H$27,0,-$Y$99+Z112+AA112)</f>
        <v>-55.14562590507002</v>
      </c>
      <c r="AC112" s="224">
        <f t="shared" si="34"/>
        <v>389.55461569573055</v>
      </c>
      <c r="AD112" s="224">
        <f t="shared" si="35"/>
        <v>0</v>
      </c>
      <c r="AE112" s="224">
        <f t="shared" si="32"/>
        <v>-55.14562590507002</v>
      </c>
      <c r="AF112" s="225">
        <f t="shared" si="33"/>
        <v>36.281772764862694</v>
      </c>
      <c r="AG112" s="225">
        <f t="shared" si="30"/>
        <v>22.528126348090158</v>
      </c>
      <c r="AH112" s="226">
        <f>IF(X112&gt;'Summary Table'!$H$27,0,AG112+AH111)</f>
        <v>-903.66493066339569</v>
      </c>
      <c r="AI112" s="10"/>
      <c r="AJ112" s="213">
        <v>6</v>
      </c>
      <c r="AK112" s="219">
        <v>7.37</v>
      </c>
      <c r="AL112" s="10"/>
      <c r="AM112" s="327"/>
      <c r="AN112" s="327"/>
      <c r="AO112" s="10"/>
      <c r="AS112" s="27"/>
      <c r="AT112" s="231"/>
      <c r="AU112" s="203"/>
      <c r="AV112" s="231"/>
      <c r="AW112" s="9"/>
      <c r="AX112" s="187"/>
      <c r="AY112" s="188"/>
      <c r="AZ112" s="17"/>
      <c r="BA112" s="187"/>
      <c r="BB112" s="188"/>
      <c r="BC112" s="17"/>
      <c r="BD112" s="334"/>
      <c r="BE112" s="190"/>
      <c r="BF112" s="17"/>
      <c r="BG112" s="334"/>
      <c r="BH112" s="334"/>
      <c r="BI112" s="334"/>
      <c r="BJ112" s="190"/>
      <c r="BK112" s="17"/>
      <c r="BO112" s="27"/>
      <c r="BP112" s="213">
        <v>12</v>
      </c>
      <c r="BQ112" s="214"/>
      <c r="BR112" s="296">
        <f>IF(BP112='Summary Table'!$H$27,-$BR$100+'Summary Table'!$H$28*ABS($BQ$100),0)</f>
        <v>0</v>
      </c>
      <c r="BS112" s="296"/>
      <c r="BT112" s="296">
        <f>IF(BP112&gt;'Summary Table'!$H$27,0,-$BQ$92+BR112+BS112)</f>
        <v>-101.74828447324373</v>
      </c>
      <c r="BU112" s="214">
        <f t="shared" si="28"/>
        <v>2289.522678676351</v>
      </c>
      <c r="BV112" s="214">
        <f t="shared" si="29"/>
        <v>0</v>
      </c>
      <c r="BW112" s="214">
        <f t="shared" si="26"/>
        <v>-101.74828447324373</v>
      </c>
      <c r="BX112" s="215">
        <f t="shared" si="27"/>
        <v>-101.74828447324373</v>
      </c>
      <c r="BY112" s="215">
        <f t="shared" si="24"/>
        <v>-32.420139082335623</v>
      </c>
      <c r="BZ112" s="298">
        <f>IF(BP112&gt;'Summary Table'!$H$27,0,BY112+BZ111)</f>
        <v>-1922.0875808532835</v>
      </c>
      <c r="CA112" s="10"/>
      <c r="CB112" s="10"/>
      <c r="CC112" s="10"/>
      <c r="CD112" s="10"/>
      <c r="CE112" s="213">
        <v>2012</v>
      </c>
      <c r="CF112" s="372">
        <v>584.6</v>
      </c>
    </row>
    <row r="113" spans="2:84">
      <c r="B113" s="56" t="s">
        <v>1045</v>
      </c>
      <c r="C113" s="117" t="s">
        <v>131</v>
      </c>
      <c r="D113" s="54">
        <f t="shared" si="23"/>
        <v>4</v>
      </c>
      <c r="E113" s="119">
        <f t="shared" si="22"/>
        <v>2.2095462328767121</v>
      </c>
      <c r="F113" s="150" t="s">
        <v>127</v>
      </c>
      <c r="G113" s="118">
        <f>65*('Summary Table'!H25/'Summary Table'!C111)</f>
        <v>65</v>
      </c>
      <c r="H113" s="192">
        <f>IF(C113="No",(G113*'Constants &amp; Conversions'!$D$24)*$G$88/'Constants &amp; Conversions'!$D$29,D113*E113*((G113/('Summary Table'!$H$25/'Summary Table'!$C$111))*'Constants &amp; Conversions'!$D$24)*$G$88/'Constants &amp; Conversions'!$D$29)</f>
        <v>0.14476946917808217</v>
      </c>
      <c r="I113" s="150"/>
      <c r="J113" s="54"/>
      <c r="K113" s="192"/>
      <c r="L113" s="150"/>
      <c r="M113" s="54"/>
      <c r="N113" s="192"/>
      <c r="O113" s="54"/>
      <c r="P113" s="117"/>
      <c r="Q113" s="54"/>
      <c r="R113" s="54"/>
      <c r="S113" s="191"/>
      <c r="W113" s="27"/>
      <c r="X113" s="213">
        <v>6</v>
      </c>
      <c r="Y113" s="214"/>
      <c r="Z113" s="296">
        <f>IF(X113='Summary Table'!$H$27,-$Z$107+'Summary Table'!$H$28*ABS($Y$107),0)</f>
        <v>0</v>
      </c>
      <c r="AA113" s="296">
        <f t="shared" si="31"/>
        <v>-73.082421713384392</v>
      </c>
      <c r="AB113" s="296">
        <f>IF(X113&gt;'Summary Table'!$H$27,0,-$Y$99+Z113+AA113)</f>
        <v>-36.800648948521697</v>
      </c>
      <c r="AC113" s="214">
        <f t="shared" si="34"/>
        <v>444.70024160080055</v>
      </c>
      <c r="AD113" s="214">
        <f t="shared" si="35"/>
        <v>0</v>
      </c>
      <c r="AE113" s="214">
        <f t="shared" si="32"/>
        <v>-36.800648948521697</v>
      </c>
      <c r="AF113" s="215">
        <f t="shared" si="33"/>
        <v>36.281772764862694</v>
      </c>
      <c r="AG113" s="215">
        <f t="shared" si="30"/>
        <v>20.480114861900141</v>
      </c>
      <c r="AH113" s="298">
        <f>IF(X113&gt;'Summary Table'!$H$27,0,AG113+AH112)</f>
        <v>-883.18481580149557</v>
      </c>
      <c r="AI113" s="10"/>
      <c r="AJ113" s="213">
        <v>7</v>
      </c>
      <c r="AK113" s="219">
        <v>6.55</v>
      </c>
      <c r="AL113" s="10"/>
      <c r="AM113" s="327"/>
      <c r="AN113" s="327"/>
      <c r="AO113" s="10"/>
      <c r="AS113" s="27"/>
      <c r="BO113" s="27"/>
      <c r="BP113" s="223">
        <v>13</v>
      </c>
      <c r="BQ113" s="224"/>
      <c r="BR113" s="224">
        <f>IF(BP113='Summary Table'!$H$27,-$BR$100+'Summary Table'!$H$28*ABS($BQ$100),0)</f>
        <v>0</v>
      </c>
      <c r="BS113" s="224"/>
      <c r="BT113" s="224">
        <f>IF(BP113&gt;'Summary Table'!$H$27,0,-$BQ$92+BR113+BS113)</f>
        <v>-101.74828447324373</v>
      </c>
      <c r="BU113" s="224">
        <f t="shared" si="28"/>
        <v>2391.2709631495945</v>
      </c>
      <c r="BV113" s="224">
        <f t="shared" si="29"/>
        <v>0</v>
      </c>
      <c r="BW113" s="224">
        <f t="shared" si="26"/>
        <v>-101.74828447324373</v>
      </c>
      <c r="BX113" s="225">
        <f t="shared" si="27"/>
        <v>-101.74828447324373</v>
      </c>
      <c r="BY113" s="225">
        <f t="shared" si="24"/>
        <v>-29.472853711214203</v>
      </c>
      <c r="BZ113" s="226">
        <f>IF(BP113&gt;'Summary Table'!$H$27,0,BY113+BZ112)</f>
        <v>-1951.5604345644977</v>
      </c>
      <c r="CA113" s="10"/>
      <c r="CB113" s="10"/>
      <c r="CC113" s="10"/>
      <c r="CD113" s="10"/>
      <c r="CE113" s="213">
        <v>2013</v>
      </c>
      <c r="CF113" s="372">
        <v>567.29999999999995</v>
      </c>
    </row>
    <row r="114" spans="2:84" ht="26">
      <c r="B114" s="153" t="s">
        <v>36</v>
      </c>
      <c r="C114" s="148" t="s">
        <v>131</v>
      </c>
      <c r="D114" s="9">
        <f t="shared" si="23"/>
        <v>1</v>
      </c>
      <c r="E114" s="137">
        <f t="shared" si="22"/>
        <v>11.1068</v>
      </c>
      <c r="F114" s="149" t="s">
        <v>124</v>
      </c>
      <c r="G114" s="136">
        <f>'Design Calculations'!C365</f>
        <v>919.08770000000004</v>
      </c>
      <c r="H114" s="133">
        <f>IF(C114="No",(G114*'Constants &amp; Conversions'!$D$24)*$G$88/'Constants &amp; Conversions'!$D$29,D114*E114*((G114/('Summary Table'!$H$25/'Summary Table'!$C$111))*'Constants &amp; Conversions'!$D$24)*$G$88/'Constants &amp; Conversions'!$D$29)</f>
        <v>2.5724470631227199</v>
      </c>
      <c r="I114" s="149"/>
      <c r="J114" s="9"/>
      <c r="K114" s="133"/>
      <c r="L114" s="149"/>
      <c r="M114" s="9"/>
      <c r="N114" s="133"/>
      <c r="O114" s="9" t="s">
        <v>80</v>
      </c>
      <c r="P114" s="148" t="s">
        <v>407</v>
      </c>
      <c r="Q114" s="9">
        <v>150000</v>
      </c>
      <c r="R114" s="137">
        <f>E114</f>
        <v>11.1068</v>
      </c>
      <c r="S114" s="134">
        <f>Q114*R114/'Constants &amp; Conversions'!D29</f>
        <v>1.6660200000000001</v>
      </c>
      <c r="W114" s="27"/>
      <c r="X114" s="223">
        <v>7</v>
      </c>
      <c r="Y114" s="224"/>
      <c r="Z114" s="224">
        <f>IF(X114='Summary Table'!$H$27,-$Z$107+'Summary Table'!$H$28*ABS($Y$107),0)</f>
        <v>0</v>
      </c>
      <c r="AA114" s="224">
        <f t="shared" si="31"/>
        <v>-64.95113462994135</v>
      </c>
      <c r="AB114" s="224">
        <f>IF(X114&gt;'Summary Table'!$H$27,0,-$Y$99+Z114+AA114)</f>
        <v>-28.669361865078656</v>
      </c>
      <c r="AC114" s="224">
        <f t="shared" si="34"/>
        <v>481.50089054932226</v>
      </c>
      <c r="AD114" s="224">
        <f t="shared" si="35"/>
        <v>0</v>
      </c>
      <c r="AE114" s="224">
        <f t="shared" si="32"/>
        <v>-28.669361865078656</v>
      </c>
      <c r="AF114" s="225">
        <f t="shared" si="33"/>
        <v>36.281772764862694</v>
      </c>
      <c r="AG114" s="225">
        <f t="shared" si="30"/>
        <v>18.618286238091034</v>
      </c>
      <c r="AH114" s="226">
        <f>IF(X114&gt;'Summary Table'!$H$27,0,AG114+AH113)</f>
        <v>-864.56652956340452</v>
      </c>
      <c r="AI114" s="10"/>
      <c r="AJ114" s="213">
        <v>8</v>
      </c>
      <c r="AK114" s="219">
        <v>6.55</v>
      </c>
      <c r="AL114" s="10"/>
      <c r="AM114" s="327"/>
      <c r="AN114" s="327"/>
      <c r="AS114" s="27"/>
      <c r="AT114" s="678" t="s">
        <v>617</v>
      </c>
      <c r="AU114" s="678"/>
      <c r="AV114" s="678"/>
      <c r="BO114" s="27"/>
      <c r="BP114" s="213">
        <v>14</v>
      </c>
      <c r="BQ114" s="214"/>
      <c r="BR114" s="296">
        <f>IF(BP114='Summary Table'!$H$27,-$BR$100+'Summary Table'!$H$28*ABS($BQ$100),0)</f>
        <v>0</v>
      </c>
      <c r="BS114" s="296"/>
      <c r="BT114" s="296">
        <f>IF(BP114&gt;'Summary Table'!$H$27,0,-$BQ$92+BR114+BS114)</f>
        <v>-101.74828447324373</v>
      </c>
      <c r="BU114" s="214">
        <f t="shared" si="28"/>
        <v>2493.0192476228381</v>
      </c>
      <c r="BV114" s="214">
        <f t="shared" si="29"/>
        <v>0</v>
      </c>
      <c r="BW114" s="214">
        <f t="shared" si="26"/>
        <v>-101.74828447324373</v>
      </c>
      <c r="BX114" s="215">
        <f t="shared" si="27"/>
        <v>-101.74828447324373</v>
      </c>
      <c r="BY114" s="215">
        <f t="shared" si="24"/>
        <v>-26.79350337383109</v>
      </c>
      <c r="BZ114" s="298">
        <f>IF(BP114&gt;'Summary Table'!$H$27,0,BY114+BZ113)</f>
        <v>-1978.3539379383287</v>
      </c>
      <c r="CA114" s="10"/>
      <c r="CB114" s="10"/>
      <c r="CC114" s="10"/>
      <c r="CD114" s="10"/>
      <c r="CE114" s="213">
        <v>2014</v>
      </c>
      <c r="CF114" s="372">
        <v>576.1</v>
      </c>
    </row>
    <row r="115" spans="2:84" ht="17" thickBot="1">
      <c r="B115" s="56" t="s">
        <v>13</v>
      </c>
      <c r="C115" s="117" t="s">
        <v>131</v>
      </c>
      <c r="D115" s="54">
        <f t="shared" si="23"/>
        <v>1</v>
      </c>
      <c r="E115" s="144">
        <f t="shared" si="22"/>
        <v>1</v>
      </c>
      <c r="F115" s="150"/>
      <c r="G115" s="118"/>
      <c r="H115" s="192"/>
      <c r="I115" s="150" t="s">
        <v>44</v>
      </c>
      <c r="J115" s="54">
        <f>11827300*('Summary Table'!H25/'Summary Table'!C111)</f>
        <v>11827300</v>
      </c>
      <c r="K115" s="193">
        <f>IF(C115="No",$J$88*J115*'Constants &amp; Conversions'!D31*'Constants &amp; Conversions'!D19/'Constants &amp; Conversions'!D29,D115*E115*$J$88*(J115/('Summary Table'!$H$25/'Summary Table'!$C$111))*'Constants &amp; Conversions'!D31*'Constants &amp; Conversions'!D19/'Constants &amp; Conversions'!D29)</f>
        <v>5.6799510932798398</v>
      </c>
      <c r="L115" s="150" t="s">
        <v>44</v>
      </c>
      <c r="M115" s="54">
        <f>126435*('Summary Table'!$H$25/'Summary Table'!$C$111)</f>
        <v>126435</v>
      </c>
      <c r="N115" s="192">
        <f>IF(C115="No",$M$88*M115*'Constants &amp; Conversions'!D19/'Constants &amp; Conversions'!D29,D115*E115*$M$88*(M115/('Summary Table'!$H$25/'Summary Table'!$C$111))*'Constants &amp; Conversions'!D19/'Constants &amp; Conversions'!D29)</f>
        <v>23.066414862918002</v>
      </c>
      <c r="O115" s="54"/>
      <c r="P115" s="117"/>
      <c r="Q115" s="54"/>
      <c r="R115" s="54"/>
      <c r="S115" s="191"/>
      <c r="W115" s="27"/>
      <c r="X115" s="213">
        <v>8</v>
      </c>
      <c r="Y115" s="214"/>
      <c r="Z115" s="296">
        <f>IF(X115='Summary Table'!$H$27,-$Z$107+'Summary Table'!$H$28*ABS($Y$107),0)</f>
        <v>0</v>
      </c>
      <c r="AA115" s="296">
        <f t="shared" si="31"/>
        <v>-64.95113462994135</v>
      </c>
      <c r="AB115" s="296">
        <f>IF(X115&gt;'Summary Table'!$H$27,0,-$Y$99+Z115+AA115)</f>
        <v>-28.669361865078656</v>
      </c>
      <c r="AC115" s="214">
        <f t="shared" si="34"/>
        <v>510.17025241440092</v>
      </c>
      <c r="AD115" s="214">
        <f t="shared" si="35"/>
        <v>0</v>
      </c>
      <c r="AE115" s="214">
        <f t="shared" si="32"/>
        <v>-28.669361865078656</v>
      </c>
      <c r="AF115" s="215">
        <f t="shared" si="33"/>
        <v>36.281772764862694</v>
      </c>
      <c r="AG115" s="215">
        <f t="shared" si="30"/>
        <v>16.925714761900942</v>
      </c>
      <c r="AH115" s="298">
        <f>IF(X115&gt;'Summary Table'!$H$27,0,AG115+AH114)</f>
        <v>-847.64081480150355</v>
      </c>
      <c r="AI115" s="10"/>
      <c r="AJ115" s="213">
        <v>9</v>
      </c>
      <c r="AK115" s="219">
        <v>6.56</v>
      </c>
      <c r="AL115" s="10"/>
      <c r="AM115" s="327"/>
      <c r="AN115" s="327"/>
      <c r="AS115" s="27"/>
      <c r="BO115" s="27"/>
      <c r="BP115" s="223">
        <v>15</v>
      </c>
      <c r="BQ115" s="224"/>
      <c r="BR115" s="224">
        <f>IF(BP115='Summary Table'!$H$27,-$BR$100+'Summary Table'!$H$28*ABS($BQ$100),0)</f>
        <v>0</v>
      </c>
      <c r="BS115" s="224"/>
      <c r="BT115" s="224">
        <f>IF(BP115&gt;'Summary Table'!$H$27,0,-$BQ$92+BR115+BS115)</f>
        <v>-101.74828447324373</v>
      </c>
      <c r="BU115" s="224">
        <f t="shared" si="28"/>
        <v>2594.7675320960816</v>
      </c>
      <c r="BV115" s="224">
        <f t="shared" si="29"/>
        <v>0</v>
      </c>
      <c r="BW115" s="224">
        <f t="shared" si="26"/>
        <v>-101.74828447324373</v>
      </c>
      <c r="BX115" s="225">
        <f t="shared" si="27"/>
        <v>-101.74828447324373</v>
      </c>
      <c r="BY115" s="225">
        <f t="shared" si="24"/>
        <v>-24.357730339846444</v>
      </c>
      <c r="BZ115" s="226">
        <f>IF(BP115&gt;'Summary Table'!$H$27,0,BY115+BZ114)</f>
        <v>-2002.7116682781752</v>
      </c>
      <c r="CA115" s="10"/>
      <c r="CB115" s="10"/>
      <c r="CC115" s="10"/>
      <c r="CD115" s="10"/>
      <c r="CE115" s="213">
        <v>2015</v>
      </c>
      <c r="CF115" s="372">
        <v>556.79999999999995</v>
      </c>
    </row>
    <row r="116" spans="2:84" ht="17" thickBot="1">
      <c r="B116" s="153" t="s">
        <v>37</v>
      </c>
      <c r="C116" s="148" t="s">
        <v>131</v>
      </c>
      <c r="D116" s="9">
        <f t="shared" si="23"/>
        <v>1</v>
      </c>
      <c r="E116" s="145">
        <f t="shared" si="22"/>
        <v>1</v>
      </c>
      <c r="F116" s="149"/>
      <c r="G116" s="136"/>
      <c r="H116" s="133"/>
      <c r="I116" s="149" t="s">
        <v>44</v>
      </c>
      <c r="J116" s="9">
        <f>1417060*('Summary Table'!H25/'Summary Table'!C111)</f>
        <v>1417060</v>
      </c>
      <c r="K116" s="138">
        <f>IF(C116="No",$J$88*J116*'Constants &amp; Conversions'!D31*'Constants &amp; Conversions'!D19/'Constants &amp; Conversions'!D29,D116*E116*$J$88*(J116/('Summary Table'!$H$25/'Summary Table'!$C$111))*'Constants &amp; Conversions'!D31*'Constants &amp; Conversions'!D19/'Constants &amp; Conversions'!D29)</f>
        <v>0.68052991775325977</v>
      </c>
      <c r="L116" s="149"/>
      <c r="M116" s="9"/>
      <c r="N116" s="133"/>
      <c r="O116" s="9"/>
      <c r="P116" s="148"/>
      <c r="Q116" s="9"/>
      <c r="R116" s="9"/>
      <c r="S116" s="134"/>
      <c r="W116" s="27"/>
      <c r="X116" s="223">
        <v>9</v>
      </c>
      <c r="Y116" s="224"/>
      <c r="Z116" s="224">
        <f>IF(X116='Summary Table'!$H$27,-$Z$107+'Summary Table'!$H$28*ABS($Y$107),0)</f>
        <v>0</v>
      </c>
      <c r="AA116" s="224">
        <f t="shared" si="31"/>
        <v>-65.050296667544302</v>
      </c>
      <c r="AB116" s="224">
        <f>IF(X116&gt;'Summary Table'!$H$27,0,-$Y$99+Z116+AA116)</f>
        <v>-28.768523902681608</v>
      </c>
      <c r="AC116" s="224">
        <f t="shared" si="34"/>
        <v>538.83961427947952</v>
      </c>
      <c r="AD116" s="224">
        <f t="shared" si="35"/>
        <v>0</v>
      </c>
      <c r="AE116" s="224">
        <f t="shared" si="32"/>
        <v>-28.768523902681608</v>
      </c>
      <c r="AF116" s="225">
        <f t="shared" si="33"/>
        <v>36.281772764862694</v>
      </c>
      <c r="AG116" s="225">
        <f t="shared" si="30"/>
        <v>15.387013419909946</v>
      </c>
      <c r="AH116" s="226">
        <f>IF(X116&gt;'Summary Table'!$H$27,0,AG116+AH115)</f>
        <v>-832.25380138159358</v>
      </c>
      <c r="AI116" s="10"/>
      <c r="AJ116" s="213">
        <v>10</v>
      </c>
      <c r="AK116" s="219">
        <v>6.55</v>
      </c>
      <c r="AL116" s="10"/>
      <c r="AM116" s="327"/>
      <c r="AN116" s="327"/>
      <c r="AS116" s="27"/>
      <c r="AT116" s="103"/>
      <c r="AU116" s="104" t="s">
        <v>89</v>
      </c>
      <c r="AV116" s="104" t="s">
        <v>90</v>
      </c>
      <c r="AW116" s="104" t="s">
        <v>92</v>
      </c>
      <c r="AX116" s="104" t="s">
        <v>93</v>
      </c>
      <c r="AY116" s="104" t="s">
        <v>91</v>
      </c>
      <c r="AZ116" s="105" t="s">
        <v>95</v>
      </c>
      <c r="BO116" s="27"/>
      <c r="BP116" s="213">
        <v>16</v>
      </c>
      <c r="BQ116" s="214"/>
      <c r="BR116" s="296">
        <f>IF(BP116='Summary Table'!$H$27,-$BR$100+'Summary Table'!$H$28*ABS($BQ$100),0)</f>
        <v>0</v>
      </c>
      <c r="BS116" s="296"/>
      <c r="BT116" s="296">
        <f>IF(BP116&gt;'Summary Table'!$H$27,0,-$BQ$92+BR116+BS116)</f>
        <v>-101.74828447324373</v>
      </c>
      <c r="BU116" s="214">
        <f t="shared" si="28"/>
        <v>2696.5158165693251</v>
      </c>
      <c r="BV116" s="214">
        <f t="shared" si="29"/>
        <v>0</v>
      </c>
      <c r="BW116" s="214">
        <f t="shared" si="26"/>
        <v>-101.74828447324373</v>
      </c>
      <c r="BX116" s="215">
        <f t="shared" si="27"/>
        <v>-101.74828447324373</v>
      </c>
      <c r="BY116" s="215">
        <f t="shared" si="24"/>
        <v>-22.143391218042222</v>
      </c>
      <c r="BZ116" s="298">
        <f>IF(BP116&gt;'Summary Table'!$H$27,0,BY116+BZ115)</f>
        <v>-2024.8550594962176</v>
      </c>
      <c r="CA116" s="10"/>
      <c r="CB116" s="10"/>
      <c r="CC116" s="10"/>
      <c r="CD116" s="10"/>
      <c r="CE116" s="213">
        <v>2016</v>
      </c>
      <c r="CF116" s="372">
        <v>541.70000000000005</v>
      </c>
    </row>
    <row r="117" spans="2:84" ht="17" thickBot="1">
      <c r="B117" s="56" t="s">
        <v>14</v>
      </c>
      <c r="C117" s="117" t="s">
        <v>131</v>
      </c>
      <c r="D117" s="54">
        <f t="shared" si="23"/>
        <v>1</v>
      </c>
      <c r="E117" s="144">
        <f t="shared" si="22"/>
        <v>0.86223021582733805</v>
      </c>
      <c r="F117" s="150" t="s">
        <v>124</v>
      </c>
      <c r="G117" s="118">
        <f>'Design Calculations'!C356</f>
        <v>299.625</v>
      </c>
      <c r="H117" s="192">
        <f>IF(C117="No",(G117*'Constants &amp; Conversions'!$D$24)*$G$88/'Constants &amp; Conversions'!$D$29,D117*E117*((G117/('Summary Table'!$H$25/'Summary Table'!$C$111))*'Constants &amp; Conversions'!$D$24)*$G$88/'Constants &amp; Conversions'!$D$29)</f>
        <v>6.5103123561151069E-2</v>
      </c>
      <c r="I117" s="150"/>
      <c r="J117" s="54"/>
      <c r="K117" s="192"/>
      <c r="L117" s="150"/>
      <c r="M117" s="54"/>
      <c r="N117" s="192"/>
      <c r="O117" s="54" t="s">
        <v>80</v>
      </c>
      <c r="P117" s="117" t="s">
        <v>407</v>
      </c>
      <c r="Q117" s="54">
        <v>100000</v>
      </c>
      <c r="R117" s="120">
        <f>E117</f>
        <v>0.86223021582733805</v>
      </c>
      <c r="S117" s="191">
        <f>Q117*R117/'Constants &amp; Conversions'!D29</f>
        <v>8.6223021582733816E-2</v>
      </c>
      <c r="W117" s="27"/>
      <c r="X117" s="213">
        <v>10</v>
      </c>
      <c r="Y117" s="214"/>
      <c r="Z117" s="296">
        <f>IF(X117='Summary Table'!$H$27,-$Z$107+'Summary Table'!$H$28*ABS($Y$107),0)</f>
        <v>0</v>
      </c>
      <c r="AA117" s="296">
        <f t="shared" si="31"/>
        <v>-64.95113462994135</v>
      </c>
      <c r="AB117" s="296">
        <f>IF(X117&gt;'Summary Table'!$H$27,0,-$Y$99+Z117+AA117)</f>
        <v>-28.669361865078656</v>
      </c>
      <c r="AC117" s="214">
        <f t="shared" si="34"/>
        <v>567.60813818216116</v>
      </c>
      <c r="AD117" s="214">
        <f t="shared" si="35"/>
        <v>0</v>
      </c>
      <c r="AE117" s="214">
        <f t="shared" si="32"/>
        <v>-28.669361865078656</v>
      </c>
      <c r="AF117" s="215">
        <f t="shared" si="33"/>
        <v>36.281772764862694</v>
      </c>
      <c r="AG117" s="215">
        <f t="shared" si="30"/>
        <v>13.98819401809995</v>
      </c>
      <c r="AH117" s="298">
        <f>IF(X117&gt;'Summary Table'!$H$27,0,AG117+AH116)</f>
        <v>-818.26560736349359</v>
      </c>
      <c r="AI117" s="10"/>
      <c r="AJ117" s="217">
        <v>11</v>
      </c>
      <c r="AK117" s="220">
        <v>3.28</v>
      </c>
      <c r="AL117" s="10"/>
      <c r="AM117" s="327"/>
      <c r="AN117" s="327"/>
      <c r="AS117" s="27"/>
      <c r="AT117" s="59" t="s">
        <v>81</v>
      </c>
      <c r="AU117" s="30">
        <f>'Summary Table'!H35</f>
        <v>32</v>
      </c>
      <c r="AV117" s="30">
        <f>SUM(BB23:BB45)</f>
        <v>54.629999999999995</v>
      </c>
      <c r="AW117" s="30">
        <v>40</v>
      </c>
      <c r="AX117" s="30">
        <v>4.5</v>
      </c>
      <c r="AY117" s="109">
        <f>365.25/7</f>
        <v>52.178571428571431</v>
      </c>
      <c r="AZ117" s="196">
        <f>AU117*AV117*AW117*AX117*AY117/'Constants &amp; Conversions'!D29</f>
        <v>16.418968457142856</v>
      </c>
      <c r="BO117" s="27"/>
      <c r="BP117" s="223">
        <v>17</v>
      </c>
      <c r="BQ117" s="224"/>
      <c r="BR117" s="224">
        <f>IF(BP117='Summary Table'!$H$27,-$BR$100+'Summary Table'!$H$28*ABS($BQ$100),0)</f>
        <v>0</v>
      </c>
      <c r="BS117" s="224"/>
      <c r="BT117" s="224">
        <f>IF(BP117&gt;'Summary Table'!$H$27,0,-$BQ$92+BR117+BS117)</f>
        <v>-101.74828447324373</v>
      </c>
      <c r="BU117" s="224">
        <f t="shared" si="28"/>
        <v>2798.2641010425687</v>
      </c>
      <c r="BV117" s="224">
        <f t="shared" si="29"/>
        <v>0</v>
      </c>
      <c r="BW117" s="224">
        <f t="shared" si="26"/>
        <v>-101.74828447324373</v>
      </c>
      <c r="BX117" s="225">
        <f t="shared" si="27"/>
        <v>-101.74828447324373</v>
      </c>
      <c r="BY117" s="225">
        <f t="shared" si="24"/>
        <v>-20.130355652765655</v>
      </c>
      <c r="BZ117" s="226">
        <f>IF(BP117&gt;'Summary Table'!$H$27,0,BY117+BZ116)</f>
        <v>-2044.9854151489833</v>
      </c>
      <c r="CA117" s="10"/>
      <c r="CB117" s="10"/>
      <c r="CC117" s="10"/>
      <c r="CD117" s="10"/>
      <c r="CE117" s="213">
        <v>2017</v>
      </c>
      <c r="CF117" s="372">
        <v>567.5</v>
      </c>
    </row>
    <row r="118" spans="2:84" ht="17" thickBot="1">
      <c r="B118" s="172" t="s">
        <v>38</v>
      </c>
      <c r="C118" s="175" t="s">
        <v>131</v>
      </c>
      <c r="D118" s="139">
        <f t="shared" si="23"/>
        <v>1</v>
      </c>
      <c r="E118" s="176">
        <f t="shared" si="22"/>
        <v>0.38782875</v>
      </c>
      <c r="F118" s="175" t="s">
        <v>124</v>
      </c>
      <c r="G118" s="173">
        <f>400*('Summary Table'!H25/'Summary Table'!C111)</f>
        <v>400</v>
      </c>
      <c r="H118" s="140">
        <f>IF(C118="No",(G118*'Constants &amp; Conversions'!$D$24)*$G$88/'Constants &amp; Conversions'!$D$29,D118*E118*((G118/('Summary Table'!$H$25/'Summary Table'!$C$111))*'Constants &amp; Conversions'!$D$24)*$G$88/'Constants &amp; Conversions'!$D$29)</f>
        <v>3.9093137999999999E-2</v>
      </c>
      <c r="I118" s="177"/>
      <c r="J118" s="139"/>
      <c r="K118" s="140"/>
      <c r="L118" s="177"/>
      <c r="M118" s="139"/>
      <c r="N118" s="140"/>
      <c r="O118" s="139"/>
      <c r="P118" s="175"/>
      <c r="Q118" s="139"/>
      <c r="R118" s="139"/>
      <c r="S118" s="141"/>
      <c r="W118" s="27"/>
      <c r="X118" s="223">
        <v>11</v>
      </c>
      <c r="Y118" s="224"/>
      <c r="Z118" s="224">
        <f>IF(X118='Summary Table'!$H$27,-$Z$107+'Summary Table'!$H$28*ABS($Y$107),0)</f>
        <v>0</v>
      </c>
      <c r="AA118" s="224">
        <f t="shared" si="31"/>
        <v>-32.525148333772151</v>
      </c>
      <c r="AB118" s="224">
        <f>IF(X118&gt;'Summary Table'!$H$27,0,-$Y$99+Z118+AA118)</f>
        <v>3.7566244310905432</v>
      </c>
      <c r="AC118" s="224">
        <f t="shared" si="34"/>
        <v>596.27750004723976</v>
      </c>
      <c r="AD118" s="224">
        <f t="shared" si="35"/>
        <v>3.0052995448724347</v>
      </c>
      <c r="AE118" s="224">
        <f t="shared" si="32"/>
        <v>3.5635339353324893</v>
      </c>
      <c r="AF118" s="225">
        <f t="shared" si="33"/>
        <v>36.088682269104638</v>
      </c>
      <c r="AG118" s="225">
        <f t="shared" si="30"/>
        <v>12.648862975643462</v>
      </c>
      <c r="AH118" s="226">
        <f>IF(X118&gt;'Summary Table'!$H$27,0,AG118+AH117)</f>
        <v>-805.61674438785008</v>
      </c>
      <c r="AI118" s="10"/>
      <c r="AJ118" s="10"/>
      <c r="AK118" s="10"/>
      <c r="AL118" s="10"/>
      <c r="AM118" s="327"/>
      <c r="AN118" s="327"/>
      <c r="AS118" s="27"/>
      <c r="AT118" s="5"/>
      <c r="AU118" s="5"/>
      <c r="AV118" s="5"/>
      <c r="AW118" s="5"/>
      <c r="AX118" s="5"/>
      <c r="AY118" s="5"/>
      <c r="AZ118" s="5"/>
      <c r="BO118" s="27"/>
      <c r="BP118" s="213">
        <v>18</v>
      </c>
      <c r="BQ118" s="214"/>
      <c r="BR118" s="296">
        <f>IF(BP118='Summary Table'!$H$27,-$BR$100+'Summary Table'!$H$28*ABS($BQ$100),0)</f>
        <v>0</v>
      </c>
      <c r="BS118" s="296"/>
      <c r="BT118" s="296">
        <f>IF(BP118&gt;'Summary Table'!$H$27,0,-$BQ$92+BR118+BS118)</f>
        <v>-101.74828447324373</v>
      </c>
      <c r="BU118" s="214">
        <f t="shared" si="28"/>
        <v>2900.0123855158122</v>
      </c>
      <c r="BV118" s="214">
        <f t="shared" si="29"/>
        <v>0</v>
      </c>
      <c r="BW118" s="214">
        <f t="shared" si="26"/>
        <v>-101.74828447324373</v>
      </c>
      <c r="BX118" s="215">
        <f t="shared" si="27"/>
        <v>-101.74828447324373</v>
      </c>
      <c r="BY118" s="215">
        <f t="shared" si="24"/>
        <v>-18.300323320696048</v>
      </c>
      <c r="BZ118" s="298">
        <f>IF(BP118&gt;'Summary Table'!$H$27,0,BY118+BZ117)</f>
        <v>-2063.2857384696795</v>
      </c>
      <c r="CA118" s="10"/>
      <c r="CB118" s="10"/>
      <c r="CC118" s="10"/>
      <c r="CD118" s="10"/>
      <c r="CE118" s="213">
        <v>2018</v>
      </c>
      <c r="CF118" s="372">
        <v>603.1</v>
      </c>
    </row>
    <row r="119" spans="2:84" ht="17" thickBot="1">
      <c r="B119" s="9"/>
      <c r="C119" s="9"/>
      <c r="D119" s="9"/>
      <c r="E119" s="9"/>
      <c r="F119" s="187"/>
      <c r="G119" s="188"/>
      <c r="H119" s="17"/>
      <c r="I119" s="187"/>
      <c r="J119" s="188"/>
      <c r="K119" s="17"/>
      <c r="L119" s="189"/>
      <c r="M119" s="190"/>
      <c r="N119" s="17"/>
      <c r="O119" s="700"/>
      <c r="P119" s="700"/>
      <c r="Q119" s="700"/>
      <c r="R119" s="190"/>
      <c r="S119" s="17"/>
      <c r="W119" s="27"/>
      <c r="X119" s="213">
        <v>12</v>
      </c>
      <c r="Y119" s="214"/>
      <c r="Z119" s="296">
        <f>IF(X119='Summary Table'!$H$27,-$Z$107+'Summary Table'!$H$28*ABS($Y$107),0)</f>
        <v>0</v>
      </c>
      <c r="AA119" s="296"/>
      <c r="AB119" s="296">
        <f>IF(X119&gt;'Summary Table'!$H$27,0,-$Y$99+Z119+AA119)</f>
        <v>36.281772764862694</v>
      </c>
      <c r="AC119" s="214">
        <f t="shared" si="34"/>
        <v>593.27220050236735</v>
      </c>
      <c r="AD119" s="214">
        <f t="shared" si="35"/>
        <v>29.025418211890155</v>
      </c>
      <c r="AE119" s="214">
        <f t="shared" si="32"/>
        <v>34.41688964474875</v>
      </c>
      <c r="AF119" s="215">
        <f t="shared" si="33"/>
        <v>34.41688964474875</v>
      </c>
      <c r="AG119" s="215">
        <f t="shared" si="30"/>
        <v>10.966281690553396</v>
      </c>
      <c r="AH119" s="298">
        <f>IF(X119&gt;'Summary Table'!$H$27,0,AG119+AH118)</f>
        <v>-794.65046269729669</v>
      </c>
      <c r="AI119" s="10"/>
      <c r="AJ119" s="10"/>
      <c r="AK119" s="10"/>
      <c r="AL119" s="10"/>
      <c r="AM119" s="327"/>
      <c r="AN119" s="327"/>
      <c r="AS119" s="27"/>
      <c r="AT119" s="335"/>
      <c r="AU119" s="104" t="s">
        <v>94</v>
      </c>
      <c r="AV119" s="105" t="s">
        <v>96</v>
      </c>
      <c r="AW119" s="5"/>
      <c r="AX119" s="5"/>
      <c r="AY119" s="5"/>
      <c r="AZ119" s="5"/>
      <c r="BO119" s="27"/>
      <c r="BP119" s="223">
        <v>19</v>
      </c>
      <c r="BQ119" s="224"/>
      <c r="BR119" s="224">
        <f>IF(BP119='Summary Table'!$H$27,-$BR$100+'Summary Table'!$H$28*ABS($BQ$100),0)</f>
        <v>0</v>
      </c>
      <c r="BS119" s="224"/>
      <c r="BT119" s="224">
        <f>IF(BP119&gt;'Summary Table'!$H$27,0,-$BQ$92+BR119+BS119)</f>
        <v>-101.74828447324373</v>
      </c>
      <c r="BU119" s="224">
        <f t="shared" si="28"/>
        <v>3001.7606699890557</v>
      </c>
      <c r="BV119" s="224">
        <f t="shared" si="29"/>
        <v>0</v>
      </c>
      <c r="BW119" s="224">
        <f t="shared" si="26"/>
        <v>-101.74828447324373</v>
      </c>
      <c r="BX119" s="225">
        <f t="shared" si="27"/>
        <v>-101.74828447324373</v>
      </c>
      <c r="BY119" s="225">
        <f t="shared" si="24"/>
        <v>-16.636657564269132</v>
      </c>
      <c r="BZ119" s="226">
        <f>IF(BP119&gt;'Summary Table'!$H$27,0,BY119+BZ118)</f>
        <v>-2079.9223960339486</v>
      </c>
      <c r="CA119" s="10"/>
      <c r="CB119" s="10"/>
      <c r="CC119" s="10"/>
      <c r="CD119" s="10"/>
      <c r="CE119" s="213">
        <v>2019</v>
      </c>
      <c r="CF119" s="372">
        <v>607.5</v>
      </c>
    </row>
    <row r="120" spans="2:84" ht="22" thickBot="1">
      <c r="B120" s="179" t="s">
        <v>621</v>
      </c>
      <c r="C120" s="180">
        <f>SUM(H90:H118)</f>
        <v>159.63327589983754</v>
      </c>
      <c r="D120" s="181" t="s">
        <v>616</v>
      </c>
      <c r="E120" s="9"/>
      <c r="F120" s="187"/>
      <c r="G120" s="188"/>
      <c r="H120" s="17"/>
      <c r="I120" s="187"/>
      <c r="J120" s="188"/>
      <c r="K120" s="17"/>
      <c r="L120" s="189"/>
      <c r="M120" s="190"/>
      <c r="N120" s="17"/>
      <c r="O120" s="189"/>
      <c r="P120" s="189"/>
      <c r="Q120" s="189"/>
      <c r="R120" s="190"/>
      <c r="S120" s="17"/>
      <c r="W120" s="27"/>
      <c r="X120" s="223">
        <v>13</v>
      </c>
      <c r="Y120" s="224"/>
      <c r="Z120" s="224">
        <f>IF(X120='Summary Table'!$H$27,-$Z$107+'Summary Table'!$H$28*ABS($Y$107),0)</f>
        <v>0</v>
      </c>
      <c r="AA120" s="224"/>
      <c r="AB120" s="224">
        <f>IF(X120&gt;'Summary Table'!$H$27,0,-$Y$99+Z120+AA120)</f>
        <v>36.281772764862694</v>
      </c>
      <c r="AC120" s="224">
        <f t="shared" si="34"/>
        <v>564.2467822904772</v>
      </c>
      <c r="AD120" s="224">
        <f t="shared" si="35"/>
        <v>29.025418211890155</v>
      </c>
      <c r="AE120" s="224">
        <f t="shared" si="32"/>
        <v>34.41688964474875</v>
      </c>
      <c r="AF120" s="225">
        <f t="shared" si="33"/>
        <v>34.41688964474875</v>
      </c>
      <c r="AG120" s="225">
        <f t="shared" si="30"/>
        <v>9.9693469914121788</v>
      </c>
      <c r="AH120" s="226">
        <f>IF(X120&gt;'Summary Table'!$H$27,0,AG120+AH119)</f>
        <v>-784.68111570588451</v>
      </c>
      <c r="AI120" s="10"/>
      <c r="AJ120" s="10"/>
      <c r="AK120" s="10"/>
      <c r="AL120" s="10"/>
      <c r="AM120" s="327"/>
      <c r="AN120" s="327"/>
      <c r="AS120" s="27"/>
      <c r="AT120" s="42" t="s">
        <v>82</v>
      </c>
      <c r="AU120" s="166">
        <v>0.22500000000000001</v>
      </c>
      <c r="AV120" s="126">
        <f>$AZ$117*AU120</f>
        <v>3.6942679028571428</v>
      </c>
      <c r="AW120" s="5"/>
      <c r="AX120" s="5"/>
      <c r="AY120" s="5"/>
      <c r="AZ120" s="5"/>
      <c r="BO120" s="27"/>
      <c r="BP120" s="213">
        <v>20</v>
      </c>
      <c r="BQ120" s="214"/>
      <c r="BR120" s="296">
        <f>IF(BP120='Summary Table'!$H$27,-$BR$100+'Summary Table'!$H$28*ABS($BQ$100),0)</f>
        <v>0</v>
      </c>
      <c r="BS120" s="296"/>
      <c r="BT120" s="296">
        <f>IF(BP120&gt;'Summary Table'!$H$27,0,-$BQ$92+BR120+BS120)</f>
        <v>-101.74828447324373</v>
      </c>
      <c r="BU120" s="214">
        <f t="shared" si="28"/>
        <v>3103.5089544622992</v>
      </c>
      <c r="BV120" s="214">
        <f t="shared" si="29"/>
        <v>0</v>
      </c>
      <c r="BW120" s="214">
        <f t="shared" si="26"/>
        <v>-101.74828447324373</v>
      </c>
      <c r="BX120" s="215">
        <f t="shared" si="27"/>
        <v>-101.74828447324373</v>
      </c>
      <c r="BY120" s="215">
        <f t="shared" si="24"/>
        <v>-15.124234149335575</v>
      </c>
      <c r="BZ120" s="298">
        <f>IF(BP120&gt;'Summary Table'!$H$27,0,BY120+BZ119)</f>
        <v>-2095.0466301832844</v>
      </c>
      <c r="CA120" s="10"/>
      <c r="CB120" s="10"/>
      <c r="CC120" s="10"/>
      <c r="CD120" s="10"/>
      <c r="CE120" s="217">
        <v>2020</v>
      </c>
      <c r="CF120" s="394">
        <v>607.5</v>
      </c>
    </row>
    <row r="121" spans="2:84" ht="21">
      <c r="B121" s="182" t="s">
        <v>622</v>
      </c>
      <c r="C121" s="178">
        <f>SUM(K90:K118)</f>
        <v>45.43635986883254</v>
      </c>
      <c r="D121" s="183" t="s">
        <v>616</v>
      </c>
      <c r="E121" s="9"/>
      <c r="F121" s="187"/>
      <c r="G121" s="188"/>
      <c r="H121" s="17"/>
      <c r="I121" s="187"/>
      <c r="J121" s="188"/>
      <c r="K121" s="17"/>
      <c r="L121" s="189"/>
      <c r="M121" s="190"/>
      <c r="N121" s="17"/>
      <c r="O121" s="189"/>
      <c r="P121" s="189"/>
      <c r="Q121" s="189"/>
      <c r="R121" s="190"/>
      <c r="S121" s="17"/>
      <c r="W121" s="27"/>
      <c r="X121" s="213">
        <v>14</v>
      </c>
      <c r="Y121" s="214"/>
      <c r="Z121" s="296">
        <f>IF(X121='Summary Table'!$H$27,-$Z$107+'Summary Table'!$H$28*ABS($Y$107),0)</f>
        <v>0</v>
      </c>
      <c r="AA121" s="296"/>
      <c r="AB121" s="296">
        <f>IF(X121&gt;'Summary Table'!$H$27,0,-$Y$99+Z121+AA121)</f>
        <v>36.281772764862694</v>
      </c>
      <c r="AC121" s="214">
        <f t="shared" si="34"/>
        <v>535.22136407858704</v>
      </c>
      <c r="AD121" s="214">
        <f t="shared" si="35"/>
        <v>29.025418211890155</v>
      </c>
      <c r="AE121" s="214">
        <f t="shared" si="32"/>
        <v>34.41688964474875</v>
      </c>
      <c r="AF121" s="215">
        <f t="shared" si="33"/>
        <v>34.41688964474875</v>
      </c>
      <c r="AG121" s="215">
        <f t="shared" si="30"/>
        <v>9.0630427194656153</v>
      </c>
      <c r="AH121" s="298">
        <f>IF(X121&gt;'Summary Table'!$H$27,0,AG121+AH120)</f>
        <v>-775.61807298641884</v>
      </c>
      <c r="AI121" s="10"/>
      <c r="AJ121" s="10"/>
      <c r="AK121" s="10"/>
      <c r="AL121" s="10"/>
      <c r="AM121" s="327"/>
      <c r="AN121" s="327"/>
      <c r="AS121" s="27"/>
      <c r="AT121" s="56" t="s">
        <v>83</v>
      </c>
      <c r="AU121" s="168">
        <v>0.15</v>
      </c>
      <c r="AV121" s="191">
        <f>$AZ$117*AU121</f>
        <v>2.4628452685714284</v>
      </c>
      <c r="AW121" s="5"/>
      <c r="AX121" s="5"/>
      <c r="AY121" s="5"/>
      <c r="AZ121" s="5"/>
      <c r="BO121" s="27"/>
      <c r="BP121" s="223">
        <v>21</v>
      </c>
      <c r="BQ121" s="224"/>
      <c r="BR121" s="224">
        <f>IF(BP121='Summary Table'!$H$27,-$BR$100+'Summary Table'!$H$28*ABS($BQ$100),0)</f>
        <v>0</v>
      </c>
      <c r="BS121" s="224"/>
      <c r="BT121" s="224">
        <f>IF(BP121&gt;'Summary Table'!$H$27,0,-$BQ$92+BR121+BS121)</f>
        <v>-101.74828447324373</v>
      </c>
      <c r="BU121" s="224">
        <f t="shared" si="28"/>
        <v>3205.2572389355428</v>
      </c>
      <c r="BV121" s="224">
        <f t="shared" si="29"/>
        <v>0</v>
      </c>
      <c r="BW121" s="224">
        <f t="shared" si="26"/>
        <v>-101.74828447324373</v>
      </c>
      <c r="BX121" s="225">
        <f t="shared" si="27"/>
        <v>-101.74828447324373</v>
      </c>
      <c r="BY121" s="225">
        <f t="shared" si="24"/>
        <v>-13.749303772123248</v>
      </c>
      <c r="BZ121" s="226">
        <f>IF(BP121&gt;'Summary Table'!$H$27,0,BY121+BZ120)</f>
        <v>-2108.7959339554077</v>
      </c>
      <c r="CA121" s="10"/>
      <c r="CB121" s="10"/>
      <c r="CC121" s="10"/>
      <c r="CD121" s="10"/>
      <c r="CE121" s="10"/>
    </row>
    <row r="122" spans="2:84" ht="22" thickBot="1">
      <c r="B122" s="182" t="s">
        <v>623</v>
      </c>
      <c r="C122" s="178">
        <f>SUM(N90:N118)</f>
        <v>182.16989160312934</v>
      </c>
      <c r="D122" s="183" t="s">
        <v>616</v>
      </c>
      <c r="E122" s="9"/>
      <c r="F122" s="187"/>
      <c r="G122" s="188"/>
      <c r="H122" s="17"/>
      <c r="I122" s="187"/>
      <c r="J122" s="188"/>
      <c r="K122" s="17"/>
      <c r="L122" s="189"/>
      <c r="M122" s="190"/>
      <c r="N122" s="17"/>
      <c r="O122" s="189"/>
      <c r="P122" s="189"/>
      <c r="Q122" s="189"/>
      <c r="R122" s="190"/>
      <c r="S122" s="17"/>
      <c r="W122" s="27"/>
      <c r="X122" s="223">
        <v>15</v>
      </c>
      <c r="Y122" s="224"/>
      <c r="Z122" s="224">
        <f>IF(X122='Summary Table'!$H$27,-$Z$107+'Summary Table'!$H$28*ABS($Y$107),0)</f>
        <v>0</v>
      </c>
      <c r="AA122" s="224"/>
      <c r="AB122" s="224">
        <f>IF(X122&gt;'Summary Table'!$H$27,0,-$Y$99+Z122+AA122)</f>
        <v>36.281772764862694</v>
      </c>
      <c r="AC122" s="224">
        <f t="shared" si="34"/>
        <v>506.19594586669689</v>
      </c>
      <c r="AD122" s="224">
        <f t="shared" si="35"/>
        <v>29.025418211890155</v>
      </c>
      <c r="AE122" s="224">
        <f t="shared" si="32"/>
        <v>34.41688964474875</v>
      </c>
      <c r="AF122" s="225">
        <f t="shared" si="33"/>
        <v>34.41688964474875</v>
      </c>
      <c r="AG122" s="225">
        <f t="shared" si="30"/>
        <v>8.2391297449687411</v>
      </c>
      <c r="AH122" s="226">
        <f>IF(X122&gt;'Summary Table'!$H$27,0,AG122+AH121)</f>
        <v>-767.37894324145009</v>
      </c>
      <c r="AI122" s="10"/>
      <c r="AJ122" s="10"/>
      <c r="AK122" s="10"/>
      <c r="AL122" s="10"/>
      <c r="AM122" s="327"/>
      <c r="AN122" s="327"/>
      <c r="AS122" s="27"/>
      <c r="AT122" s="43" t="s">
        <v>84</v>
      </c>
      <c r="AU122" s="194">
        <v>0.5</v>
      </c>
      <c r="AV122" s="128">
        <f>$AZ$117*AU122</f>
        <v>8.2094842285714282</v>
      </c>
      <c r="AW122" s="5"/>
      <c r="AX122" s="5"/>
      <c r="AY122" s="5"/>
      <c r="AZ122" s="5"/>
      <c r="BO122" s="27"/>
      <c r="BP122" s="213">
        <v>22</v>
      </c>
      <c r="BQ122" s="214"/>
      <c r="BR122" s="296">
        <f>IF(BP122='Summary Table'!$H$27,-$BR$100+'Summary Table'!$H$28*ABS($BQ$100),0)</f>
        <v>0</v>
      </c>
      <c r="BS122" s="296"/>
      <c r="BT122" s="296">
        <f>IF(BP122&gt;'Summary Table'!$H$27,0,-$BQ$92+BR122+BS122)</f>
        <v>-101.74828447324373</v>
      </c>
      <c r="BU122" s="214">
        <f t="shared" si="28"/>
        <v>3307.0055234087863</v>
      </c>
      <c r="BV122" s="214">
        <f t="shared" si="29"/>
        <v>0</v>
      </c>
      <c r="BW122" s="214">
        <f t="shared" si="26"/>
        <v>-101.74828447324373</v>
      </c>
      <c r="BX122" s="215">
        <f t="shared" si="27"/>
        <v>-101.74828447324373</v>
      </c>
      <c r="BY122" s="215">
        <f t="shared" si="24"/>
        <v>-12.499367065566588</v>
      </c>
      <c r="BZ122" s="298">
        <f>IF(BP122&gt;'Summary Table'!$H$27,0,BY122+BZ121)</f>
        <v>-2121.2953010209744</v>
      </c>
      <c r="CA122" s="10"/>
      <c r="CB122" s="10"/>
      <c r="CC122" s="10"/>
      <c r="CD122" s="10"/>
      <c r="CE122" s="10"/>
    </row>
    <row r="123" spans="2:84" ht="22" thickBot="1">
      <c r="B123" s="184" t="s">
        <v>624</v>
      </c>
      <c r="C123" s="185">
        <f>SUM(S90:S118)</f>
        <v>30.672634288526467</v>
      </c>
      <c r="D123" s="186" t="s">
        <v>616</v>
      </c>
      <c r="E123" s="9"/>
      <c r="F123" s="187"/>
      <c r="G123" s="188"/>
      <c r="H123" s="17"/>
      <c r="I123" s="187"/>
      <c r="J123" s="188"/>
      <c r="K123" s="17"/>
      <c r="L123" s="189"/>
      <c r="M123" s="190"/>
      <c r="N123" s="17"/>
      <c r="O123" s="189"/>
      <c r="P123" s="189"/>
      <c r="Q123" s="189"/>
      <c r="R123" s="190"/>
      <c r="S123" s="17"/>
      <c r="W123" s="27"/>
      <c r="X123" s="213">
        <v>16</v>
      </c>
      <c r="Y123" s="214"/>
      <c r="Z123" s="296">
        <f>IF(X123='Summary Table'!$H$27,-$Z$107+'Summary Table'!$H$28*ABS($Y$107),0)</f>
        <v>0</v>
      </c>
      <c r="AA123" s="296"/>
      <c r="AB123" s="296">
        <f>IF(X123&gt;'Summary Table'!$H$27,0,-$Y$99+Z123+AA123)</f>
        <v>36.281772764862694</v>
      </c>
      <c r="AC123" s="214">
        <f t="shared" si="34"/>
        <v>477.17052765480673</v>
      </c>
      <c r="AD123" s="214">
        <f t="shared" si="35"/>
        <v>29.025418211890155</v>
      </c>
      <c r="AE123" s="214">
        <f t="shared" si="32"/>
        <v>34.41688964474875</v>
      </c>
      <c r="AF123" s="215">
        <f t="shared" si="33"/>
        <v>34.41688964474875</v>
      </c>
      <c r="AG123" s="215">
        <f t="shared" si="30"/>
        <v>7.4901179499715829</v>
      </c>
      <c r="AH123" s="298">
        <f>IF(X123&gt;'Summary Table'!$H$27,0,AG123+AH122)</f>
        <v>-759.8888252914785</v>
      </c>
      <c r="AI123" s="10"/>
      <c r="AJ123" s="10"/>
      <c r="AK123" s="10"/>
      <c r="AL123" s="10"/>
      <c r="AM123" s="327"/>
      <c r="AN123" s="327"/>
      <c r="AS123" s="27"/>
      <c r="AT123" s="5"/>
      <c r="AU123" s="166"/>
      <c r="AV123" s="5"/>
      <c r="AW123" s="5"/>
      <c r="AX123" s="5"/>
      <c r="AY123" s="5"/>
      <c r="AZ123" s="5"/>
      <c r="BO123" s="27"/>
      <c r="BP123" s="223">
        <v>23</v>
      </c>
      <c r="BQ123" s="224"/>
      <c r="BR123" s="224">
        <f>IF(BP123='Summary Table'!$H$27,-$BR$100+'Summary Table'!$H$28*ABS($BQ$100),0)</f>
        <v>0</v>
      </c>
      <c r="BS123" s="224"/>
      <c r="BT123" s="224">
        <f>IF(BP123&gt;'Summary Table'!$H$27,0,-$BQ$92+BR123+BS123)</f>
        <v>-101.74828447324373</v>
      </c>
      <c r="BU123" s="224">
        <f t="shared" si="28"/>
        <v>3408.7538078820298</v>
      </c>
      <c r="BV123" s="224">
        <f t="shared" si="29"/>
        <v>0</v>
      </c>
      <c r="BW123" s="224">
        <f t="shared" si="26"/>
        <v>-101.74828447324373</v>
      </c>
      <c r="BX123" s="225">
        <f t="shared" si="27"/>
        <v>-101.74828447324373</v>
      </c>
      <c r="BY123" s="225">
        <f t="shared" si="24"/>
        <v>-11.363060968696898</v>
      </c>
      <c r="BZ123" s="226">
        <f>IF(BP123&gt;'Summary Table'!$H$27,0,BY123+BZ122)</f>
        <v>-2132.6583619896714</v>
      </c>
      <c r="CA123" s="10"/>
      <c r="CB123" s="10"/>
      <c r="CC123" s="10"/>
      <c r="CD123" s="10"/>
      <c r="CE123" s="10"/>
    </row>
    <row r="124" spans="2:84" ht="22" thickBot="1">
      <c r="B124" s="231"/>
      <c r="C124" s="203"/>
      <c r="D124" s="231"/>
      <c r="E124" s="9"/>
      <c r="F124" s="187"/>
      <c r="G124" s="188"/>
      <c r="H124" s="17"/>
      <c r="I124" s="187"/>
      <c r="J124" s="188"/>
      <c r="K124" s="17"/>
      <c r="L124" s="189"/>
      <c r="M124" s="190"/>
      <c r="N124" s="17"/>
      <c r="O124" s="189"/>
      <c r="P124" s="189"/>
      <c r="Q124" s="189"/>
      <c r="R124" s="190"/>
      <c r="S124" s="17"/>
      <c r="W124" s="27"/>
      <c r="X124" s="223">
        <v>17</v>
      </c>
      <c r="Y124" s="224"/>
      <c r="Z124" s="224">
        <f>IF(X124='Summary Table'!$H$27,-$Z$107+'Summary Table'!$H$28*ABS($Y$107),0)</f>
        <v>0</v>
      </c>
      <c r="AA124" s="224"/>
      <c r="AB124" s="224">
        <f>IF(X124&gt;'Summary Table'!$H$27,0,-$Y$99+Z124+AA124)</f>
        <v>36.281772764862694</v>
      </c>
      <c r="AC124" s="224">
        <f t="shared" si="34"/>
        <v>448.14510944291658</v>
      </c>
      <c r="AD124" s="224">
        <f t="shared" si="35"/>
        <v>29.025418211890155</v>
      </c>
      <c r="AE124" s="224">
        <f t="shared" si="32"/>
        <v>34.41688964474875</v>
      </c>
      <c r="AF124" s="225">
        <f t="shared" si="33"/>
        <v>34.41688964474875</v>
      </c>
      <c r="AG124" s="225">
        <f t="shared" si="30"/>
        <v>6.8091981363378027</v>
      </c>
      <c r="AH124" s="226">
        <f>IF(X124&gt;'Summary Table'!$H$27,0,AG124+AH123)</f>
        <v>-753.07962715514066</v>
      </c>
      <c r="AI124" s="10"/>
      <c r="AJ124" s="10"/>
      <c r="AK124" s="10"/>
      <c r="AL124" s="10"/>
      <c r="AM124" s="327"/>
      <c r="AN124" s="327"/>
      <c r="AS124" s="27"/>
      <c r="AT124" s="335"/>
      <c r="AU124" s="198" t="s">
        <v>97</v>
      </c>
      <c r="AV124" s="105" t="s">
        <v>615</v>
      </c>
      <c r="AW124" s="5"/>
      <c r="AX124" s="5"/>
      <c r="AY124" s="5"/>
      <c r="AZ124" s="5"/>
      <c r="BO124" s="27"/>
      <c r="BP124" s="213">
        <v>24</v>
      </c>
      <c r="BQ124" s="214"/>
      <c r="BR124" s="296">
        <f>IF(BP124='Summary Table'!$H$27,-$BR$100+'Summary Table'!$H$28*ABS($BQ$100),0)</f>
        <v>0</v>
      </c>
      <c r="BS124" s="214"/>
      <c r="BT124" s="296">
        <f>IF(BP124&gt;'Summary Table'!$H$27,0,-$BQ$92+BR124+BS124)</f>
        <v>-101.74828447324373</v>
      </c>
      <c r="BU124" s="214">
        <f t="shared" si="28"/>
        <v>3510.5020923552734</v>
      </c>
      <c r="BV124" s="214">
        <f t="shared" si="29"/>
        <v>0</v>
      </c>
      <c r="BW124" s="214">
        <f t="shared" si="26"/>
        <v>-101.74828447324373</v>
      </c>
      <c r="BX124" s="215">
        <f t="shared" si="27"/>
        <v>-101.74828447324373</v>
      </c>
      <c r="BY124" s="215">
        <f t="shared" si="24"/>
        <v>-10.330055426088089</v>
      </c>
      <c r="BZ124" s="298">
        <f>IF(BP124&gt;'Summary Table'!$H$27,0,BY124+BZ123)</f>
        <v>-2142.9884174157596</v>
      </c>
      <c r="CA124" s="10"/>
      <c r="CB124" s="10"/>
      <c r="CC124" s="10"/>
      <c r="CD124" s="10"/>
      <c r="CE124" s="10"/>
    </row>
    <row r="125" spans="2:84" ht="22" thickBot="1">
      <c r="B125" s="231"/>
      <c r="C125" s="203"/>
      <c r="D125" s="231"/>
      <c r="E125" s="9"/>
      <c r="F125" s="187"/>
      <c r="G125" s="188"/>
      <c r="H125" s="17"/>
      <c r="I125" s="187"/>
      <c r="J125" s="188"/>
      <c r="K125" s="17"/>
      <c r="L125" s="189"/>
      <c r="M125" s="190"/>
      <c r="N125" s="17"/>
      <c r="O125" s="189"/>
      <c r="P125" s="189"/>
      <c r="Q125" s="189"/>
      <c r="R125" s="190"/>
      <c r="S125" s="17"/>
      <c r="W125" s="27"/>
      <c r="X125" s="213">
        <v>18</v>
      </c>
      <c r="Y125" s="214"/>
      <c r="Z125" s="296">
        <f>IF(X125='Summary Table'!$H$27,-$Z$107+'Summary Table'!$H$28*ABS($Y$107),0)</f>
        <v>0</v>
      </c>
      <c r="AA125" s="296"/>
      <c r="AB125" s="296">
        <f>IF(X125&gt;'Summary Table'!$H$27,0,-$Y$99+Z125+AA125)</f>
        <v>36.281772764862694</v>
      </c>
      <c r="AC125" s="214">
        <f t="shared" si="34"/>
        <v>419.11969123102642</v>
      </c>
      <c r="AD125" s="214">
        <f t="shared" si="35"/>
        <v>29.025418211890155</v>
      </c>
      <c r="AE125" s="214">
        <f t="shared" si="32"/>
        <v>34.41688964474875</v>
      </c>
      <c r="AF125" s="215">
        <f t="shared" si="33"/>
        <v>34.41688964474875</v>
      </c>
      <c r="AG125" s="215">
        <f t="shared" si="30"/>
        <v>6.1901801239434562</v>
      </c>
      <c r="AH125" s="298">
        <f>IF(X125&gt;'Summary Table'!$H$27,0,AG125+AH124)</f>
        <v>-746.88944703119716</v>
      </c>
      <c r="AI125" s="10"/>
      <c r="AJ125" s="10"/>
      <c r="AK125" s="10"/>
      <c r="AL125" s="10"/>
      <c r="AM125" s="327"/>
      <c r="AN125" s="327"/>
      <c r="AS125" s="27"/>
      <c r="AT125" s="59" t="s">
        <v>86</v>
      </c>
      <c r="AU125" s="195">
        <v>0.08</v>
      </c>
      <c r="AV125" s="196">
        <f>(SUM(BL23:BL45)-BL29-BL39)*AU125</f>
        <v>45.811554087803863</v>
      </c>
      <c r="AW125" s="5"/>
      <c r="AX125" s="5"/>
      <c r="AY125" s="5"/>
      <c r="AZ125" s="5"/>
      <c r="BO125" s="27"/>
      <c r="BP125" s="223">
        <v>25</v>
      </c>
      <c r="BQ125" s="224"/>
      <c r="BR125" s="224">
        <f>IF(BP125='Summary Table'!$H$27,-$BR$100+'Summary Table'!$H$28*ABS($BQ$100),0)</f>
        <v>0</v>
      </c>
      <c r="BS125" s="224"/>
      <c r="BT125" s="224">
        <f>IF(BP125&gt;'Summary Table'!$H$27,0,-$BQ$92+BR125+BS125)</f>
        <v>-101.74828447324373</v>
      </c>
      <c r="BU125" s="224">
        <f t="shared" si="28"/>
        <v>3612.2503768285169</v>
      </c>
      <c r="BV125" s="224">
        <f t="shared" si="29"/>
        <v>0</v>
      </c>
      <c r="BW125" s="224">
        <f t="shared" si="26"/>
        <v>-101.74828447324373</v>
      </c>
      <c r="BX125" s="225">
        <f t="shared" si="27"/>
        <v>-101.74828447324373</v>
      </c>
      <c r="BY125" s="225">
        <f t="shared" si="24"/>
        <v>-9.3909594782618981</v>
      </c>
      <c r="BZ125" s="226">
        <f>IF(BP125&gt;'Summary Table'!$H$27,0,BY125+BZ124)</f>
        <v>-2152.3793768940213</v>
      </c>
      <c r="CA125" s="10"/>
      <c r="CB125" s="10"/>
      <c r="CC125" s="10"/>
      <c r="CD125" s="10"/>
      <c r="CE125" s="10"/>
    </row>
    <row r="126" spans="2:84" ht="17" thickBot="1">
      <c r="W126" s="27"/>
      <c r="X126" s="223">
        <v>19</v>
      </c>
      <c r="Y126" s="224"/>
      <c r="Z126" s="224">
        <f>IF(X126='Summary Table'!$H$27,-$Z$107+'Summary Table'!$H$28*ABS($Y$107),0)</f>
        <v>0</v>
      </c>
      <c r="AA126" s="224"/>
      <c r="AB126" s="224">
        <f>IF(X126&gt;'Summary Table'!$H$27,0,-$Y$99+Z126+AA126)</f>
        <v>36.281772764862694</v>
      </c>
      <c r="AC126" s="224">
        <f t="shared" si="34"/>
        <v>390.09427301913627</v>
      </c>
      <c r="AD126" s="224">
        <f t="shared" si="35"/>
        <v>29.025418211890155</v>
      </c>
      <c r="AE126" s="224">
        <f t="shared" si="32"/>
        <v>34.41688964474875</v>
      </c>
      <c r="AF126" s="225">
        <f t="shared" si="33"/>
        <v>34.41688964474875</v>
      </c>
      <c r="AG126" s="225">
        <f t="shared" si="30"/>
        <v>5.6274364763122318</v>
      </c>
      <c r="AH126" s="226">
        <f>IF(X126&gt;'Summary Table'!$H$27,0,AG126+AH125)</f>
        <v>-741.26201055488491</v>
      </c>
      <c r="AI126" s="10"/>
      <c r="AJ126" s="10"/>
      <c r="AK126" s="10"/>
      <c r="AL126" s="10"/>
      <c r="AM126" s="327"/>
      <c r="AN126" s="327"/>
      <c r="AS126" s="27"/>
      <c r="AT126" s="5"/>
      <c r="AU126" s="5"/>
      <c r="AV126" s="5"/>
      <c r="AW126" s="5"/>
      <c r="AX126" s="5"/>
      <c r="AY126" s="5"/>
      <c r="AZ126" s="5"/>
      <c r="BO126" s="27"/>
      <c r="BP126" s="213">
        <v>26</v>
      </c>
      <c r="BQ126" s="214"/>
      <c r="BR126" s="296">
        <f>IF(BP126='Summary Table'!$H$27,-$BR$100+'Summary Table'!$H$28*ABS($BQ$100),0)</f>
        <v>0</v>
      </c>
      <c r="BS126" s="214"/>
      <c r="BT126" s="296">
        <f>IF(BP126&gt;'Summary Table'!$H$27,0,-$BQ$92+BR126+BS126)</f>
        <v>-101.74828447324373</v>
      </c>
      <c r="BU126" s="214">
        <f t="shared" si="28"/>
        <v>3713.9986613017604</v>
      </c>
      <c r="BV126" s="214">
        <f t="shared" si="29"/>
        <v>0</v>
      </c>
      <c r="BW126" s="214">
        <f t="shared" si="26"/>
        <v>-101.74828447324373</v>
      </c>
      <c r="BX126" s="215">
        <f t="shared" si="27"/>
        <v>-101.74828447324373</v>
      </c>
      <c r="BY126" s="215">
        <f t="shared" si="24"/>
        <v>-8.537235889328997</v>
      </c>
      <c r="BZ126" s="298">
        <f>IF(BP126&gt;'Summary Table'!$H$27,0,BY126+BZ125)</f>
        <v>-2160.9166127833505</v>
      </c>
      <c r="CA126" s="10"/>
      <c r="CB126" s="10"/>
      <c r="CC126" s="10"/>
      <c r="CD126" s="10"/>
      <c r="CE126" s="10"/>
    </row>
    <row r="127" spans="2:84" ht="27" thickBot="1">
      <c r="B127" s="678" t="s">
        <v>617</v>
      </c>
      <c r="C127" s="678"/>
      <c r="D127" s="678"/>
      <c r="W127" s="27"/>
      <c r="X127" s="213">
        <v>20</v>
      </c>
      <c r="Y127" s="214"/>
      <c r="Z127" s="296">
        <f>IF(X127='Summary Table'!$H$27,-$Z$107+'Summary Table'!$H$28*ABS($Y$107),0)</f>
        <v>0</v>
      </c>
      <c r="AA127" s="296"/>
      <c r="AB127" s="296">
        <f>IF(X127&gt;'Summary Table'!$H$27,0,-$Y$99+Z127+AA127)</f>
        <v>36.281772764862694</v>
      </c>
      <c r="AC127" s="214">
        <f t="shared" si="34"/>
        <v>361.06885480724611</v>
      </c>
      <c r="AD127" s="214">
        <f t="shared" si="35"/>
        <v>29.025418211890155</v>
      </c>
      <c r="AE127" s="214">
        <f t="shared" si="32"/>
        <v>34.41688964474875</v>
      </c>
      <c r="AF127" s="215">
        <f t="shared" si="33"/>
        <v>34.41688964474875</v>
      </c>
      <c r="AG127" s="215">
        <f t="shared" si="30"/>
        <v>5.1158513421020286</v>
      </c>
      <c r="AH127" s="298">
        <f>IF(X127&gt;'Summary Table'!$H$27,0,AG127+AH126)</f>
        <v>-736.14615921278289</v>
      </c>
      <c r="AI127" s="10"/>
      <c r="AJ127" s="10"/>
      <c r="AK127" s="10"/>
      <c r="AL127" s="10"/>
      <c r="AM127" s="327"/>
      <c r="AN127" s="327"/>
      <c r="AS127" s="27"/>
      <c r="AT127" s="169" t="s">
        <v>783</v>
      </c>
      <c r="AU127" s="170">
        <f>AZ117+SUM(AV120:AV122)+AV125</f>
        <v>76.597119944946712</v>
      </c>
      <c r="AV127" s="171" t="s">
        <v>616</v>
      </c>
      <c r="AW127" s="5"/>
      <c r="AX127" s="5"/>
      <c r="AY127" s="5"/>
      <c r="AZ127" s="5"/>
      <c r="BO127" s="27"/>
      <c r="BP127" s="223">
        <v>27</v>
      </c>
      <c r="BQ127" s="224"/>
      <c r="BR127" s="224">
        <f>IF(BP127='Summary Table'!$H$27,-$BR$100+'Summary Table'!$H$28*ABS($BQ$100),0)</f>
        <v>0</v>
      </c>
      <c r="BS127" s="224"/>
      <c r="BT127" s="224">
        <f>IF(BP127&gt;'Summary Table'!$H$27,0,-$BQ$92+BR127+BS127)</f>
        <v>-101.74828447324373</v>
      </c>
      <c r="BU127" s="224">
        <f t="shared" si="28"/>
        <v>3815.746945775004</v>
      </c>
      <c r="BV127" s="224">
        <f t="shared" si="29"/>
        <v>0</v>
      </c>
      <c r="BW127" s="224">
        <f t="shared" si="26"/>
        <v>-101.74828447324373</v>
      </c>
      <c r="BX127" s="225">
        <f t="shared" si="27"/>
        <v>-101.74828447324373</v>
      </c>
      <c r="BY127" s="225">
        <f t="shared" si="24"/>
        <v>-7.761123535753633</v>
      </c>
      <c r="BZ127" s="226">
        <f>IF(BP127&gt;'Summary Table'!$H$27,0,BY127+BZ126)</f>
        <v>-2168.677736319104</v>
      </c>
      <c r="CA127" s="10"/>
      <c r="CB127" s="10"/>
      <c r="CC127" s="10"/>
      <c r="CD127" s="10"/>
      <c r="CE127" s="10"/>
    </row>
    <row r="128" spans="2:84" ht="17" thickBot="1">
      <c r="W128" s="27"/>
      <c r="X128" s="223">
        <v>21</v>
      </c>
      <c r="Y128" s="224"/>
      <c r="Z128" s="224">
        <f>IF(X128='Summary Table'!$H$27,-$Z$107+'Summary Table'!$H$28*ABS($Y$107),0)</f>
        <v>0</v>
      </c>
      <c r="AA128" s="224"/>
      <c r="AB128" s="224">
        <f>IF(X128&gt;'Summary Table'!$H$27,0,-$Y$99+Z128+AA128)</f>
        <v>36.281772764862694</v>
      </c>
      <c r="AC128" s="224">
        <f t="shared" si="34"/>
        <v>332.04343659535596</v>
      </c>
      <c r="AD128" s="224">
        <f t="shared" si="35"/>
        <v>29.025418211890155</v>
      </c>
      <c r="AE128" s="224">
        <f t="shared" si="32"/>
        <v>34.41688964474875</v>
      </c>
      <c r="AF128" s="225">
        <f t="shared" si="33"/>
        <v>34.41688964474875</v>
      </c>
      <c r="AG128" s="225">
        <f t="shared" si="30"/>
        <v>4.6507739473654803</v>
      </c>
      <c r="AH128" s="226">
        <f>IF(X128&gt;'Summary Table'!$H$27,0,AG128+AH127)</f>
        <v>-731.49538526541744</v>
      </c>
      <c r="AI128" s="10"/>
      <c r="AJ128" s="10"/>
      <c r="AK128" s="10"/>
      <c r="AL128" s="10"/>
      <c r="AM128" s="327"/>
      <c r="AN128" s="9"/>
      <c r="AS128" s="27"/>
      <c r="AT128" s="5"/>
      <c r="AU128" s="5"/>
      <c r="AV128" s="5"/>
      <c r="AW128" s="5"/>
      <c r="AX128" s="5"/>
      <c r="AY128" s="5"/>
      <c r="AZ128" s="5"/>
      <c r="BO128" s="27"/>
      <c r="BP128" s="213">
        <v>28</v>
      </c>
      <c r="BQ128" s="214"/>
      <c r="BR128" s="296">
        <f>IF(BP128='Summary Table'!$H$27,-$BR$100+'Summary Table'!$H$28*ABS($BQ$100),0)</f>
        <v>0</v>
      </c>
      <c r="BS128" s="214"/>
      <c r="BT128" s="296">
        <f>IF(BP128&gt;'Summary Table'!$H$27,0,-$BQ$92+BR128+BS128)</f>
        <v>-101.74828447324373</v>
      </c>
      <c r="BU128" s="214">
        <f t="shared" si="28"/>
        <v>3917.4952302482475</v>
      </c>
      <c r="BV128" s="214">
        <f t="shared" si="29"/>
        <v>0</v>
      </c>
      <c r="BW128" s="214">
        <f t="shared" si="26"/>
        <v>-101.74828447324373</v>
      </c>
      <c r="BX128" s="215">
        <f t="shared" si="27"/>
        <v>-101.74828447324373</v>
      </c>
      <c r="BY128" s="215">
        <f t="shared" si="24"/>
        <v>-7.0555668506851212</v>
      </c>
      <c r="BZ128" s="298">
        <f>IF(BP128&gt;'Summary Table'!$H$27,0,BY128+BZ127)</f>
        <v>-2175.733303169789</v>
      </c>
      <c r="CA128" s="10"/>
      <c r="CB128" s="10"/>
      <c r="CC128" s="10"/>
      <c r="CD128" s="10"/>
      <c r="CE128" s="10"/>
    </row>
    <row r="129" spans="2:83" ht="17" thickBot="1">
      <c r="B129" s="103"/>
      <c r="C129" s="104" t="s">
        <v>89</v>
      </c>
      <c r="D129" s="104" t="s">
        <v>90</v>
      </c>
      <c r="E129" s="104" t="s">
        <v>92</v>
      </c>
      <c r="F129" s="104" t="s">
        <v>93</v>
      </c>
      <c r="G129" s="104" t="s">
        <v>91</v>
      </c>
      <c r="H129" s="105" t="s">
        <v>95</v>
      </c>
      <c r="W129" s="27"/>
      <c r="X129" s="213">
        <v>22</v>
      </c>
      <c r="Y129" s="214"/>
      <c r="Z129" s="296">
        <f>IF(X129='Summary Table'!$H$27,-$Z$107+'Summary Table'!$H$28*ABS($Y$107),0)</f>
        <v>0</v>
      </c>
      <c r="AA129" s="296"/>
      <c r="AB129" s="296">
        <f>IF(X129&gt;'Summary Table'!$H$27,0,-$Y$99+Z129+AA129)</f>
        <v>36.281772764862694</v>
      </c>
      <c r="AC129" s="214">
        <f t="shared" si="34"/>
        <v>303.0180183834658</v>
      </c>
      <c r="AD129" s="214">
        <f t="shared" si="35"/>
        <v>29.025418211890155</v>
      </c>
      <c r="AE129" s="214">
        <f t="shared" si="32"/>
        <v>34.41688964474875</v>
      </c>
      <c r="AF129" s="215">
        <f t="shared" si="33"/>
        <v>34.41688964474875</v>
      </c>
      <c r="AG129" s="215">
        <f t="shared" si="30"/>
        <v>4.2279763157868002</v>
      </c>
      <c r="AH129" s="298">
        <f>IF(X129&gt;'Summary Table'!$H$27,0,AG129+AH128)</f>
        <v>-727.26740894963064</v>
      </c>
      <c r="AI129" s="10"/>
      <c r="AJ129" s="10"/>
      <c r="AK129" s="10"/>
      <c r="AL129" s="10"/>
      <c r="AM129" s="10"/>
      <c r="AS129" s="27"/>
      <c r="AT129" s="5"/>
      <c r="AU129" s="5"/>
      <c r="AV129" s="5"/>
      <c r="AW129" s="5"/>
      <c r="AX129" s="5"/>
      <c r="AY129" s="5"/>
      <c r="AZ129" s="5"/>
      <c r="BO129" s="27"/>
      <c r="BP129" s="223">
        <v>29</v>
      </c>
      <c r="BQ129" s="224"/>
      <c r="BR129" s="224">
        <f>IF(BP129='Summary Table'!$H$27,-$BR$100+'Summary Table'!$H$28*ABS($BQ$100),0)</f>
        <v>0</v>
      </c>
      <c r="BS129" s="224"/>
      <c r="BT129" s="224">
        <f>IF(BP129&gt;'Summary Table'!$H$27,0,-$BQ$92+BR129+BS129)</f>
        <v>-101.74828447324373</v>
      </c>
      <c r="BU129" s="224">
        <f t="shared" si="28"/>
        <v>4019.243514721491</v>
      </c>
      <c r="BV129" s="224">
        <f t="shared" si="29"/>
        <v>0</v>
      </c>
      <c r="BW129" s="224">
        <f t="shared" si="26"/>
        <v>-101.74828447324373</v>
      </c>
      <c r="BX129" s="225">
        <f t="shared" si="27"/>
        <v>-101.74828447324373</v>
      </c>
      <c r="BY129" s="225">
        <f t="shared" si="24"/>
        <v>-6.4141516824410187</v>
      </c>
      <c r="BZ129" s="226">
        <f>IF(BP129&gt;'Summary Table'!$H$27,0,BY129+BZ128)</f>
        <v>-2182.1474548522301</v>
      </c>
      <c r="CA129" s="10"/>
      <c r="CB129" s="10"/>
      <c r="CC129" s="10"/>
      <c r="CD129" s="10"/>
      <c r="CE129" s="10"/>
    </row>
    <row r="130" spans="2:83" ht="17" thickBot="1">
      <c r="B130" s="59" t="s">
        <v>81</v>
      </c>
      <c r="C130" s="30">
        <f>'Summary Table'!H35</f>
        <v>32</v>
      </c>
      <c r="D130" s="30">
        <f>SUM(J23:J51)</f>
        <v>60.77</v>
      </c>
      <c r="E130" s="30">
        <v>40</v>
      </c>
      <c r="F130" s="30">
        <v>4.5</v>
      </c>
      <c r="G130" s="109">
        <f>365.25/7</f>
        <v>52.178571428571431</v>
      </c>
      <c r="H130" s="196">
        <f>C130*D130*E130*F130*G130/'Constants &amp; Conversions'!D29</f>
        <v>18.264336685714287</v>
      </c>
      <c r="W130" s="27"/>
      <c r="X130" s="223">
        <v>23</v>
      </c>
      <c r="Y130" s="224"/>
      <c r="Z130" s="224">
        <f>IF(X130='Summary Table'!$H$27,-$Z$107+'Summary Table'!$H$28*ABS($Y$107),0)</f>
        <v>0</v>
      </c>
      <c r="AA130" s="224"/>
      <c r="AB130" s="224">
        <f>IF(X130&gt;'Summary Table'!$H$27,0,-$Y$99+Z130+AA130)</f>
        <v>36.281772764862694</v>
      </c>
      <c r="AC130" s="224">
        <f t="shared" si="34"/>
        <v>273.99260017157565</v>
      </c>
      <c r="AD130" s="224">
        <f t="shared" si="35"/>
        <v>29.025418211890155</v>
      </c>
      <c r="AE130" s="224">
        <f t="shared" si="32"/>
        <v>34.41688964474875</v>
      </c>
      <c r="AF130" s="225">
        <f t="shared" si="33"/>
        <v>34.41688964474875</v>
      </c>
      <c r="AG130" s="225">
        <f t="shared" si="30"/>
        <v>3.8436148325334538</v>
      </c>
      <c r="AH130" s="226">
        <f>IF(X130&gt;'Summary Table'!$H$27,0,AG130+AH129)</f>
        <v>-723.42379411709715</v>
      </c>
      <c r="AI130" s="10"/>
      <c r="AJ130" s="10"/>
      <c r="AK130" s="10"/>
      <c r="AL130" s="10"/>
      <c r="AM130" s="10"/>
      <c r="AS130" s="27"/>
      <c r="AT130" s="5"/>
      <c r="AU130" s="5"/>
      <c r="AV130" s="14"/>
      <c r="AW130" s="14"/>
      <c r="AX130" s="5"/>
      <c r="AY130" s="5"/>
      <c r="AZ130" s="5"/>
      <c r="BO130" s="27"/>
      <c r="BP130" s="295">
        <v>30</v>
      </c>
      <c r="BQ130" s="296"/>
      <c r="BR130" s="296">
        <f>IF(BP130='Summary Table'!$H$27,-$BR$100+'Summary Table'!$H$28*ABS($BQ$100),0)</f>
        <v>292.57288736766736</v>
      </c>
      <c r="BS130" s="296"/>
      <c r="BT130" s="296">
        <f>IF(BP130&gt;'Summary Table'!$H$27,0,-$BQ$92+BR130+BS130)</f>
        <v>190.82460289442363</v>
      </c>
      <c r="BU130" s="296">
        <f t="shared" si="28"/>
        <v>4120.991799194735</v>
      </c>
      <c r="BV130" s="296">
        <f t="shared" si="29"/>
        <v>152.6596823155389</v>
      </c>
      <c r="BW130" s="296">
        <f t="shared" si="26"/>
        <v>181.01621830565026</v>
      </c>
      <c r="BX130" s="297">
        <f t="shared" si="27"/>
        <v>181.01621830565026</v>
      </c>
      <c r="BY130" s="297">
        <f t="shared" si="24"/>
        <v>10.373777595145214</v>
      </c>
      <c r="BZ130" s="298">
        <f>IF(BP130&gt;'Summary Table'!$H$27,0,BY130+BZ129)</f>
        <v>-2171.7736772570847</v>
      </c>
      <c r="CA130" s="10"/>
      <c r="CB130" s="10"/>
      <c r="CC130" s="10"/>
      <c r="CD130" s="10"/>
      <c r="CE130" s="10"/>
    </row>
    <row r="131" spans="2:83" ht="27" thickBot="1">
      <c r="B131" s="5"/>
      <c r="C131" s="5"/>
      <c r="D131" s="5"/>
      <c r="E131" s="5"/>
      <c r="F131" s="5"/>
      <c r="G131" s="5"/>
      <c r="H131" s="5"/>
      <c r="W131" s="27"/>
      <c r="X131" s="213">
        <v>24</v>
      </c>
      <c r="Y131" s="214"/>
      <c r="Z131" s="296">
        <f>IF(X131='Summary Table'!$H$27,-$Z$107+'Summary Table'!$H$28*ABS($Y$107),0)</f>
        <v>0</v>
      </c>
      <c r="AA131" s="214"/>
      <c r="AB131" s="296">
        <f>IF(X131&gt;'Summary Table'!$H$27,0,-$Y$99+Z131+AA131)</f>
        <v>36.281772764862694</v>
      </c>
      <c r="AC131" s="214">
        <f t="shared" si="34"/>
        <v>244.96718195968549</v>
      </c>
      <c r="AD131" s="214">
        <f t="shared" si="35"/>
        <v>29.025418211890155</v>
      </c>
      <c r="AE131" s="214">
        <f t="shared" si="32"/>
        <v>34.41688964474875</v>
      </c>
      <c r="AF131" s="215">
        <f t="shared" si="33"/>
        <v>34.41688964474875</v>
      </c>
      <c r="AG131" s="215">
        <f t="shared" si="30"/>
        <v>3.4941953023031407</v>
      </c>
      <c r="AH131" s="298">
        <f>IF(X131&gt;'Summary Table'!$H$27,0,AG131+AH130)</f>
        <v>-719.92959881479396</v>
      </c>
      <c r="AI131" s="10"/>
      <c r="AJ131" s="10"/>
      <c r="AK131" s="10"/>
      <c r="AL131" s="10"/>
      <c r="AM131" s="10"/>
      <c r="AS131" s="27"/>
      <c r="AT131" s="678" t="s">
        <v>345</v>
      </c>
      <c r="AU131" s="678"/>
      <c r="BO131" s="27"/>
      <c r="BP131" s="223">
        <v>31</v>
      </c>
      <c r="BQ131" s="224"/>
      <c r="BR131" s="224">
        <f>IF(BP131='Summary Table'!$H$27,-$BR$100+'Summary Table'!$H$28*ABS($BQ$100),0)</f>
        <v>0</v>
      </c>
      <c r="BS131" s="224"/>
      <c r="BT131" s="224">
        <f>IF(BP131&gt;'Summary Table'!$H$27,0,-$BQ$92+BR131+BS131)</f>
        <v>0</v>
      </c>
      <c r="BU131" s="224">
        <f t="shared" si="28"/>
        <v>3968.3321168791963</v>
      </c>
      <c r="BV131" s="224">
        <f t="shared" si="29"/>
        <v>0</v>
      </c>
      <c r="BW131" s="224">
        <f t="shared" si="26"/>
        <v>0</v>
      </c>
      <c r="BX131" s="225">
        <f t="shared" si="27"/>
        <v>0</v>
      </c>
      <c r="BY131" s="225">
        <f t="shared" si="24"/>
        <v>0</v>
      </c>
      <c r="BZ131" s="226">
        <f>IF(BP131&gt;'Summary Table'!$H$27,0,BY131+BZ130)</f>
        <v>0</v>
      </c>
      <c r="CA131" s="10"/>
      <c r="CB131" s="10"/>
      <c r="CC131" s="10"/>
      <c r="CD131" s="10"/>
      <c r="CE131" s="10"/>
    </row>
    <row r="132" spans="2:83" ht="17" thickBot="1">
      <c r="B132" s="197"/>
      <c r="C132" s="104" t="s">
        <v>94</v>
      </c>
      <c r="D132" s="105" t="s">
        <v>96</v>
      </c>
      <c r="E132" s="5"/>
      <c r="F132" s="5"/>
      <c r="G132" s="5"/>
      <c r="H132" s="5"/>
      <c r="W132" s="27"/>
      <c r="X132" s="223">
        <v>25</v>
      </c>
      <c r="Y132" s="224"/>
      <c r="Z132" s="224">
        <f>IF(X132='Summary Table'!$H$27,-$Z$107+'Summary Table'!$H$28*ABS($Y$107),0)</f>
        <v>0</v>
      </c>
      <c r="AA132" s="224"/>
      <c r="AB132" s="224">
        <f>IF(X132&gt;'Summary Table'!$H$27,0,-$Y$99+Z132+AA132)</f>
        <v>36.281772764862694</v>
      </c>
      <c r="AC132" s="224">
        <f t="shared" si="34"/>
        <v>215.94176374779533</v>
      </c>
      <c r="AD132" s="224">
        <f t="shared" si="35"/>
        <v>29.025418211890155</v>
      </c>
      <c r="AE132" s="224">
        <f t="shared" si="32"/>
        <v>34.41688964474875</v>
      </c>
      <c r="AF132" s="225">
        <f t="shared" si="33"/>
        <v>34.41688964474875</v>
      </c>
      <c r="AG132" s="225">
        <f t="shared" si="30"/>
        <v>3.1765411839119455</v>
      </c>
      <c r="AH132" s="226">
        <f>IF(X132&gt;'Summary Table'!$H$27,0,AG132+AH131)</f>
        <v>-716.75305763088204</v>
      </c>
      <c r="AI132" s="10"/>
      <c r="AJ132" s="10"/>
      <c r="AK132" s="10"/>
      <c r="AL132" s="10"/>
      <c r="AM132" s="10"/>
      <c r="AS132" s="27"/>
      <c r="BF132" s="10"/>
      <c r="BG132" s="10"/>
      <c r="BH132" s="10"/>
      <c r="BO132" s="27"/>
      <c r="BP132" s="295">
        <v>32</v>
      </c>
      <c r="BQ132" s="296"/>
      <c r="BR132" s="296">
        <f>IF(BP132='Summary Table'!$H$27,-$BR$100+'Summary Table'!$H$28*ABS($BQ$100),0)</f>
        <v>0</v>
      </c>
      <c r="BS132" s="296"/>
      <c r="BT132" s="296">
        <f>IF(BP132&gt;'Summary Table'!$H$27,0,-$BQ$92+BR132+BS132)</f>
        <v>0</v>
      </c>
      <c r="BU132" s="296">
        <f t="shared" si="28"/>
        <v>3968.3321168791963</v>
      </c>
      <c r="BV132" s="296">
        <f t="shared" si="29"/>
        <v>0</v>
      </c>
      <c r="BW132" s="296">
        <f t="shared" si="26"/>
        <v>0</v>
      </c>
      <c r="BX132" s="297">
        <f t="shared" si="27"/>
        <v>0</v>
      </c>
      <c r="BY132" s="297">
        <f t="shared" si="24"/>
        <v>0</v>
      </c>
      <c r="BZ132" s="298">
        <f>IF(BP132&gt;'Summary Table'!$H$27,0,BY132+BZ131)</f>
        <v>0</v>
      </c>
      <c r="CA132" s="10"/>
      <c r="CB132" s="10"/>
      <c r="CC132" s="10"/>
      <c r="CD132" s="10"/>
      <c r="CE132" s="10"/>
    </row>
    <row r="133" spans="2:83" ht="21">
      <c r="B133" s="42" t="s">
        <v>82</v>
      </c>
      <c r="C133" s="166">
        <v>0.22500000000000001</v>
      </c>
      <c r="D133" s="126">
        <f>$H$130*C133</f>
        <v>4.1094757542857145</v>
      </c>
      <c r="E133" s="5"/>
      <c r="F133" s="5"/>
      <c r="G133" s="5"/>
      <c r="H133" s="5"/>
      <c r="W133" s="27"/>
      <c r="X133" s="213">
        <v>26</v>
      </c>
      <c r="Y133" s="214"/>
      <c r="Z133" s="296">
        <f>IF(X133='Summary Table'!$H$27,-$Z$107+'Summary Table'!$H$28*ABS($Y$107),0)</f>
        <v>0</v>
      </c>
      <c r="AA133" s="214"/>
      <c r="AB133" s="296">
        <f>IF(X133&gt;'Summary Table'!$H$27,0,-$Y$99+Z133+AA133)</f>
        <v>36.281772764862694</v>
      </c>
      <c r="AC133" s="214">
        <f t="shared" si="34"/>
        <v>186.91634553590518</v>
      </c>
      <c r="AD133" s="214">
        <f t="shared" si="35"/>
        <v>29.025418211890155</v>
      </c>
      <c r="AE133" s="214">
        <f t="shared" si="32"/>
        <v>34.41688964474875</v>
      </c>
      <c r="AF133" s="215">
        <f t="shared" si="33"/>
        <v>34.41688964474875</v>
      </c>
      <c r="AG133" s="215">
        <f t="shared" si="30"/>
        <v>2.8877647126472228</v>
      </c>
      <c r="AH133" s="298">
        <f>IF(X133&gt;'Summary Table'!$H$27,0,AG133+AH132)</f>
        <v>-713.86529291823479</v>
      </c>
      <c r="AI133" s="10"/>
      <c r="AJ133" s="10"/>
      <c r="AK133" s="10"/>
      <c r="AL133" s="10"/>
      <c r="AM133" s="10"/>
      <c r="AS133" s="27"/>
      <c r="AT133" s="201" t="s">
        <v>628</v>
      </c>
      <c r="AU133" s="229">
        <f>AU47</f>
        <v>591.17723530117064</v>
      </c>
      <c r="AV133" s="181" t="s">
        <v>614</v>
      </c>
      <c r="AW133" s="199"/>
      <c r="AX133" s="199"/>
      <c r="AY133" s="199"/>
      <c r="AZ133" s="199"/>
      <c r="BA133" s="199"/>
      <c r="BB133" s="199"/>
      <c r="BC133" s="199"/>
      <c r="BD133" s="199"/>
      <c r="BE133" s="10"/>
      <c r="BF133" s="10"/>
      <c r="BG133" s="10"/>
      <c r="BH133" s="10"/>
      <c r="BI133" s="10"/>
      <c r="BJ133" s="10"/>
      <c r="BK133" s="10"/>
      <c r="BO133" s="27"/>
      <c r="BP133" s="223">
        <v>33</v>
      </c>
      <c r="BQ133" s="224"/>
      <c r="BR133" s="224">
        <f>IF(BP133='Summary Table'!$H$27,-$BR$100+'Summary Table'!$H$28*ABS($BQ$100),0)</f>
        <v>0</v>
      </c>
      <c r="BS133" s="224"/>
      <c r="BT133" s="224">
        <f>IF(BP133&gt;'Summary Table'!$H$27,0,-$BQ$92+BR133+BS133)</f>
        <v>0</v>
      </c>
      <c r="BU133" s="224">
        <f t="shared" si="28"/>
        <v>3968.3321168791963</v>
      </c>
      <c r="BV133" s="224">
        <f t="shared" si="29"/>
        <v>0</v>
      </c>
      <c r="BW133" s="224">
        <f t="shared" si="26"/>
        <v>0</v>
      </c>
      <c r="BX133" s="225">
        <f t="shared" si="27"/>
        <v>0</v>
      </c>
      <c r="BY133" s="225">
        <f t="shared" si="24"/>
        <v>0</v>
      </c>
      <c r="BZ133" s="226">
        <f>IF(BP133&gt;'Summary Table'!$H$27,0,BY133+BZ132)</f>
        <v>0</v>
      </c>
      <c r="CA133" s="10"/>
      <c r="CB133" s="10"/>
      <c r="CC133" s="10"/>
      <c r="CD133" s="10"/>
      <c r="CE133" s="10"/>
    </row>
    <row r="134" spans="2:83" ht="22" thickBot="1">
      <c r="B134" s="56" t="s">
        <v>83</v>
      </c>
      <c r="C134" s="168">
        <v>0.15</v>
      </c>
      <c r="D134" s="191">
        <f>$H$130*C134</f>
        <v>2.7396505028571432</v>
      </c>
      <c r="E134" s="5"/>
      <c r="F134" s="5"/>
      <c r="G134" s="5"/>
      <c r="H134" s="5"/>
      <c r="W134" s="27"/>
      <c r="X134" s="223">
        <v>27</v>
      </c>
      <c r="Y134" s="224"/>
      <c r="Z134" s="224">
        <f>IF(X134='Summary Table'!$H$27,-$Z$107+'Summary Table'!$H$28*ABS($Y$107),0)</f>
        <v>0</v>
      </c>
      <c r="AA134" s="224"/>
      <c r="AB134" s="224">
        <f>IF(X134&gt;'Summary Table'!$H$27,0,-$Y$99+Z134+AA134)</f>
        <v>36.281772764862694</v>
      </c>
      <c r="AC134" s="224">
        <f t="shared" si="34"/>
        <v>157.89092732401502</v>
      </c>
      <c r="AD134" s="224">
        <f t="shared" si="35"/>
        <v>29.025418211890155</v>
      </c>
      <c r="AE134" s="224">
        <f t="shared" si="32"/>
        <v>34.41688964474875</v>
      </c>
      <c r="AF134" s="225">
        <f t="shared" si="33"/>
        <v>34.41688964474875</v>
      </c>
      <c r="AG134" s="225">
        <f t="shared" si="30"/>
        <v>2.6252406478611112</v>
      </c>
      <c r="AH134" s="226">
        <f>IF(X134&gt;'Summary Table'!$H$27,0,AG134+AH133)</f>
        <v>-711.24005227037367</v>
      </c>
      <c r="AI134" s="10"/>
      <c r="AJ134" s="10"/>
      <c r="AK134" s="10"/>
      <c r="AL134" s="10"/>
      <c r="AM134" s="10"/>
      <c r="AS134" s="27"/>
      <c r="AT134" s="202" t="s">
        <v>627</v>
      </c>
      <c r="AU134" s="230">
        <f>AU63+SUM(AU107:AU110)+AU127+AU74</f>
        <v>151.35223682223261</v>
      </c>
      <c r="AV134" s="186" t="s">
        <v>616</v>
      </c>
      <c r="AW134" s="199"/>
      <c r="AX134" s="199"/>
      <c r="AY134" s="199"/>
      <c r="AZ134" s="199"/>
      <c r="BA134" s="199"/>
      <c r="BB134" s="199"/>
      <c r="BC134" s="199"/>
      <c r="BD134" s="199"/>
      <c r="BE134" s="10"/>
      <c r="BF134" s="10"/>
      <c r="BG134" s="10"/>
      <c r="BH134" s="10"/>
      <c r="BI134" s="10"/>
      <c r="BJ134" s="10"/>
      <c r="BK134" s="10"/>
      <c r="BO134" s="27"/>
      <c r="BP134" s="295">
        <v>34</v>
      </c>
      <c r="BQ134" s="296"/>
      <c r="BR134" s="296">
        <f>IF(BP134='Summary Table'!$H$27,-$BR$100+'Summary Table'!$H$28*ABS($BQ$100),0)</f>
        <v>0</v>
      </c>
      <c r="BS134" s="296"/>
      <c r="BT134" s="296">
        <f>IF(BP134&gt;'Summary Table'!$H$27,0,-$BQ$92+BR134+BS134)</f>
        <v>0</v>
      </c>
      <c r="BU134" s="296">
        <f t="shared" si="28"/>
        <v>3968.3321168791963</v>
      </c>
      <c r="BV134" s="296">
        <f t="shared" si="29"/>
        <v>0</v>
      </c>
      <c r="BW134" s="296">
        <f t="shared" si="26"/>
        <v>0</v>
      </c>
      <c r="BX134" s="297">
        <f t="shared" si="27"/>
        <v>0</v>
      </c>
      <c r="BY134" s="297">
        <f t="shared" si="24"/>
        <v>0</v>
      </c>
      <c r="BZ134" s="298">
        <f>IF(BP134&gt;'Summary Table'!$H$27,0,BY134+BZ133)</f>
        <v>0</v>
      </c>
    </row>
    <row r="135" spans="2:83" ht="22" thickBot="1">
      <c r="B135" s="43" t="s">
        <v>84</v>
      </c>
      <c r="C135" s="194">
        <v>0.5</v>
      </c>
      <c r="D135" s="128">
        <f>$H$130*C135</f>
        <v>9.1321683428571436</v>
      </c>
      <c r="E135" s="5"/>
      <c r="F135" s="5"/>
      <c r="G135" s="5"/>
      <c r="H135" s="5"/>
      <c r="W135" s="27"/>
      <c r="X135" s="213">
        <v>28</v>
      </c>
      <c r="Y135" s="214"/>
      <c r="Z135" s="296">
        <f>IF(X135='Summary Table'!$H$27,-$Z$107+'Summary Table'!$H$28*ABS($Y$107),0)</f>
        <v>0</v>
      </c>
      <c r="AA135" s="214"/>
      <c r="AB135" s="296">
        <f>IF(X135&gt;'Summary Table'!$H$27,0,-$Y$99+Z135+AA135)</f>
        <v>36.281772764862694</v>
      </c>
      <c r="AC135" s="214">
        <f t="shared" si="34"/>
        <v>128.86550911212487</v>
      </c>
      <c r="AD135" s="214">
        <f t="shared" si="35"/>
        <v>29.025418211890155</v>
      </c>
      <c r="AE135" s="214">
        <f t="shared" si="32"/>
        <v>34.41688964474875</v>
      </c>
      <c r="AF135" s="215">
        <f t="shared" si="33"/>
        <v>34.41688964474875</v>
      </c>
      <c r="AG135" s="215">
        <f t="shared" si="30"/>
        <v>2.3865824071464647</v>
      </c>
      <c r="AH135" s="298">
        <f>IF(X135&gt;'Summary Table'!$H$27,0,AG135+AH134)</f>
        <v>-708.85346986322725</v>
      </c>
      <c r="AI135" s="10"/>
      <c r="AJ135" s="10"/>
      <c r="AK135" s="10"/>
      <c r="AL135" s="10"/>
      <c r="AM135" s="10"/>
      <c r="AS135" s="27"/>
      <c r="AT135" s="227" t="s">
        <v>629</v>
      </c>
      <c r="AU135" s="228">
        <f>AU63+SUM(AU107:AU110)+AU127</f>
        <v>743.73530039232685</v>
      </c>
      <c r="AV135" s="204" t="s">
        <v>616</v>
      </c>
      <c r="AW135" s="199"/>
      <c r="AX135" s="199"/>
      <c r="AY135" s="199"/>
      <c r="AZ135" s="199"/>
      <c r="BA135" s="199"/>
      <c r="BB135" s="199"/>
      <c r="BC135" s="199"/>
      <c r="BD135" s="199"/>
      <c r="BE135" s="10"/>
      <c r="BF135" s="10"/>
      <c r="BG135" s="10"/>
      <c r="BH135" s="10"/>
      <c r="BI135" s="10"/>
      <c r="BJ135" s="10"/>
      <c r="BK135" s="10"/>
      <c r="BO135" s="27"/>
      <c r="BP135" s="223">
        <v>35</v>
      </c>
      <c r="BQ135" s="224"/>
      <c r="BR135" s="224">
        <f>IF(BP135='Summary Table'!$H$27,-$BR$100+'Summary Table'!$H$28*ABS($BQ$100),0)</f>
        <v>0</v>
      </c>
      <c r="BS135" s="224"/>
      <c r="BT135" s="224">
        <f>IF(BP135&gt;'Summary Table'!$H$27,0,-$BQ$92+BR135+BS135)</f>
        <v>0</v>
      </c>
      <c r="BU135" s="224">
        <f t="shared" si="28"/>
        <v>3968.3321168791963</v>
      </c>
      <c r="BV135" s="224">
        <f t="shared" si="29"/>
        <v>0</v>
      </c>
      <c r="BW135" s="224">
        <f t="shared" si="26"/>
        <v>0</v>
      </c>
      <c r="BX135" s="225">
        <f t="shared" si="27"/>
        <v>0</v>
      </c>
      <c r="BY135" s="225">
        <f t="shared" si="24"/>
        <v>0</v>
      </c>
      <c r="BZ135" s="226">
        <f>IF(BP135&gt;'Summary Table'!$H$27,0,BY135+BZ134)</f>
        <v>0</v>
      </c>
    </row>
    <row r="136" spans="2:83" ht="22" thickBot="1">
      <c r="B136" s="5"/>
      <c r="C136" s="166"/>
      <c r="D136" s="5"/>
      <c r="E136" s="5"/>
      <c r="F136" s="5"/>
      <c r="G136" s="5"/>
      <c r="H136" s="5"/>
      <c r="W136" s="27"/>
      <c r="X136" s="223">
        <v>29</v>
      </c>
      <c r="Y136" s="224"/>
      <c r="Z136" s="224">
        <f>IF(X136='Summary Table'!$H$27,-$Z$107+'Summary Table'!$H$28*ABS($Y$107),0)</f>
        <v>0</v>
      </c>
      <c r="AA136" s="224"/>
      <c r="AB136" s="224">
        <f>IF(X136&gt;'Summary Table'!$H$27,0,-$Y$99+Z136+AA136)</f>
        <v>36.281772764862694</v>
      </c>
      <c r="AC136" s="224">
        <f t="shared" si="34"/>
        <v>99.840090900234713</v>
      </c>
      <c r="AD136" s="224">
        <f t="shared" si="35"/>
        <v>29.025418211890155</v>
      </c>
      <c r="AE136" s="224">
        <f t="shared" si="32"/>
        <v>34.41688964474875</v>
      </c>
      <c r="AF136" s="225">
        <f t="shared" si="33"/>
        <v>34.41688964474875</v>
      </c>
      <c r="AG136" s="225">
        <f t="shared" si="30"/>
        <v>2.16962037013315</v>
      </c>
      <c r="AH136" s="226">
        <f>IF(X136&gt;'Summary Table'!$H$27,0,AG136+AH135)</f>
        <v>-706.68384949309404</v>
      </c>
      <c r="AI136" s="10"/>
      <c r="AJ136" s="10"/>
      <c r="AK136" s="10"/>
      <c r="AL136" s="10"/>
      <c r="AM136" s="10"/>
      <c r="AS136" s="27"/>
      <c r="AT136" s="205" t="s">
        <v>630</v>
      </c>
      <c r="AU136" s="211">
        <f>AU74</f>
        <v>-592.38306357009424</v>
      </c>
      <c r="AV136" s="212" t="s">
        <v>616</v>
      </c>
      <c r="AW136" s="199"/>
      <c r="AX136" s="199"/>
      <c r="AY136" s="199"/>
      <c r="AZ136" s="199"/>
      <c r="BA136" s="199"/>
      <c r="BB136" s="199"/>
      <c r="BC136" s="199"/>
      <c r="BD136" s="199"/>
      <c r="BE136" s="10"/>
      <c r="BF136" s="10"/>
      <c r="BG136" s="10"/>
      <c r="BH136" s="10"/>
      <c r="BI136" s="10"/>
      <c r="BJ136" s="10"/>
      <c r="BK136" s="10"/>
      <c r="BO136" s="27"/>
      <c r="BP136" s="295">
        <v>36</v>
      </c>
      <c r="BQ136" s="296"/>
      <c r="BR136" s="296">
        <f>IF(BP136='Summary Table'!$H$27,-$BR$100+'Summary Table'!$H$28*ABS($BQ$100),0)</f>
        <v>0</v>
      </c>
      <c r="BS136" s="296"/>
      <c r="BT136" s="296">
        <f>IF(BP136&gt;'Summary Table'!$H$27,0,-$BQ$92+BR136+BS136)</f>
        <v>0</v>
      </c>
      <c r="BU136" s="296">
        <f t="shared" si="28"/>
        <v>3968.3321168791963</v>
      </c>
      <c r="BV136" s="296">
        <f t="shared" si="29"/>
        <v>0</v>
      </c>
      <c r="BW136" s="296">
        <f t="shared" si="26"/>
        <v>0</v>
      </c>
      <c r="BX136" s="297">
        <f t="shared" si="27"/>
        <v>0</v>
      </c>
      <c r="BY136" s="297">
        <f t="shared" si="24"/>
        <v>0</v>
      </c>
      <c r="BZ136" s="298">
        <f>IF(BP136&gt;'Summary Table'!$H$27,0,BY136+BZ135)</f>
        <v>0</v>
      </c>
    </row>
    <row r="137" spans="2:83" ht="22" thickBot="1">
      <c r="B137" s="197"/>
      <c r="C137" s="198" t="s">
        <v>97</v>
      </c>
      <c r="D137" s="105" t="s">
        <v>615</v>
      </c>
      <c r="E137" s="5"/>
      <c r="F137" s="5"/>
      <c r="G137" s="5"/>
      <c r="H137" s="5"/>
      <c r="W137" s="27"/>
      <c r="X137" s="295">
        <v>30</v>
      </c>
      <c r="Y137" s="296"/>
      <c r="Z137" s="296">
        <f>IF(X137='Summary Table'!$H$27,-$Z$107+'Summary Table'!$H$28*ABS($Y$107),0)</f>
        <v>247.90509400740973</v>
      </c>
      <c r="AA137" s="296"/>
      <c r="AB137" s="296">
        <f>IF(X137&gt;'Summary Table'!$H$27,0,-$Y$99+Z137+AA137)</f>
        <v>284.18686677227242</v>
      </c>
      <c r="AC137" s="296">
        <f t="shared" si="34"/>
        <v>70.814672688344558</v>
      </c>
      <c r="AD137" s="296">
        <f t="shared" si="35"/>
        <v>70.814672688344558</v>
      </c>
      <c r="AE137" s="296">
        <f t="shared" si="32"/>
        <v>229.35021289270296</v>
      </c>
      <c r="AF137" s="297">
        <f t="shared" si="33"/>
        <v>229.35021289270296</v>
      </c>
      <c r="AG137" s="297">
        <f t="shared" si="30"/>
        <v>13.143728900195686</v>
      </c>
      <c r="AH137" s="298">
        <f>IF(X137&gt;'Summary Table'!$H$27,0,AG137+AH136)</f>
        <v>-693.54012059289835</v>
      </c>
      <c r="AI137" s="10"/>
      <c r="AJ137" s="10"/>
      <c r="AK137" s="10"/>
      <c r="AL137" s="10"/>
      <c r="AM137" s="10"/>
      <c r="AS137" s="27"/>
      <c r="AT137" s="200" t="s">
        <v>360</v>
      </c>
      <c r="AU137" s="207">
        <f>'Summary Table'!H30</f>
        <v>0.25700000000000001</v>
      </c>
      <c r="AV137" s="209"/>
      <c r="AW137" s="199"/>
      <c r="AX137" s="199"/>
      <c r="AY137" s="199"/>
      <c r="AZ137" s="199"/>
      <c r="BA137" s="199"/>
      <c r="BB137" s="199"/>
      <c r="BC137" s="199"/>
      <c r="BD137" s="199"/>
      <c r="BE137" s="10"/>
      <c r="BF137" s="10"/>
      <c r="BG137" s="10"/>
      <c r="BH137" s="10"/>
      <c r="BI137" s="10"/>
      <c r="BJ137" s="10"/>
      <c r="BK137" s="10"/>
      <c r="BO137" s="27"/>
      <c r="BP137" s="223">
        <v>37</v>
      </c>
      <c r="BQ137" s="224"/>
      <c r="BR137" s="224">
        <f>IF(BP137='Summary Table'!$H$27,-$BR$100+'Summary Table'!$H$28*ABS($BQ$100),0)</f>
        <v>0</v>
      </c>
      <c r="BS137" s="224"/>
      <c r="BT137" s="224">
        <f>IF(BP137&gt;'Summary Table'!$H$27,0,-$BQ$92+BR137+BS137)</f>
        <v>0</v>
      </c>
      <c r="BU137" s="224">
        <f t="shared" si="28"/>
        <v>3968.3321168791963</v>
      </c>
      <c r="BV137" s="224">
        <f t="shared" si="29"/>
        <v>0</v>
      </c>
      <c r="BW137" s="224">
        <f t="shared" si="26"/>
        <v>0</v>
      </c>
      <c r="BX137" s="225">
        <f t="shared" si="27"/>
        <v>0</v>
      </c>
      <c r="BY137" s="225">
        <f t="shared" si="24"/>
        <v>0</v>
      </c>
      <c r="BZ137" s="226">
        <f>IF(BP137&gt;'Summary Table'!$H$27,0,BY137+BZ136)</f>
        <v>0</v>
      </c>
    </row>
    <row r="138" spans="2:83" ht="22" thickBot="1">
      <c r="B138" s="59" t="s">
        <v>86</v>
      </c>
      <c r="C138" s="195">
        <v>0.08</v>
      </c>
      <c r="D138" s="196">
        <f>(SUM(T23:T51)-T23-T24-T35-T45)*C138</f>
        <v>52.237087167742622</v>
      </c>
      <c r="E138" s="5"/>
      <c r="F138" s="5"/>
      <c r="G138" s="5"/>
      <c r="H138" s="5"/>
      <c r="W138" s="27"/>
      <c r="X138" s="223">
        <v>31</v>
      </c>
      <c r="Y138" s="224"/>
      <c r="Z138" s="224">
        <f>IF(X138='Summary Table'!$H$27,-$Z$107+'Summary Table'!$H$28*ABS($Y$107),0)</f>
        <v>0</v>
      </c>
      <c r="AA138" s="224"/>
      <c r="AB138" s="224">
        <f>IF(X138&gt;'Summary Table'!$H$27,0,-$Y$99+Z138+AA138)</f>
        <v>0</v>
      </c>
      <c r="AC138" s="224">
        <f t="shared" si="34"/>
        <v>0</v>
      </c>
      <c r="AD138" s="224">
        <f t="shared" si="35"/>
        <v>0</v>
      </c>
      <c r="AE138" s="224">
        <f t="shared" si="32"/>
        <v>0</v>
      </c>
      <c r="AF138" s="225">
        <f t="shared" si="33"/>
        <v>0</v>
      </c>
      <c r="AG138" s="225">
        <f t="shared" si="30"/>
        <v>0</v>
      </c>
      <c r="AH138" s="226">
        <f>IF(X138&gt;'Summary Table'!$H$27,0,AG138+AH137)</f>
        <v>0</v>
      </c>
      <c r="AI138" s="10"/>
      <c r="AJ138" s="10"/>
      <c r="AK138" s="10"/>
      <c r="AL138" s="10"/>
      <c r="AM138" s="10"/>
      <c r="AS138" s="27"/>
      <c r="AT138" s="206" t="s">
        <v>98</v>
      </c>
      <c r="AU138" s="208">
        <f>'Summary Table'!H31</f>
        <v>0.1</v>
      </c>
      <c r="AV138" s="210"/>
      <c r="AW138" s="199"/>
      <c r="AX138" s="199"/>
      <c r="AY138" s="199"/>
      <c r="AZ138" s="199"/>
      <c r="BA138" s="199"/>
      <c r="BB138" s="199"/>
      <c r="BC138" s="199"/>
      <c r="BD138" s="199"/>
      <c r="BE138" s="10"/>
      <c r="BF138" s="10"/>
      <c r="BG138" s="10"/>
      <c r="BH138" s="10"/>
      <c r="BI138" s="10"/>
      <c r="BJ138" s="10"/>
      <c r="BK138" s="10"/>
      <c r="BO138" s="27"/>
      <c r="BP138" s="295">
        <v>38</v>
      </c>
      <c r="BQ138" s="296"/>
      <c r="BR138" s="296">
        <f>IF(BP138='Summary Table'!$H$27,-$BR$100+'Summary Table'!$H$28*ABS($BQ$100),0)</f>
        <v>0</v>
      </c>
      <c r="BS138" s="296"/>
      <c r="BT138" s="296">
        <f>IF(BP138&gt;'Summary Table'!$H$27,0,-$BQ$92+BR138+BS138)</f>
        <v>0</v>
      </c>
      <c r="BU138" s="296">
        <f t="shared" si="28"/>
        <v>3968.3321168791963</v>
      </c>
      <c r="BV138" s="296">
        <f t="shared" si="29"/>
        <v>0</v>
      </c>
      <c r="BW138" s="296">
        <f t="shared" si="26"/>
        <v>0</v>
      </c>
      <c r="BX138" s="297">
        <f t="shared" si="27"/>
        <v>0</v>
      </c>
      <c r="BY138" s="297">
        <f t="shared" si="24"/>
        <v>0</v>
      </c>
      <c r="BZ138" s="298">
        <f>IF(BP138&gt;'Summary Table'!$H$27,0,BY138+BZ137)</f>
        <v>0</v>
      </c>
    </row>
    <row r="139" spans="2:83" ht="22" thickBot="1">
      <c r="B139" s="5"/>
      <c r="C139" s="5"/>
      <c r="D139" s="5"/>
      <c r="E139" s="5"/>
      <c r="F139" s="5"/>
      <c r="G139" s="5"/>
      <c r="H139" s="5"/>
      <c r="W139" s="27"/>
      <c r="X139" s="295">
        <v>32</v>
      </c>
      <c r="Y139" s="296"/>
      <c r="Z139" s="296">
        <f>IF(X139='Summary Table'!$H$27,-$Z$107+'Summary Table'!$H$28*ABS($Y$107),0)</f>
        <v>0</v>
      </c>
      <c r="AA139" s="296"/>
      <c r="AB139" s="296">
        <f>IF(X139&gt;'Summary Table'!$H$27,0,-$Y$99+Z139+AA139)</f>
        <v>0</v>
      </c>
      <c r="AC139" s="296">
        <f t="shared" si="34"/>
        <v>0</v>
      </c>
      <c r="AD139" s="296">
        <f t="shared" si="35"/>
        <v>0</v>
      </c>
      <c r="AE139" s="296">
        <f t="shared" si="32"/>
        <v>0</v>
      </c>
      <c r="AF139" s="297">
        <f t="shared" si="33"/>
        <v>0</v>
      </c>
      <c r="AG139" s="297">
        <f t="shared" ref="AG139:AG157" si="36">AF139*1/(1+$Y$103)^ABS((--X139))</f>
        <v>0</v>
      </c>
      <c r="AH139" s="298">
        <f>IF(X139&gt;'Summary Table'!$H$27,0,AG139+AH138)</f>
        <v>0</v>
      </c>
      <c r="AI139" s="10"/>
      <c r="AJ139" s="10"/>
      <c r="AK139" s="10"/>
      <c r="AL139" s="10"/>
      <c r="AM139" s="10"/>
      <c r="AS139" s="27"/>
      <c r="AT139" s="301"/>
      <c r="AU139" s="302"/>
      <c r="AV139" s="303"/>
      <c r="AW139" s="304"/>
      <c r="AX139" s="304"/>
      <c r="AY139" s="304"/>
      <c r="AZ139" s="304"/>
      <c r="BA139" s="304"/>
      <c r="BB139" s="304"/>
      <c r="BC139" s="304"/>
      <c r="BD139" s="304"/>
      <c r="BE139" s="10"/>
      <c r="BF139" s="10"/>
      <c r="BG139" s="10"/>
      <c r="BH139" s="10"/>
      <c r="BI139" s="10"/>
      <c r="BJ139" s="10"/>
      <c r="BK139" s="10"/>
      <c r="BO139" s="27"/>
      <c r="BP139" s="223">
        <v>39</v>
      </c>
      <c r="BQ139" s="224"/>
      <c r="BR139" s="224">
        <f>IF(BP139='Summary Table'!$H$27,-$BR$100+'Summary Table'!$H$28*ABS($BQ$100),0)</f>
        <v>0</v>
      </c>
      <c r="BS139" s="224"/>
      <c r="BT139" s="224">
        <f>IF(BP139&gt;'Summary Table'!$H$27,0,-$BQ$92+BR139+BS139)</f>
        <v>0</v>
      </c>
      <c r="BU139" s="224">
        <f t="shared" si="28"/>
        <v>3968.3321168791963</v>
      </c>
      <c r="BV139" s="224">
        <f t="shared" si="29"/>
        <v>0</v>
      </c>
      <c r="BW139" s="224">
        <f t="shared" si="26"/>
        <v>0</v>
      </c>
      <c r="BX139" s="225">
        <f t="shared" si="27"/>
        <v>0</v>
      </c>
      <c r="BY139" s="225">
        <f t="shared" si="24"/>
        <v>0</v>
      </c>
      <c r="BZ139" s="226">
        <f>IF(BP139&gt;'Summary Table'!$H$27,0,BY139+BZ138)</f>
        <v>0</v>
      </c>
    </row>
    <row r="140" spans="2:83" ht="22" thickBot="1">
      <c r="B140" s="169" t="s">
        <v>783</v>
      </c>
      <c r="C140" s="170">
        <f>H130+SUM(D133:D135)+D138</f>
        <v>86.482718453456911</v>
      </c>
      <c r="D140" s="171" t="s">
        <v>616</v>
      </c>
      <c r="E140" s="5"/>
      <c r="F140" s="5"/>
      <c r="G140" s="5"/>
      <c r="H140" s="5"/>
      <c r="W140" s="27"/>
      <c r="X140" s="223">
        <v>33</v>
      </c>
      <c r="Y140" s="224"/>
      <c r="Z140" s="224">
        <f>IF(X140='Summary Table'!$H$27,-$Z$107+'Summary Table'!$H$28*ABS($Y$107),0)</f>
        <v>0</v>
      </c>
      <c r="AA140" s="224"/>
      <c r="AB140" s="224">
        <f>IF(X140&gt;'Summary Table'!$H$27,0,-$Y$99+Z140+AA140)</f>
        <v>0</v>
      </c>
      <c r="AC140" s="224">
        <f t="shared" si="34"/>
        <v>0</v>
      </c>
      <c r="AD140" s="224">
        <f t="shared" si="35"/>
        <v>0</v>
      </c>
      <c r="AE140" s="224">
        <f t="shared" ref="AE140:AE157" si="37">IF(AB140&gt;0,(AB140-AD140)*(1-$Y$102)+AD140,AB140)</f>
        <v>0</v>
      </c>
      <c r="AF140" s="225">
        <f t="shared" si="33"/>
        <v>0</v>
      </c>
      <c r="AG140" s="225">
        <f t="shared" si="36"/>
        <v>0</v>
      </c>
      <c r="AH140" s="226">
        <f>IF(X140&gt;'Summary Table'!$H$27,0,AG140+AH139)</f>
        <v>0</v>
      </c>
      <c r="AI140" s="10"/>
      <c r="AJ140" s="10"/>
      <c r="AK140" s="10"/>
      <c r="AL140" s="10"/>
      <c r="AM140" s="10"/>
      <c r="AS140" s="27"/>
      <c r="AT140" s="199">
        <v>1</v>
      </c>
      <c r="AU140" s="199">
        <v>2</v>
      </c>
      <c r="AV140" s="199">
        <v>3</v>
      </c>
      <c r="AW140" s="199">
        <v>4</v>
      </c>
      <c r="AX140" s="199">
        <v>5</v>
      </c>
      <c r="AY140" s="199">
        <v>6</v>
      </c>
      <c r="AZ140" s="199">
        <v>7</v>
      </c>
      <c r="BA140" s="199">
        <v>8</v>
      </c>
      <c r="BB140" s="199">
        <v>9</v>
      </c>
      <c r="BC140" s="199">
        <v>10</v>
      </c>
      <c r="BD140" s="199">
        <v>11</v>
      </c>
      <c r="BE140" s="10"/>
      <c r="BF140" s="693" t="s">
        <v>110</v>
      </c>
      <c r="BG140" s="694"/>
      <c r="BH140" s="10"/>
      <c r="BI140" s="693" t="s">
        <v>735</v>
      </c>
      <c r="BJ140" s="694"/>
      <c r="BK140" s="10"/>
      <c r="BO140" s="27"/>
      <c r="BP140" s="295">
        <v>40</v>
      </c>
      <c r="BQ140" s="296"/>
      <c r="BR140" s="296">
        <f>IF(BP140='Summary Table'!$H$27,-$BR$100+'Summary Table'!$H$28*ABS($BQ$100),0)</f>
        <v>0</v>
      </c>
      <c r="BS140" s="296"/>
      <c r="BT140" s="296">
        <f>IF(BP140&gt;'Summary Table'!$H$27,0,-$BQ$92+BR140+BS140)</f>
        <v>0</v>
      </c>
      <c r="BU140" s="296">
        <f t="shared" si="28"/>
        <v>3968.3321168791963</v>
      </c>
      <c r="BV140" s="296">
        <f t="shared" si="29"/>
        <v>0</v>
      </c>
      <c r="BW140" s="296">
        <f t="shared" si="26"/>
        <v>0</v>
      </c>
      <c r="BX140" s="297">
        <f t="shared" si="27"/>
        <v>0</v>
      </c>
      <c r="BY140" s="297">
        <f t="shared" si="24"/>
        <v>0</v>
      </c>
      <c r="BZ140" s="298">
        <f>IF(BP140&gt;'Summary Table'!$H$27,0,BY140+BZ139)</f>
        <v>0</v>
      </c>
    </row>
    <row r="141" spans="2:83" ht="17" thickBot="1">
      <c r="B141" s="5"/>
      <c r="C141" s="5"/>
      <c r="D141" s="5"/>
      <c r="E141" s="5"/>
      <c r="F141" s="5"/>
      <c r="G141" s="5"/>
      <c r="H141" s="5"/>
      <c r="W141" s="27"/>
      <c r="X141" s="295">
        <v>34</v>
      </c>
      <c r="Y141" s="296"/>
      <c r="Z141" s="296">
        <f>IF(X141='Summary Table'!$H$27,-$Z$107+'Summary Table'!$H$28*ABS($Y$107),0)</f>
        <v>0</v>
      </c>
      <c r="AA141" s="296"/>
      <c r="AB141" s="296">
        <f>IF(X141&gt;'Summary Table'!$H$27,0,-$Y$99+Z141+AA141)</f>
        <v>0</v>
      </c>
      <c r="AC141" s="296">
        <f t="shared" si="34"/>
        <v>0</v>
      </c>
      <c r="AD141" s="296">
        <f t="shared" si="35"/>
        <v>0</v>
      </c>
      <c r="AE141" s="296">
        <f t="shared" si="37"/>
        <v>0</v>
      </c>
      <c r="AF141" s="297">
        <f t="shared" si="33"/>
        <v>0</v>
      </c>
      <c r="AG141" s="297">
        <f t="shared" si="36"/>
        <v>0</v>
      </c>
      <c r="AH141" s="298">
        <f>IF(X141&gt;'Summary Table'!$H$27,0,AG141+AH140)</f>
        <v>0</v>
      </c>
      <c r="AS141" s="27"/>
      <c r="AT141" s="536" t="s">
        <v>99</v>
      </c>
      <c r="AU141" s="537" t="s">
        <v>100</v>
      </c>
      <c r="AV141" s="537" t="s">
        <v>101</v>
      </c>
      <c r="AW141" s="537" t="s">
        <v>102</v>
      </c>
      <c r="AX141" s="537" t="s">
        <v>103</v>
      </c>
      <c r="AY141" s="537" t="s">
        <v>104</v>
      </c>
      <c r="AZ141" s="537" t="s">
        <v>105</v>
      </c>
      <c r="BA141" s="537" t="s">
        <v>106</v>
      </c>
      <c r="BB141" s="537" t="s">
        <v>107</v>
      </c>
      <c r="BC141" s="537" t="s">
        <v>108</v>
      </c>
      <c r="BD141" s="538" t="s">
        <v>109</v>
      </c>
      <c r="BE141" s="10"/>
      <c r="BF141" s="221" t="s">
        <v>99</v>
      </c>
      <c r="BG141" s="222" t="s">
        <v>625</v>
      </c>
      <c r="BH141" s="10"/>
      <c r="BI141" s="440" t="s">
        <v>99</v>
      </c>
      <c r="BJ141" s="441" t="s">
        <v>736</v>
      </c>
      <c r="BK141" s="10"/>
      <c r="BO141" s="27"/>
      <c r="BP141" s="223">
        <v>41</v>
      </c>
      <c r="BQ141" s="224"/>
      <c r="BR141" s="224">
        <f>IF(BP141='Summary Table'!$H$27,-$BR$100+'Summary Table'!$H$28*ABS($BQ$100),0)</f>
        <v>0</v>
      </c>
      <c r="BS141" s="224"/>
      <c r="BT141" s="224">
        <f>IF(BP141&gt;'Summary Table'!$H$27,0,-$BQ$92+BR141+BS141)</f>
        <v>0</v>
      </c>
      <c r="BU141" s="224">
        <f t="shared" si="28"/>
        <v>3968.3321168791963</v>
      </c>
      <c r="BV141" s="224">
        <f t="shared" si="29"/>
        <v>0</v>
      </c>
      <c r="BW141" s="224">
        <f t="shared" si="26"/>
        <v>0</v>
      </c>
      <c r="BX141" s="225">
        <f t="shared" si="27"/>
        <v>0</v>
      </c>
      <c r="BY141" s="225">
        <f t="shared" si="24"/>
        <v>0</v>
      </c>
      <c r="BZ141" s="226">
        <f>IF(BP141&gt;'Summary Table'!$H$27,0,BY141+BZ140)</f>
        <v>0</v>
      </c>
    </row>
    <row r="142" spans="2:83">
      <c r="B142" s="5"/>
      <c r="C142" s="5"/>
      <c r="D142" s="5"/>
      <c r="E142" s="5"/>
      <c r="F142" s="5"/>
      <c r="G142" s="5"/>
      <c r="H142" s="5"/>
      <c r="W142" s="27"/>
      <c r="X142" s="223">
        <v>35</v>
      </c>
      <c r="Y142" s="224"/>
      <c r="Z142" s="224">
        <f>IF(X142='Summary Table'!$H$27,-$Z$107+'Summary Table'!$H$28*ABS($Y$107),0)</f>
        <v>0</v>
      </c>
      <c r="AA142" s="224"/>
      <c r="AB142" s="224">
        <f>IF(X142&gt;'Summary Table'!$H$27,0,-$Y$99+Z142+AA142)</f>
        <v>0</v>
      </c>
      <c r="AC142" s="224">
        <f t="shared" si="34"/>
        <v>0</v>
      </c>
      <c r="AD142" s="224">
        <f t="shared" si="35"/>
        <v>0</v>
      </c>
      <c r="AE142" s="224">
        <f t="shared" si="37"/>
        <v>0</v>
      </c>
      <c r="AF142" s="225">
        <f t="shared" si="33"/>
        <v>0</v>
      </c>
      <c r="AG142" s="225">
        <f t="shared" si="36"/>
        <v>0</v>
      </c>
      <c r="AH142" s="226">
        <f>IF(X142&gt;'Summary Table'!$H$27,0,AG142+AH141)</f>
        <v>0</v>
      </c>
      <c r="AS142" s="27"/>
      <c r="AT142" s="213">
        <v>0</v>
      </c>
      <c r="AU142" s="214">
        <f>-AU133</f>
        <v>-591.17723530117064</v>
      </c>
      <c r="AV142" s="214">
        <f>'Summary Table'!H29*AU142</f>
        <v>-29.558861765058534</v>
      </c>
      <c r="AW142" s="214"/>
      <c r="AX142" s="214"/>
      <c r="AY142" s="214"/>
      <c r="AZ142" s="214"/>
      <c r="BA142" s="214"/>
      <c r="BB142" s="215">
        <f>AU142+AV142</f>
        <v>-620.73609706622915</v>
      </c>
      <c r="BC142" s="215">
        <f t="shared" ref="BC142:BC173" si="38">BB142*1/(1+$AU$138)^ABS((--AT142))</f>
        <v>-620.73609706622915</v>
      </c>
      <c r="BD142" s="216">
        <f>BC142</f>
        <v>-620.73609706622915</v>
      </c>
      <c r="BE142" s="10"/>
      <c r="BF142" s="213">
        <v>1</v>
      </c>
      <c r="BG142" s="219">
        <v>10</v>
      </c>
      <c r="BH142" s="10"/>
      <c r="BI142" s="213">
        <v>2000</v>
      </c>
      <c r="BJ142" s="372">
        <v>394.1</v>
      </c>
      <c r="BK142" s="10"/>
      <c r="BO142" s="27"/>
      <c r="BP142" s="295">
        <v>42</v>
      </c>
      <c r="BQ142" s="296"/>
      <c r="BR142" s="296">
        <f>IF(BP142='Summary Table'!$H$27,-$BR$100+'Summary Table'!$H$28*ABS($BQ$100),0)</f>
        <v>0</v>
      </c>
      <c r="BS142" s="296"/>
      <c r="BT142" s="296">
        <f>IF(BP142&gt;'Summary Table'!$H$27,0,-$BQ$92+BR142+BS142)</f>
        <v>0</v>
      </c>
      <c r="BU142" s="296">
        <f t="shared" si="28"/>
        <v>3968.3321168791963</v>
      </c>
      <c r="BV142" s="296">
        <f t="shared" si="29"/>
        <v>0</v>
      </c>
      <c r="BW142" s="296">
        <f t="shared" si="26"/>
        <v>0</v>
      </c>
      <c r="BX142" s="297">
        <f t="shared" si="27"/>
        <v>0</v>
      </c>
      <c r="BY142" s="297">
        <f t="shared" si="24"/>
        <v>0</v>
      </c>
      <c r="BZ142" s="298">
        <f>IF(BP142&gt;'Summary Table'!$H$27,0,BY142+BZ141)</f>
        <v>0</v>
      </c>
    </row>
    <row r="143" spans="2:83">
      <c r="B143" s="5"/>
      <c r="C143" s="5"/>
      <c r="D143" s="14"/>
      <c r="E143" s="14"/>
      <c r="F143" s="5"/>
      <c r="G143" s="5"/>
      <c r="H143" s="5"/>
      <c r="W143" s="27"/>
      <c r="X143" s="295">
        <v>36</v>
      </c>
      <c r="Y143" s="296"/>
      <c r="Z143" s="296">
        <f>IF(X143='Summary Table'!$H$27,-$Z$107+'Summary Table'!$H$28*ABS($Y$107),0)</f>
        <v>0</v>
      </c>
      <c r="AA143" s="296"/>
      <c r="AB143" s="296">
        <f>IF(X143&gt;'Summary Table'!$H$27,0,-$Y$99+Z143+AA143)</f>
        <v>0</v>
      </c>
      <c r="AC143" s="296">
        <f t="shared" si="34"/>
        <v>0</v>
      </c>
      <c r="AD143" s="296">
        <f t="shared" si="35"/>
        <v>0</v>
      </c>
      <c r="AE143" s="296">
        <f t="shared" si="37"/>
        <v>0</v>
      </c>
      <c r="AF143" s="297">
        <f t="shared" si="33"/>
        <v>0</v>
      </c>
      <c r="AG143" s="297">
        <f t="shared" si="36"/>
        <v>0</v>
      </c>
      <c r="AH143" s="298">
        <f>IF(X143&gt;'Summary Table'!$H$27,0,AG143+AH142)</f>
        <v>0</v>
      </c>
      <c r="AS143" s="27"/>
      <c r="AT143" s="223">
        <v>1</v>
      </c>
      <c r="AU143" s="224"/>
      <c r="AV143" s="224">
        <f>IF(AT143='Summary Table'!$H$27,-$AV$142+'Summary Table'!$H$28*ABS($AU$142),0)</f>
        <v>0</v>
      </c>
      <c r="AW143" s="224">
        <f t="shared" ref="AW143:AW153" si="39">($AU$142)*BG142/100</f>
        <v>-59.117723530117061</v>
      </c>
      <c r="AX143" s="224">
        <f>IF(AT143&gt;'Summary Table'!$H$27,0,-$AU$134+AV143+AW143)</f>
        <v>-210.46996035234969</v>
      </c>
      <c r="AY143" s="224">
        <v>0</v>
      </c>
      <c r="AZ143" s="224">
        <v>0</v>
      </c>
      <c r="BA143" s="224">
        <f t="shared" ref="BA143:BA192" si="40">IF(AX143&gt;0,(AX143-AZ143)*(1-$AU$137)+AZ143,AX143)</f>
        <v>-210.46996035234969</v>
      </c>
      <c r="BB143" s="225">
        <f t="shared" ref="BB143:BB192" si="41">BA143-AW143</f>
        <v>-151.35223682223261</v>
      </c>
      <c r="BC143" s="225">
        <f t="shared" si="38"/>
        <v>-137.59294256566599</v>
      </c>
      <c r="BD143" s="226">
        <f>IF(AT143&gt;'Summary Table'!$H$27,0,BC143+BD142)</f>
        <v>-758.32903963189517</v>
      </c>
      <c r="BE143" s="10"/>
      <c r="BF143" s="213">
        <v>2</v>
      </c>
      <c r="BG143" s="219">
        <v>18</v>
      </c>
      <c r="BH143" s="10"/>
      <c r="BI143" s="213">
        <v>2001</v>
      </c>
      <c r="BJ143" s="372">
        <v>394.3</v>
      </c>
      <c r="BK143" s="10"/>
      <c r="BO143" s="27"/>
      <c r="BP143" s="223">
        <v>43</v>
      </c>
      <c r="BQ143" s="224"/>
      <c r="BR143" s="224">
        <f>IF(BP143='Summary Table'!$H$27,-$BR$100+'Summary Table'!$H$28*ABS($BQ$100),0)</f>
        <v>0</v>
      </c>
      <c r="BS143" s="224"/>
      <c r="BT143" s="224">
        <f>IF(BP143&gt;'Summary Table'!$H$27,0,-$BQ$92+BR143+BS143)</f>
        <v>0</v>
      </c>
      <c r="BU143" s="224">
        <f t="shared" si="28"/>
        <v>3968.3321168791963</v>
      </c>
      <c r="BV143" s="224">
        <f t="shared" si="29"/>
        <v>0</v>
      </c>
      <c r="BW143" s="224">
        <f t="shared" si="26"/>
        <v>0</v>
      </c>
      <c r="BX143" s="225">
        <f t="shared" si="27"/>
        <v>0</v>
      </c>
      <c r="BY143" s="225">
        <f t="shared" si="24"/>
        <v>0</v>
      </c>
      <c r="BZ143" s="226">
        <f>IF(BP143&gt;'Summary Table'!$H$27,0,BY143+BZ142)</f>
        <v>0</v>
      </c>
    </row>
    <row r="144" spans="2:83" ht="26">
      <c r="B144" s="678" t="s">
        <v>345</v>
      </c>
      <c r="C144" s="678"/>
      <c r="W144" s="27"/>
      <c r="X144" s="223">
        <v>37</v>
      </c>
      <c r="Y144" s="224"/>
      <c r="Z144" s="224">
        <f>IF(X144='Summary Table'!$H$27,-$Z$107+'Summary Table'!$H$28*ABS($Y$107),0)</f>
        <v>0</v>
      </c>
      <c r="AA144" s="224"/>
      <c r="AB144" s="224">
        <f>IF(X144&gt;'Summary Table'!$H$27,0,-$Y$99+Z144+AA144)</f>
        <v>0</v>
      </c>
      <c r="AC144" s="224">
        <f t="shared" si="34"/>
        <v>0</v>
      </c>
      <c r="AD144" s="224">
        <f t="shared" si="35"/>
        <v>0</v>
      </c>
      <c r="AE144" s="224">
        <f t="shared" si="37"/>
        <v>0</v>
      </c>
      <c r="AF144" s="225">
        <f t="shared" si="33"/>
        <v>0</v>
      </c>
      <c r="AG144" s="225">
        <f t="shared" si="36"/>
        <v>0</v>
      </c>
      <c r="AH144" s="226">
        <f>IF(X144&gt;'Summary Table'!$H$27,0,AG144+AH143)</f>
        <v>0</v>
      </c>
      <c r="AS144" s="27"/>
      <c r="AT144" s="295">
        <v>2</v>
      </c>
      <c r="AU144" s="296"/>
      <c r="AV144" s="296">
        <f>IF(AT144='Summary Table'!$H$27,-$AV$142+'Summary Table'!$H$28*ABS($AU$142),0)</f>
        <v>0</v>
      </c>
      <c r="AW144" s="296">
        <f t="shared" si="39"/>
        <v>-106.41190235421072</v>
      </c>
      <c r="AX144" s="296">
        <f>IF(AT144&gt;'Summary Table'!$H$27,0,-$AU$134+AV144+AW144)</f>
        <v>-257.76413917644334</v>
      </c>
      <c r="AY144" s="296">
        <f t="shared" ref="AY144:AY192" si="42">IF(AX143&lt;0,-AX143+AY143,AY143-AZ143)</f>
        <v>210.46996035234969</v>
      </c>
      <c r="AZ144" s="296">
        <f t="shared" ref="AZ144:AZ192" si="43">IF(AX144&lt;0,0, IF(0.8*AX144&gt;AY144,AY144,0.8*AX144))</f>
        <v>0</v>
      </c>
      <c r="BA144" s="296">
        <f t="shared" si="40"/>
        <v>-257.76413917644334</v>
      </c>
      <c r="BB144" s="297">
        <f t="shared" si="41"/>
        <v>-151.35223682223261</v>
      </c>
      <c r="BC144" s="297">
        <f t="shared" si="38"/>
        <v>-125.08449324151454</v>
      </c>
      <c r="BD144" s="298">
        <f>IF(AT144&gt;'Summary Table'!$H$27,0,BC144+BD143)</f>
        <v>-883.41353287340974</v>
      </c>
      <c r="BE144" s="10"/>
      <c r="BF144" s="213">
        <v>3</v>
      </c>
      <c r="BG144" s="219">
        <v>14.4</v>
      </c>
      <c r="BH144" s="10"/>
      <c r="BI144" s="213">
        <v>2002</v>
      </c>
      <c r="BJ144" s="372">
        <v>395.6</v>
      </c>
      <c r="BK144" s="10"/>
      <c r="BO144" s="27"/>
      <c r="BP144" s="295">
        <v>44</v>
      </c>
      <c r="BQ144" s="296"/>
      <c r="BR144" s="296">
        <f>IF(BP144='Summary Table'!$H$27,-$BR$100+'Summary Table'!$H$28*ABS($BQ$100),0)</f>
        <v>0</v>
      </c>
      <c r="BS144" s="296"/>
      <c r="BT144" s="296">
        <f>IF(BP144&gt;'Summary Table'!$H$27,0,-$BQ$92+BR144+BS144)</f>
        <v>0</v>
      </c>
      <c r="BU144" s="296">
        <f t="shared" si="28"/>
        <v>3968.3321168791963</v>
      </c>
      <c r="BV144" s="296">
        <f t="shared" si="29"/>
        <v>0</v>
      </c>
      <c r="BW144" s="296">
        <f t="shared" si="26"/>
        <v>0</v>
      </c>
      <c r="BX144" s="297">
        <f t="shared" si="27"/>
        <v>0</v>
      </c>
      <c r="BY144" s="297">
        <f t="shared" si="24"/>
        <v>0</v>
      </c>
      <c r="BZ144" s="298">
        <f>IF(BP144&gt;'Summary Table'!$H$27,0,BY144+BZ143)</f>
        <v>0</v>
      </c>
    </row>
    <row r="145" spans="2:78" ht="17" thickBot="1">
      <c r="N145" s="10"/>
      <c r="O145" s="10"/>
      <c r="P145" s="10"/>
      <c r="W145" s="27"/>
      <c r="X145" s="295">
        <v>38</v>
      </c>
      <c r="Y145" s="296"/>
      <c r="Z145" s="296">
        <f>IF(X145='Summary Table'!$H$27,-$Z$107+'Summary Table'!$H$28*ABS($Y$107),0)</f>
        <v>0</v>
      </c>
      <c r="AA145" s="296"/>
      <c r="AB145" s="296">
        <f>IF(X145&gt;'Summary Table'!$H$27,0,-$Y$99+Z145+AA145)</f>
        <v>0</v>
      </c>
      <c r="AC145" s="296">
        <f t="shared" si="34"/>
        <v>0</v>
      </c>
      <c r="AD145" s="296">
        <f t="shared" si="35"/>
        <v>0</v>
      </c>
      <c r="AE145" s="296">
        <f t="shared" si="37"/>
        <v>0</v>
      </c>
      <c r="AF145" s="297">
        <f t="shared" si="33"/>
        <v>0</v>
      </c>
      <c r="AG145" s="297">
        <f t="shared" si="36"/>
        <v>0</v>
      </c>
      <c r="AH145" s="298">
        <f>IF(X145&gt;'Summary Table'!$H$27,0,AG145+AH144)</f>
        <v>0</v>
      </c>
      <c r="AS145" s="27"/>
      <c r="AT145" s="223">
        <v>3</v>
      </c>
      <c r="AU145" s="224"/>
      <c r="AV145" s="224">
        <f>IF(AT145='Summary Table'!$H$27,-$AV$142+'Summary Table'!$H$28*ABS($AU$142),0)</f>
        <v>0</v>
      </c>
      <c r="AW145" s="224">
        <f t="shared" si="39"/>
        <v>-85.129521883368582</v>
      </c>
      <c r="AX145" s="224">
        <f>IF(AT145&gt;'Summary Table'!$H$27,0,-$AU$134+AV145+AW145)</f>
        <v>-236.48175870560118</v>
      </c>
      <c r="AY145" s="224">
        <f t="shared" si="42"/>
        <v>468.23409952879302</v>
      </c>
      <c r="AZ145" s="224">
        <f t="shared" si="43"/>
        <v>0</v>
      </c>
      <c r="BA145" s="224">
        <f t="shared" si="40"/>
        <v>-236.48175870560118</v>
      </c>
      <c r="BB145" s="225">
        <f t="shared" si="41"/>
        <v>-151.35223682223261</v>
      </c>
      <c r="BC145" s="225">
        <f t="shared" si="38"/>
        <v>-113.71317567410411</v>
      </c>
      <c r="BD145" s="226">
        <f>IF(AT145&gt;'Summary Table'!$H$27,0,BC145+BD144)</f>
        <v>-997.12670854751389</v>
      </c>
      <c r="BE145" s="10"/>
      <c r="BF145" s="213">
        <v>4</v>
      </c>
      <c r="BG145" s="219">
        <v>11.52</v>
      </c>
      <c r="BH145" s="10"/>
      <c r="BI145" s="213">
        <v>2003</v>
      </c>
      <c r="BJ145" s="372">
        <v>402</v>
      </c>
      <c r="BK145" s="10"/>
      <c r="BO145" s="27"/>
      <c r="BP145" s="223">
        <v>45</v>
      </c>
      <c r="BQ145" s="224"/>
      <c r="BR145" s="224">
        <f>IF(BP145='Summary Table'!$H$27,-$BR$100+'Summary Table'!$H$28*ABS($BQ$100),0)</f>
        <v>0</v>
      </c>
      <c r="BS145" s="224"/>
      <c r="BT145" s="224">
        <f>IF(BP145&gt;'Summary Table'!$H$27,0,-$BQ$92+BR145+BS145)</f>
        <v>0</v>
      </c>
      <c r="BU145" s="224">
        <f t="shared" si="28"/>
        <v>3968.3321168791963</v>
      </c>
      <c r="BV145" s="224">
        <f t="shared" si="29"/>
        <v>0</v>
      </c>
      <c r="BW145" s="224">
        <f t="shared" si="26"/>
        <v>0</v>
      </c>
      <c r="BX145" s="225">
        <f t="shared" si="27"/>
        <v>0</v>
      </c>
      <c r="BY145" s="225">
        <f t="shared" si="24"/>
        <v>0</v>
      </c>
      <c r="BZ145" s="226">
        <f>IF(BP145&gt;'Summary Table'!$H$27,0,BY145+BZ144)</f>
        <v>0</v>
      </c>
    </row>
    <row r="146" spans="2:78" ht="21">
      <c r="B146" s="201" t="s">
        <v>628</v>
      </c>
      <c r="C146" s="229">
        <f>C53</f>
        <v>1062.0703829050956</v>
      </c>
      <c r="D146" s="181" t="s">
        <v>614</v>
      </c>
      <c r="E146" s="199"/>
      <c r="F146" s="199"/>
      <c r="G146" s="199"/>
      <c r="H146" s="199"/>
      <c r="I146" s="199"/>
      <c r="J146" s="199"/>
      <c r="K146" s="199"/>
      <c r="L146" s="199"/>
      <c r="M146" s="10"/>
      <c r="N146" s="10"/>
      <c r="O146" s="10"/>
      <c r="P146" s="10"/>
      <c r="Q146" s="10"/>
      <c r="R146" s="10"/>
      <c r="S146" s="10"/>
      <c r="W146" s="27"/>
      <c r="X146" s="223">
        <v>39</v>
      </c>
      <c r="Y146" s="224"/>
      <c r="Z146" s="224">
        <f>IF(X146='Summary Table'!$H$27,-$Z$107+'Summary Table'!$H$28*ABS($Y$107),0)</f>
        <v>0</v>
      </c>
      <c r="AA146" s="224"/>
      <c r="AB146" s="224">
        <f>IF(X146&gt;'Summary Table'!$H$27,0,-$Y$99+Z146+AA146)</f>
        <v>0</v>
      </c>
      <c r="AC146" s="224">
        <f t="shared" si="34"/>
        <v>0</v>
      </c>
      <c r="AD146" s="224">
        <f t="shared" si="35"/>
        <v>0</v>
      </c>
      <c r="AE146" s="224">
        <f t="shared" si="37"/>
        <v>0</v>
      </c>
      <c r="AF146" s="225">
        <f t="shared" si="33"/>
        <v>0</v>
      </c>
      <c r="AG146" s="225">
        <f t="shared" si="36"/>
        <v>0</v>
      </c>
      <c r="AH146" s="226">
        <f>IF(X146&gt;'Summary Table'!$H$27,0,AG146+AH145)</f>
        <v>0</v>
      </c>
      <c r="AS146" s="27"/>
      <c r="AT146" s="213">
        <v>4</v>
      </c>
      <c r="AU146" s="214"/>
      <c r="AV146" s="296">
        <f>IF(AT146='Summary Table'!$H$27,-$AV$142+'Summary Table'!$H$28*ABS($AU$142),0)</f>
        <v>0</v>
      </c>
      <c r="AW146" s="296">
        <f t="shared" si="39"/>
        <v>-68.10361750669486</v>
      </c>
      <c r="AX146" s="296">
        <f>IF(AT146&gt;'Summary Table'!$H$27,0,-$AU$134+AV146+AW146)</f>
        <v>-219.45585432892747</v>
      </c>
      <c r="AY146" s="214">
        <f t="shared" si="42"/>
        <v>704.7158582343942</v>
      </c>
      <c r="AZ146" s="214">
        <f t="shared" si="43"/>
        <v>0</v>
      </c>
      <c r="BA146" s="214">
        <f t="shared" si="40"/>
        <v>-219.45585432892747</v>
      </c>
      <c r="BB146" s="215">
        <f t="shared" si="41"/>
        <v>-151.35223682223261</v>
      </c>
      <c r="BC146" s="215">
        <f t="shared" si="38"/>
        <v>-103.37561424918556</v>
      </c>
      <c r="BD146" s="298">
        <f>IF(AT146&gt;'Summary Table'!$H$27,0,BC146+BD145)</f>
        <v>-1100.5023227966994</v>
      </c>
      <c r="BE146" s="10"/>
      <c r="BF146" s="213">
        <v>5</v>
      </c>
      <c r="BG146" s="219">
        <v>9.2200000000000006</v>
      </c>
      <c r="BH146" s="10"/>
      <c r="BI146" s="213">
        <v>2004</v>
      </c>
      <c r="BJ146" s="372">
        <v>444.2</v>
      </c>
      <c r="BK146" s="10"/>
      <c r="BO146" s="27"/>
      <c r="BP146" s="295">
        <v>46</v>
      </c>
      <c r="BQ146" s="296"/>
      <c r="BR146" s="296">
        <f>IF(BP146='Summary Table'!$H$27,-$BR$100+'Summary Table'!$H$28*ABS($BQ$100),0)</f>
        <v>0</v>
      </c>
      <c r="BS146" s="296"/>
      <c r="BT146" s="296">
        <f>IF(BP146&gt;'Summary Table'!$H$27,0,-$BQ$92+BR146+BS146)</f>
        <v>0</v>
      </c>
      <c r="BU146" s="296">
        <f t="shared" si="28"/>
        <v>3968.3321168791963</v>
      </c>
      <c r="BV146" s="296">
        <f t="shared" si="29"/>
        <v>0</v>
      </c>
      <c r="BW146" s="296">
        <f t="shared" si="26"/>
        <v>0</v>
      </c>
      <c r="BX146" s="297">
        <f t="shared" si="27"/>
        <v>0</v>
      </c>
      <c r="BY146" s="297">
        <f t="shared" si="24"/>
        <v>0</v>
      </c>
      <c r="BZ146" s="298">
        <f>IF(BP146&gt;'Summary Table'!$H$27,0,BY146+BZ145)</f>
        <v>0</v>
      </c>
    </row>
    <row r="147" spans="2:78" ht="22" thickBot="1">
      <c r="B147" s="202" t="s">
        <v>627</v>
      </c>
      <c r="C147" s="230">
        <f>C70+SUM(C120:C123)+C140+C81</f>
        <v>-23.088325480981325</v>
      </c>
      <c r="D147" s="186" t="s">
        <v>616</v>
      </c>
      <c r="E147" s="199"/>
      <c r="F147" s="199"/>
      <c r="G147" s="199"/>
      <c r="H147" s="199"/>
      <c r="I147" s="199"/>
      <c r="J147" s="199"/>
      <c r="K147" s="199"/>
      <c r="L147" s="199"/>
      <c r="M147" s="10"/>
      <c r="N147" s="10"/>
      <c r="O147" s="10"/>
      <c r="P147" s="10"/>
      <c r="Q147" s="10"/>
      <c r="R147" s="10"/>
      <c r="S147" s="10"/>
      <c r="W147" s="27"/>
      <c r="X147" s="295">
        <v>40</v>
      </c>
      <c r="Y147" s="296"/>
      <c r="Z147" s="296">
        <f>IF(X147='Summary Table'!$H$27,-$Z$107+'Summary Table'!$H$28*ABS($Y$107),0)</f>
        <v>0</v>
      </c>
      <c r="AA147" s="296"/>
      <c r="AB147" s="296">
        <f>IF(X147&gt;'Summary Table'!$H$27,0,-$Y$99+Z147+AA147)</f>
        <v>0</v>
      </c>
      <c r="AC147" s="296">
        <f t="shared" si="34"/>
        <v>0</v>
      </c>
      <c r="AD147" s="296">
        <f t="shared" si="35"/>
        <v>0</v>
      </c>
      <c r="AE147" s="296">
        <f t="shared" si="37"/>
        <v>0</v>
      </c>
      <c r="AF147" s="297">
        <f t="shared" si="33"/>
        <v>0</v>
      </c>
      <c r="AG147" s="297">
        <f t="shared" si="36"/>
        <v>0</v>
      </c>
      <c r="AH147" s="298">
        <f>IF(X147&gt;'Summary Table'!$H$27,0,AG147+AH146)</f>
        <v>0</v>
      </c>
      <c r="AS147" s="27"/>
      <c r="AT147" s="223">
        <v>5</v>
      </c>
      <c r="AU147" s="224"/>
      <c r="AV147" s="224">
        <f>IF(AT147='Summary Table'!$H$27,-$AV$142+'Summary Table'!$H$28*ABS($AU$142),0)</f>
        <v>0</v>
      </c>
      <c r="AW147" s="224">
        <f t="shared" si="39"/>
        <v>-54.506541094767933</v>
      </c>
      <c r="AX147" s="224">
        <f>IF(AT147&gt;'Summary Table'!$H$27,0,-$AU$134+AV147+AW147)</f>
        <v>-205.85877791700054</v>
      </c>
      <c r="AY147" s="224">
        <f t="shared" si="42"/>
        <v>924.17171256332165</v>
      </c>
      <c r="AZ147" s="224">
        <f t="shared" si="43"/>
        <v>0</v>
      </c>
      <c r="BA147" s="224">
        <f t="shared" si="40"/>
        <v>-205.85877791700054</v>
      </c>
      <c r="BB147" s="225">
        <f t="shared" si="41"/>
        <v>-151.35223682223261</v>
      </c>
      <c r="BC147" s="225">
        <f t="shared" si="38"/>
        <v>-93.977831135623219</v>
      </c>
      <c r="BD147" s="226">
        <f>IF(AT147&gt;'Summary Table'!$H$27,0,BC147+BD146)</f>
        <v>-1194.4801539323228</v>
      </c>
      <c r="BE147" s="10"/>
      <c r="BF147" s="213">
        <v>6</v>
      </c>
      <c r="BG147" s="219">
        <v>7.37</v>
      </c>
      <c r="BH147" s="10"/>
      <c r="BI147" s="213">
        <v>2005</v>
      </c>
      <c r="BJ147" s="372">
        <v>468.2</v>
      </c>
      <c r="BK147" s="10"/>
      <c r="BO147" s="27"/>
      <c r="BP147" s="223">
        <v>47</v>
      </c>
      <c r="BQ147" s="224"/>
      <c r="BR147" s="224">
        <f>IF(BP147='Summary Table'!$H$27,-$BR$100+'Summary Table'!$H$28*ABS($BQ$100),0)</f>
        <v>0</v>
      </c>
      <c r="BS147" s="224"/>
      <c r="BT147" s="224">
        <f>IF(BP147&gt;'Summary Table'!$H$27,0,-$BQ$92+BR147+BS147)</f>
        <v>0</v>
      </c>
      <c r="BU147" s="224">
        <f t="shared" si="28"/>
        <v>3968.3321168791963</v>
      </c>
      <c r="BV147" s="224">
        <f t="shared" si="29"/>
        <v>0</v>
      </c>
      <c r="BW147" s="224">
        <f t="shared" si="26"/>
        <v>0</v>
      </c>
      <c r="BX147" s="225">
        <f t="shared" si="27"/>
        <v>0</v>
      </c>
      <c r="BY147" s="225">
        <f t="shared" si="24"/>
        <v>0</v>
      </c>
      <c r="BZ147" s="226">
        <f>IF(BP147&gt;'Summary Table'!$H$27,0,BY147+BZ146)</f>
        <v>0</v>
      </c>
    </row>
    <row r="148" spans="2:78" ht="21">
      <c r="B148" s="227" t="s">
        <v>629</v>
      </c>
      <c r="C148" s="228">
        <f>C70+SUM(C120:C123)+C140</f>
        <v>569.29473808911291</v>
      </c>
      <c r="D148" s="204" t="s">
        <v>616</v>
      </c>
      <c r="E148" s="199"/>
      <c r="F148" s="199"/>
      <c r="G148" s="199"/>
      <c r="H148" s="199"/>
      <c r="I148" s="199"/>
      <c r="J148" s="199"/>
      <c r="K148" s="199"/>
      <c r="L148" s="199"/>
      <c r="M148" s="10"/>
      <c r="N148" s="10"/>
      <c r="O148" s="10"/>
      <c r="P148" s="10"/>
      <c r="Q148" s="10"/>
      <c r="R148" s="10"/>
      <c r="S148" s="10"/>
      <c r="W148" s="27"/>
      <c r="X148" s="223">
        <v>41</v>
      </c>
      <c r="Y148" s="224"/>
      <c r="Z148" s="224">
        <f>IF(X148='Summary Table'!$H$27,-$Z$107+'Summary Table'!$H$28*ABS($Y$107),0)</f>
        <v>0</v>
      </c>
      <c r="AA148" s="224"/>
      <c r="AB148" s="224">
        <f>IF(X148&gt;'Summary Table'!$H$27,0,-$Y$99+Z148+AA148)</f>
        <v>0</v>
      </c>
      <c r="AC148" s="224">
        <f t="shared" si="34"/>
        <v>0</v>
      </c>
      <c r="AD148" s="224">
        <f t="shared" si="35"/>
        <v>0</v>
      </c>
      <c r="AE148" s="224">
        <f t="shared" si="37"/>
        <v>0</v>
      </c>
      <c r="AF148" s="225">
        <f t="shared" si="33"/>
        <v>0</v>
      </c>
      <c r="AG148" s="225">
        <f t="shared" si="36"/>
        <v>0</v>
      </c>
      <c r="AH148" s="226">
        <f>IF(X148&gt;'Summary Table'!$H$27,0,AG148+AH147)</f>
        <v>0</v>
      </c>
      <c r="AS148" s="27"/>
      <c r="AT148" s="213">
        <v>6</v>
      </c>
      <c r="AU148" s="214"/>
      <c r="AV148" s="296">
        <f>IF(AT148='Summary Table'!$H$27,-$AV$142+'Summary Table'!$H$28*ABS($AU$142),0)</f>
        <v>0</v>
      </c>
      <c r="AW148" s="296">
        <f t="shared" si="39"/>
        <v>-43.569762241696282</v>
      </c>
      <c r="AX148" s="296">
        <f>IF(AT148&gt;'Summary Table'!$H$27,0,-$AU$134+AV148+AW148)</f>
        <v>-194.92199906392889</v>
      </c>
      <c r="AY148" s="214">
        <f t="shared" si="42"/>
        <v>1130.0304904803222</v>
      </c>
      <c r="AZ148" s="214">
        <f t="shared" si="43"/>
        <v>0</v>
      </c>
      <c r="BA148" s="214">
        <f t="shared" si="40"/>
        <v>-194.92199906392889</v>
      </c>
      <c r="BB148" s="215">
        <f t="shared" si="41"/>
        <v>-151.35223682223261</v>
      </c>
      <c r="BC148" s="215">
        <f t="shared" si="38"/>
        <v>-85.434391941475653</v>
      </c>
      <c r="BD148" s="298">
        <f>IF(AT148&gt;'Summary Table'!$H$27,0,BC148+BD147)</f>
        <v>-1279.9145458737985</v>
      </c>
      <c r="BE148" s="10"/>
      <c r="BF148" s="213">
        <v>7</v>
      </c>
      <c r="BG148" s="219">
        <v>6.55</v>
      </c>
      <c r="BH148" s="10"/>
      <c r="BI148" s="213">
        <v>2006</v>
      </c>
      <c r="BJ148" s="372">
        <v>496.7</v>
      </c>
      <c r="BK148" s="10"/>
      <c r="BO148" s="27"/>
      <c r="BP148" s="295">
        <v>48</v>
      </c>
      <c r="BQ148" s="296"/>
      <c r="BR148" s="296">
        <f>IF(BP148='Summary Table'!$H$27,-$BR$100+'Summary Table'!$H$28*ABS($BQ$100),0)</f>
        <v>0</v>
      </c>
      <c r="BS148" s="296"/>
      <c r="BT148" s="296">
        <f>IF(BP148&gt;'Summary Table'!$H$27,0,-$BQ$92+BR148+BS148)</f>
        <v>0</v>
      </c>
      <c r="BU148" s="296">
        <f t="shared" si="28"/>
        <v>3968.3321168791963</v>
      </c>
      <c r="BV148" s="296">
        <f t="shared" si="29"/>
        <v>0</v>
      </c>
      <c r="BW148" s="296">
        <f t="shared" si="26"/>
        <v>0</v>
      </c>
      <c r="BX148" s="297">
        <f t="shared" si="27"/>
        <v>0</v>
      </c>
      <c r="BY148" s="297">
        <f t="shared" si="24"/>
        <v>0</v>
      </c>
      <c r="BZ148" s="298">
        <f>IF(BP148&gt;'Summary Table'!$H$27,0,BY148+BZ147)</f>
        <v>0</v>
      </c>
    </row>
    <row r="149" spans="2:78" ht="21">
      <c r="B149" s="205" t="s">
        <v>630</v>
      </c>
      <c r="C149" s="211">
        <f>C81</f>
        <v>-592.38306357009424</v>
      </c>
      <c r="D149" s="212" t="s">
        <v>616</v>
      </c>
      <c r="E149" s="199"/>
      <c r="F149" s="199"/>
      <c r="G149" s="199"/>
      <c r="H149" s="199"/>
      <c r="I149" s="199"/>
      <c r="J149" s="199"/>
      <c r="K149" s="199"/>
      <c r="L149" s="199"/>
      <c r="M149" s="10"/>
      <c r="N149" s="10"/>
      <c r="O149" s="10"/>
      <c r="P149" s="10"/>
      <c r="Q149" s="10"/>
      <c r="R149" s="10"/>
      <c r="S149" s="10"/>
      <c r="W149" s="27"/>
      <c r="X149" s="295">
        <v>42</v>
      </c>
      <c r="Y149" s="296"/>
      <c r="Z149" s="296">
        <f>IF(X149='Summary Table'!$H$27,-$Z$107+'Summary Table'!$H$28*ABS($Y$107),0)</f>
        <v>0</v>
      </c>
      <c r="AA149" s="296"/>
      <c r="AB149" s="296">
        <f>IF(X149&gt;'Summary Table'!$H$27,0,-$Y$99+Z149+AA149)</f>
        <v>0</v>
      </c>
      <c r="AC149" s="296">
        <f t="shared" si="34"/>
        <v>0</v>
      </c>
      <c r="AD149" s="296">
        <f t="shared" si="35"/>
        <v>0</v>
      </c>
      <c r="AE149" s="296">
        <f t="shared" si="37"/>
        <v>0</v>
      </c>
      <c r="AF149" s="297">
        <f t="shared" si="33"/>
        <v>0</v>
      </c>
      <c r="AG149" s="297">
        <f t="shared" si="36"/>
        <v>0</v>
      </c>
      <c r="AH149" s="298">
        <f>IF(X149&gt;'Summary Table'!$H$27,0,AG149+AH148)</f>
        <v>0</v>
      </c>
      <c r="AS149" s="27"/>
      <c r="AT149" s="223">
        <v>7</v>
      </c>
      <c r="AU149" s="224"/>
      <c r="AV149" s="224">
        <f>IF(AT149='Summary Table'!$H$27,-$AV$142+'Summary Table'!$H$28*ABS($AU$142),0)</f>
        <v>0</v>
      </c>
      <c r="AW149" s="224">
        <f t="shared" si="39"/>
        <v>-38.722108912226673</v>
      </c>
      <c r="AX149" s="224">
        <f>IF(AT149&gt;'Summary Table'!$H$27,0,-$AU$134+AV149+AW149)</f>
        <v>-190.07434573445929</v>
      </c>
      <c r="AY149" s="224">
        <f t="shared" si="42"/>
        <v>1324.9524895442512</v>
      </c>
      <c r="AZ149" s="224">
        <f t="shared" si="43"/>
        <v>0</v>
      </c>
      <c r="BA149" s="224">
        <f t="shared" si="40"/>
        <v>-190.07434573445929</v>
      </c>
      <c r="BB149" s="225">
        <f t="shared" si="41"/>
        <v>-151.35223682223261</v>
      </c>
      <c r="BC149" s="225">
        <f t="shared" si="38"/>
        <v>-77.667629037705126</v>
      </c>
      <c r="BD149" s="226">
        <f>IF(AT149&gt;'Summary Table'!$H$27,0,BC149+BD148)</f>
        <v>-1357.5821749115037</v>
      </c>
      <c r="BE149" s="10"/>
      <c r="BF149" s="213">
        <v>8</v>
      </c>
      <c r="BG149" s="219">
        <v>6.55</v>
      </c>
      <c r="BH149" s="10"/>
      <c r="BI149" s="213">
        <v>2007</v>
      </c>
      <c r="BJ149" s="372">
        <v>525.4</v>
      </c>
      <c r="BO149" s="27"/>
      <c r="BP149" s="223">
        <v>49</v>
      </c>
      <c r="BQ149" s="224"/>
      <c r="BR149" s="224">
        <f>IF(BP149='Summary Table'!$H$27,-$BR$100+'Summary Table'!$H$28*ABS($BQ$100),0)</f>
        <v>0</v>
      </c>
      <c r="BS149" s="224"/>
      <c r="BT149" s="224">
        <f>IF(BP149&gt;'Summary Table'!$H$27,0,-$BQ$92+BR149+BS149)</f>
        <v>0</v>
      </c>
      <c r="BU149" s="224">
        <f t="shared" si="28"/>
        <v>3968.3321168791963</v>
      </c>
      <c r="BV149" s="224">
        <f t="shared" si="29"/>
        <v>0</v>
      </c>
      <c r="BW149" s="224">
        <f t="shared" si="26"/>
        <v>0</v>
      </c>
      <c r="BX149" s="225">
        <f t="shared" si="27"/>
        <v>0</v>
      </c>
      <c r="BY149" s="225">
        <f t="shared" si="24"/>
        <v>0</v>
      </c>
      <c r="BZ149" s="226">
        <f>IF(BP149&gt;'Summary Table'!$H$27,0,BY149+BZ148)</f>
        <v>0</v>
      </c>
    </row>
    <row r="150" spans="2:78" ht="22" thickBot="1">
      <c r="B150" s="200" t="s">
        <v>360</v>
      </c>
      <c r="C150" s="207">
        <f>'Summary Table'!H30</f>
        <v>0.25700000000000001</v>
      </c>
      <c r="D150" s="209"/>
      <c r="E150" s="199"/>
      <c r="F150" s="199"/>
      <c r="G150" s="199"/>
      <c r="H150" s="199"/>
      <c r="I150" s="199"/>
      <c r="J150" s="199"/>
      <c r="K150" s="199"/>
      <c r="L150" s="199"/>
      <c r="M150" s="10"/>
      <c r="N150" s="10"/>
      <c r="O150" s="10"/>
      <c r="P150" s="10"/>
      <c r="Q150" s="10"/>
      <c r="R150" s="10"/>
      <c r="S150" s="10"/>
      <c r="W150" s="27"/>
      <c r="X150" s="223">
        <v>43</v>
      </c>
      <c r="Y150" s="224"/>
      <c r="Z150" s="224">
        <f>IF(X150='Summary Table'!$H$27,-$Z$107+'Summary Table'!$H$28*ABS($Y$107),0)</f>
        <v>0</v>
      </c>
      <c r="AA150" s="224"/>
      <c r="AB150" s="224">
        <f>IF(X150&gt;'Summary Table'!$H$27,0,-$Y$99+Z150+AA150)</f>
        <v>0</v>
      </c>
      <c r="AC150" s="224">
        <f t="shared" si="34"/>
        <v>0</v>
      </c>
      <c r="AD150" s="224">
        <f t="shared" si="35"/>
        <v>0</v>
      </c>
      <c r="AE150" s="224">
        <f t="shared" si="37"/>
        <v>0</v>
      </c>
      <c r="AF150" s="225">
        <f t="shared" si="33"/>
        <v>0</v>
      </c>
      <c r="AG150" s="225">
        <f t="shared" si="36"/>
        <v>0</v>
      </c>
      <c r="AH150" s="226">
        <f>IF(X150&gt;'Summary Table'!$H$27,0,AG150+AH149)</f>
        <v>0</v>
      </c>
      <c r="AS150" s="27"/>
      <c r="AT150" s="213">
        <v>8</v>
      </c>
      <c r="AU150" s="214"/>
      <c r="AV150" s="296">
        <f>IF(AT150='Summary Table'!$H$27,-$AV$142+'Summary Table'!$H$28*ABS($AU$142),0)</f>
        <v>0</v>
      </c>
      <c r="AW150" s="296">
        <f t="shared" si="39"/>
        <v>-38.722108912226673</v>
      </c>
      <c r="AX150" s="296">
        <f>IF(AT150&gt;'Summary Table'!$H$27,0,-$AU$134+AV150+AW150)</f>
        <v>-190.07434573445929</v>
      </c>
      <c r="AY150" s="214">
        <f t="shared" si="42"/>
        <v>1515.0268352787105</v>
      </c>
      <c r="AZ150" s="214">
        <f t="shared" si="43"/>
        <v>0</v>
      </c>
      <c r="BA150" s="214">
        <f t="shared" si="40"/>
        <v>-190.07434573445929</v>
      </c>
      <c r="BB150" s="215">
        <f t="shared" si="41"/>
        <v>-151.35223682223261</v>
      </c>
      <c r="BC150" s="215">
        <f t="shared" si="38"/>
        <v>-70.606935488822842</v>
      </c>
      <c r="BD150" s="298">
        <f>IF(AT150&gt;'Summary Table'!$H$27,0,BC150+BD149)</f>
        <v>-1428.1891104003266</v>
      </c>
      <c r="BE150" s="10"/>
      <c r="BF150" s="213">
        <v>9</v>
      </c>
      <c r="BG150" s="219">
        <v>6.56</v>
      </c>
      <c r="BH150" s="10"/>
      <c r="BI150" s="213">
        <v>2008</v>
      </c>
      <c r="BJ150" s="372">
        <v>575.4</v>
      </c>
      <c r="BO150" s="27"/>
      <c r="BP150" s="305">
        <v>50</v>
      </c>
      <c r="BQ150" s="299"/>
      <c r="BR150" s="299">
        <f>IF(BP150='Summary Table'!$H$27,-$BR$100+'Summary Table'!$H$28*ABS($BQ$100),0)</f>
        <v>0</v>
      </c>
      <c r="BS150" s="299"/>
      <c r="BT150" s="299">
        <f>IF(BP150&gt;'Summary Table'!$H$27,0,-$BQ$92+BR150+BS150)</f>
        <v>0</v>
      </c>
      <c r="BU150" s="299">
        <f t="shared" si="28"/>
        <v>3968.3321168791963</v>
      </c>
      <c r="BV150" s="299">
        <f t="shared" si="29"/>
        <v>0</v>
      </c>
      <c r="BW150" s="299">
        <f t="shared" si="26"/>
        <v>0</v>
      </c>
      <c r="BX150" s="306">
        <f t="shared" si="27"/>
        <v>0</v>
      </c>
      <c r="BY150" s="306">
        <f t="shared" si="24"/>
        <v>0</v>
      </c>
      <c r="BZ150" s="300">
        <f>IF(BP150&gt;'Summary Table'!$H$27,0,BY150+BZ149)</f>
        <v>0</v>
      </c>
    </row>
    <row r="151" spans="2:78" ht="22" thickBot="1">
      <c r="B151" s="206" t="s">
        <v>98</v>
      </c>
      <c r="C151" s="208">
        <f>'Summary Table'!H31</f>
        <v>0.1</v>
      </c>
      <c r="D151" s="210"/>
      <c r="E151" s="199"/>
      <c r="F151" s="199"/>
      <c r="G151" s="199"/>
      <c r="H151" s="199"/>
      <c r="I151" s="199"/>
      <c r="J151" s="199"/>
      <c r="K151" s="199"/>
      <c r="L151" s="199"/>
      <c r="M151" s="10"/>
      <c r="N151" s="10"/>
      <c r="O151" s="10"/>
      <c r="P151" s="10"/>
      <c r="Q151" s="10"/>
      <c r="R151" s="10"/>
      <c r="S151" s="10"/>
      <c r="W151" s="27"/>
      <c r="X151" s="295">
        <v>44</v>
      </c>
      <c r="Y151" s="296"/>
      <c r="Z151" s="296">
        <f>IF(X151='Summary Table'!$H$27,-$Z$107+'Summary Table'!$H$28*ABS($Y$107),0)</f>
        <v>0</v>
      </c>
      <c r="AA151" s="296"/>
      <c r="AB151" s="296">
        <f>IF(X151&gt;'Summary Table'!$H$27,0,-$Y$99+Z151+AA151)</f>
        <v>0</v>
      </c>
      <c r="AC151" s="296">
        <f t="shared" si="34"/>
        <v>0</v>
      </c>
      <c r="AD151" s="296">
        <f t="shared" si="35"/>
        <v>0</v>
      </c>
      <c r="AE151" s="296">
        <f t="shared" si="37"/>
        <v>0</v>
      </c>
      <c r="AF151" s="297">
        <f t="shared" si="33"/>
        <v>0</v>
      </c>
      <c r="AG151" s="297">
        <f t="shared" si="36"/>
        <v>0</v>
      </c>
      <c r="AH151" s="298">
        <f>IF(X151&gt;'Summary Table'!$H$27,0,AG151+AH150)</f>
        <v>0</v>
      </c>
      <c r="AS151" s="27"/>
      <c r="AT151" s="223">
        <v>9</v>
      </c>
      <c r="AU151" s="224"/>
      <c r="AV151" s="224">
        <f>IF(AT151='Summary Table'!$H$27,-$AV$142+'Summary Table'!$H$28*ABS($AU$142),0)</f>
        <v>0</v>
      </c>
      <c r="AW151" s="224">
        <f t="shared" si="39"/>
        <v>-38.781226635756795</v>
      </c>
      <c r="AX151" s="224">
        <f>IF(AT151&gt;'Summary Table'!$H$27,0,-$AU$134+AV151+AW151)</f>
        <v>-190.13346345798942</v>
      </c>
      <c r="AY151" s="224">
        <f t="shared" si="42"/>
        <v>1705.1011810131697</v>
      </c>
      <c r="AZ151" s="224">
        <f t="shared" si="43"/>
        <v>0</v>
      </c>
      <c r="BA151" s="224">
        <f t="shared" si="40"/>
        <v>-190.13346345798942</v>
      </c>
      <c r="BB151" s="225">
        <f t="shared" si="41"/>
        <v>-151.35223682223261</v>
      </c>
      <c r="BC151" s="225">
        <f t="shared" si="38"/>
        <v>-64.188123171657125</v>
      </c>
      <c r="BD151" s="226">
        <f>IF(AT151&gt;'Summary Table'!$H$27,0,BC151+BD150)</f>
        <v>-1492.3772335719837</v>
      </c>
      <c r="BE151" s="10"/>
      <c r="BF151" s="213">
        <v>10</v>
      </c>
      <c r="BG151" s="219">
        <v>6.55</v>
      </c>
      <c r="BH151" s="10"/>
      <c r="BI151" s="213">
        <v>2009</v>
      </c>
      <c r="BJ151" s="372">
        <v>521.9</v>
      </c>
      <c r="BO151" s="27"/>
      <c r="BP151" s="11"/>
      <c r="BQ151" s="11"/>
      <c r="BR151" s="11"/>
      <c r="BS151" s="11"/>
      <c r="BT151" s="11"/>
      <c r="BU151" s="11"/>
      <c r="BV151" s="11"/>
      <c r="BW151" s="11"/>
      <c r="BX151" s="11"/>
      <c r="BY151" s="14"/>
      <c r="BZ151" s="218"/>
    </row>
    <row r="152" spans="2:78" ht="22" thickBot="1">
      <c r="B152" s="301"/>
      <c r="C152" s="302"/>
      <c r="D152" s="303"/>
      <c r="E152" s="304"/>
      <c r="F152" s="304"/>
      <c r="G152" s="304"/>
      <c r="H152" s="304"/>
      <c r="I152" s="304"/>
      <c r="J152" s="304"/>
      <c r="K152" s="304"/>
      <c r="L152" s="304"/>
      <c r="M152" s="10"/>
      <c r="N152" s="10"/>
      <c r="O152" s="10"/>
      <c r="P152" s="10"/>
      <c r="Q152" s="10"/>
      <c r="R152" s="10"/>
      <c r="S152" s="10"/>
      <c r="W152" s="27"/>
      <c r="X152" s="223">
        <v>45</v>
      </c>
      <c r="Y152" s="224"/>
      <c r="Z152" s="224">
        <f>IF(X152='Summary Table'!$H$27,-$Z$107+'Summary Table'!$H$28*ABS($Y$107),0)</f>
        <v>0</v>
      </c>
      <c r="AA152" s="224"/>
      <c r="AB152" s="224">
        <f>IF(X152&gt;'Summary Table'!$H$27,0,-$Y$99+Z152+AA152)</f>
        <v>0</v>
      </c>
      <c r="AC152" s="224">
        <f t="shared" si="34"/>
        <v>0</v>
      </c>
      <c r="AD152" s="224">
        <f t="shared" si="35"/>
        <v>0</v>
      </c>
      <c r="AE152" s="224">
        <f t="shared" si="37"/>
        <v>0</v>
      </c>
      <c r="AF152" s="225">
        <f t="shared" si="33"/>
        <v>0</v>
      </c>
      <c r="AG152" s="225">
        <f t="shared" si="36"/>
        <v>0</v>
      </c>
      <c r="AH152" s="226">
        <f>IF(X152&gt;'Summary Table'!$H$27,0,AG152+AH151)</f>
        <v>0</v>
      </c>
      <c r="AS152" s="27"/>
      <c r="AT152" s="213">
        <v>10</v>
      </c>
      <c r="AU152" s="214"/>
      <c r="AV152" s="296">
        <f>IF(AT152='Summary Table'!$H$27,-$AV$142+'Summary Table'!$H$28*ABS($AU$142),0)</f>
        <v>0</v>
      </c>
      <c r="AW152" s="296">
        <f t="shared" si="39"/>
        <v>-38.722108912226673</v>
      </c>
      <c r="AX152" s="296">
        <f>IF(AT152&gt;'Summary Table'!$H$27,0,-$AU$134+AV152+AW152)</f>
        <v>-190.07434573445929</v>
      </c>
      <c r="AY152" s="214">
        <f t="shared" si="42"/>
        <v>1895.2346444711591</v>
      </c>
      <c r="AZ152" s="214">
        <f t="shared" si="43"/>
        <v>0</v>
      </c>
      <c r="BA152" s="214">
        <f t="shared" si="40"/>
        <v>-190.07434573445929</v>
      </c>
      <c r="BB152" s="215">
        <f t="shared" si="41"/>
        <v>-151.35223682223261</v>
      </c>
      <c r="BC152" s="215">
        <f t="shared" si="38"/>
        <v>-58.352839246961018</v>
      </c>
      <c r="BD152" s="298">
        <f>IF(AT152&gt;'Summary Table'!$H$27,0,BC152+BD151)</f>
        <v>-1550.7300728189446</v>
      </c>
      <c r="BE152" s="10"/>
      <c r="BF152" s="217">
        <v>11</v>
      </c>
      <c r="BG152" s="220">
        <v>3.28</v>
      </c>
      <c r="BH152" s="10"/>
      <c r="BI152" s="213">
        <v>2010</v>
      </c>
      <c r="BJ152" s="372">
        <v>550.79999999999995</v>
      </c>
      <c r="BO152" s="27"/>
      <c r="BP152" s="169" t="s">
        <v>626</v>
      </c>
      <c r="BQ152" s="170">
        <f>VLOOKUP('Summary Table'!$H$27,$BP$98:$BZ$150,11,FALSE)</f>
        <v>-2171.7736772570847</v>
      </c>
      <c r="BR152" s="171" t="s">
        <v>614</v>
      </c>
      <c r="BS152" s="10"/>
      <c r="BT152" s="10"/>
      <c r="BU152" s="10"/>
      <c r="BV152" s="10"/>
      <c r="BW152" s="10"/>
      <c r="BX152" s="10"/>
      <c r="BY152" s="10"/>
      <c r="BZ152" s="10"/>
    </row>
    <row r="153" spans="2:78" ht="17" thickBot="1">
      <c r="B153" s="199">
        <v>1</v>
      </c>
      <c r="C153" s="199">
        <v>2</v>
      </c>
      <c r="D153" s="199">
        <v>3</v>
      </c>
      <c r="E153" s="199">
        <v>4</v>
      </c>
      <c r="F153" s="199">
        <v>5</v>
      </c>
      <c r="G153" s="199">
        <v>6</v>
      </c>
      <c r="H153" s="199">
        <v>7</v>
      </c>
      <c r="I153" s="199">
        <v>8</v>
      </c>
      <c r="J153" s="199">
        <v>9</v>
      </c>
      <c r="K153" s="199">
        <v>10</v>
      </c>
      <c r="L153" s="199">
        <v>11</v>
      </c>
      <c r="M153" s="10"/>
      <c r="N153" s="693" t="s">
        <v>110</v>
      </c>
      <c r="O153" s="694"/>
      <c r="P153" s="10"/>
      <c r="Q153" s="693" t="s">
        <v>735</v>
      </c>
      <c r="R153" s="694"/>
      <c r="S153" s="10"/>
      <c r="W153" s="27"/>
      <c r="X153" s="295">
        <v>46</v>
      </c>
      <c r="Y153" s="296"/>
      <c r="Z153" s="296">
        <f>IF(X153='Summary Table'!$H$27,-$Z$107+'Summary Table'!$H$28*ABS($Y$107),0)</f>
        <v>0</v>
      </c>
      <c r="AA153" s="296"/>
      <c r="AB153" s="296">
        <f>IF(X153&gt;'Summary Table'!$H$27,0,-$Y$99+Z153+AA153)</f>
        <v>0</v>
      </c>
      <c r="AC153" s="296">
        <f t="shared" si="34"/>
        <v>0</v>
      </c>
      <c r="AD153" s="296">
        <f t="shared" si="35"/>
        <v>0</v>
      </c>
      <c r="AE153" s="296">
        <f t="shared" si="37"/>
        <v>0</v>
      </c>
      <c r="AF153" s="297">
        <f t="shared" si="33"/>
        <v>0</v>
      </c>
      <c r="AG153" s="297">
        <f t="shared" si="36"/>
        <v>0</v>
      </c>
      <c r="AH153" s="298">
        <f>IF(X153&gt;'Summary Table'!$H$27,0,AG153+AH152)</f>
        <v>0</v>
      </c>
      <c r="AS153" s="27"/>
      <c r="AT153" s="223">
        <v>11</v>
      </c>
      <c r="AU153" s="224"/>
      <c r="AV153" s="224">
        <f>IF(AT153='Summary Table'!$H$27,-$AV$142+'Summary Table'!$H$28*ABS($AU$142),0)</f>
        <v>0</v>
      </c>
      <c r="AW153" s="224">
        <f t="shared" si="39"/>
        <v>-19.390613317878397</v>
      </c>
      <c r="AX153" s="224">
        <f>IF(AT153&gt;'Summary Table'!$H$27,0,-$AU$134+AV153+AW153)</f>
        <v>-170.74285014011102</v>
      </c>
      <c r="AY153" s="224">
        <f t="shared" si="42"/>
        <v>2085.3089902056186</v>
      </c>
      <c r="AZ153" s="224">
        <f t="shared" si="43"/>
        <v>0</v>
      </c>
      <c r="BA153" s="224">
        <f t="shared" si="40"/>
        <v>-170.74285014011102</v>
      </c>
      <c r="BB153" s="225">
        <f t="shared" si="41"/>
        <v>-151.35223682223261</v>
      </c>
      <c r="BC153" s="225">
        <f t="shared" si="38"/>
        <v>-53.048035679055467</v>
      </c>
      <c r="BD153" s="226">
        <f>IF(AT153&gt;'Summary Table'!$H$27,0,BC153+BD152)</f>
        <v>-1603.7781084979999</v>
      </c>
      <c r="BE153" s="10"/>
      <c r="BF153" s="10"/>
      <c r="BG153" s="10"/>
      <c r="BH153" s="10"/>
      <c r="BI153" s="213">
        <v>2011</v>
      </c>
      <c r="BJ153" s="372">
        <v>585.70000000000005</v>
      </c>
      <c r="BO153" s="27"/>
      <c r="BP153" s="10"/>
      <c r="BQ153" s="10"/>
      <c r="BR153" s="10"/>
      <c r="BS153" s="10"/>
      <c r="BT153" s="10"/>
      <c r="BU153" s="10"/>
      <c r="BV153" s="10"/>
      <c r="BW153" s="10"/>
      <c r="BX153" s="10"/>
      <c r="BY153" s="10"/>
      <c r="BZ153" s="10"/>
    </row>
    <row r="154" spans="2:78" ht="17" thickBot="1">
      <c r="B154" s="536" t="s">
        <v>99</v>
      </c>
      <c r="C154" s="537" t="s">
        <v>100</v>
      </c>
      <c r="D154" s="537" t="s">
        <v>101</v>
      </c>
      <c r="E154" s="537" t="s">
        <v>102</v>
      </c>
      <c r="F154" s="537" t="s">
        <v>103</v>
      </c>
      <c r="G154" s="537" t="s">
        <v>104</v>
      </c>
      <c r="H154" s="537" t="s">
        <v>105</v>
      </c>
      <c r="I154" s="537" t="s">
        <v>106</v>
      </c>
      <c r="J154" s="537" t="s">
        <v>107</v>
      </c>
      <c r="K154" s="537" t="s">
        <v>108</v>
      </c>
      <c r="L154" s="538" t="s">
        <v>109</v>
      </c>
      <c r="M154" s="10"/>
      <c r="N154" s="221" t="s">
        <v>99</v>
      </c>
      <c r="O154" s="222" t="s">
        <v>625</v>
      </c>
      <c r="P154" s="10"/>
      <c r="Q154" s="440" t="s">
        <v>99</v>
      </c>
      <c r="R154" s="441" t="s">
        <v>736</v>
      </c>
      <c r="S154" s="10"/>
      <c r="W154" s="27"/>
      <c r="X154" s="223">
        <v>47</v>
      </c>
      <c r="Y154" s="224"/>
      <c r="Z154" s="224">
        <f>IF(X154='Summary Table'!$H$27,-$Z$107+'Summary Table'!$H$28*ABS($Y$107),0)</f>
        <v>0</v>
      </c>
      <c r="AA154" s="224"/>
      <c r="AB154" s="224">
        <f>IF(X154&gt;'Summary Table'!$H$27,0,-$Y$99+Z154+AA154)</f>
        <v>0</v>
      </c>
      <c r="AC154" s="224">
        <f t="shared" si="34"/>
        <v>0</v>
      </c>
      <c r="AD154" s="224">
        <f t="shared" si="35"/>
        <v>0</v>
      </c>
      <c r="AE154" s="224">
        <f t="shared" si="37"/>
        <v>0</v>
      </c>
      <c r="AF154" s="225">
        <f t="shared" si="33"/>
        <v>0</v>
      </c>
      <c r="AG154" s="225">
        <f t="shared" si="36"/>
        <v>0</v>
      </c>
      <c r="AH154" s="226">
        <f>IF(X154&gt;'Summary Table'!$H$27,0,AG154+AH153)</f>
        <v>0</v>
      </c>
      <c r="AS154" s="27"/>
      <c r="AT154" s="213">
        <v>12</v>
      </c>
      <c r="AU154" s="214"/>
      <c r="AV154" s="296">
        <f>IF(AT154='Summary Table'!$H$27,-$AV$142+'Summary Table'!$H$28*ABS($AU$142),0)</f>
        <v>0</v>
      </c>
      <c r="AW154" s="296"/>
      <c r="AX154" s="296">
        <f>IF(AT154&gt;'Summary Table'!$H$27,0,-$AU$134+AV154+AW154)</f>
        <v>-151.35223682223261</v>
      </c>
      <c r="AY154" s="214">
        <f t="shared" si="42"/>
        <v>2256.0518403457295</v>
      </c>
      <c r="AZ154" s="214">
        <f t="shared" si="43"/>
        <v>0</v>
      </c>
      <c r="BA154" s="214">
        <f t="shared" si="40"/>
        <v>-151.35223682223261</v>
      </c>
      <c r="BB154" s="215">
        <f t="shared" si="41"/>
        <v>-151.35223682223261</v>
      </c>
      <c r="BC154" s="215">
        <f t="shared" si="38"/>
        <v>-48.225486980959516</v>
      </c>
      <c r="BD154" s="298">
        <f>IF(AT154&gt;'Summary Table'!$H$27,0,BC154+BD153)</f>
        <v>-1652.0035954789594</v>
      </c>
      <c r="BE154" s="10"/>
      <c r="BF154" s="10"/>
      <c r="BG154" s="10"/>
      <c r="BH154" s="10"/>
      <c r="BI154" s="213">
        <v>2012</v>
      </c>
      <c r="BJ154" s="372">
        <v>584.6</v>
      </c>
      <c r="BO154" s="27"/>
      <c r="BP154" s="10"/>
      <c r="BQ154" s="10"/>
      <c r="BR154" s="10"/>
      <c r="BS154" s="10"/>
      <c r="BT154" s="10"/>
      <c r="BU154" s="10"/>
      <c r="BV154" s="10"/>
      <c r="BW154" s="10"/>
      <c r="BX154" s="10"/>
      <c r="BY154" s="10"/>
      <c r="BZ154" s="10"/>
    </row>
    <row r="155" spans="2:78">
      <c r="B155" s="213">
        <v>0</v>
      </c>
      <c r="C155" s="214">
        <f>-C146</f>
        <v>-1062.0703829050956</v>
      </c>
      <c r="D155" s="214">
        <f>'Summary Table'!H29*C155</f>
        <v>-53.103519145254779</v>
      </c>
      <c r="E155" s="214"/>
      <c r="F155" s="214"/>
      <c r="G155" s="214"/>
      <c r="H155" s="214"/>
      <c r="I155" s="214"/>
      <c r="J155" s="215">
        <f>C155+D155</f>
        <v>-1115.1739020503503</v>
      </c>
      <c r="K155" s="215">
        <f t="shared" ref="K155:K186" si="44">J155*1/(1+$C$151)^ABS((--B155))</f>
        <v>-1115.1739020503503</v>
      </c>
      <c r="L155" s="216">
        <f>K155</f>
        <v>-1115.1739020503503</v>
      </c>
      <c r="M155" s="10"/>
      <c r="N155" s="213">
        <v>1</v>
      </c>
      <c r="O155" s="219">
        <v>10</v>
      </c>
      <c r="P155" s="10"/>
      <c r="Q155" s="213">
        <v>2000</v>
      </c>
      <c r="R155" s="372">
        <v>394.1</v>
      </c>
      <c r="S155" s="10"/>
      <c r="W155" s="27"/>
      <c r="X155" s="295">
        <v>48</v>
      </c>
      <c r="Y155" s="296"/>
      <c r="Z155" s="296">
        <f>IF(X155='Summary Table'!$H$27,-$Z$107+'Summary Table'!$H$28*ABS($Y$107),0)</f>
        <v>0</v>
      </c>
      <c r="AA155" s="296"/>
      <c r="AB155" s="296">
        <f>IF(X155&gt;'Summary Table'!$H$27,0,-$Y$99+Z155+AA155)</f>
        <v>0</v>
      </c>
      <c r="AC155" s="296">
        <f t="shared" si="34"/>
        <v>0</v>
      </c>
      <c r="AD155" s="296">
        <f t="shared" si="35"/>
        <v>0</v>
      </c>
      <c r="AE155" s="296">
        <f t="shared" si="37"/>
        <v>0</v>
      </c>
      <c r="AF155" s="297">
        <f t="shared" si="33"/>
        <v>0</v>
      </c>
      <c r="AG155" s="297">
        <f t="shared" si="36"/>
        <v>0</v>
      </c>
      <c r="AH155" s="298">
        <f>IF(X155&gt;'Summary Table'!$H$27,0,AG155+AH154)</f>
        <v>0</v>
      </c>
      <c r="AS155" s="27"/>
      <c r="AT155" s="223">
        <v>13</v>
      </c>
      <c r="AU155" s="224"/>
      <c r="AV155" s="224">
        <f>IF(AT155='Summary Table'!$H$27,-$AV$142+'Summary Table'!$H$28*ABS($AU$142),0)</f>
        <v>0</v>
      </c>
      <c r="AW155" s="224"/>
      <c r="AX155" s="224">
        <f>IF(AT155&gt;'Summary Table'!$H$27,0,-$AU$134+AV155+AW155)</f>
        <v>-151.35223682223261</v>
      </c>
      <c r="AY155" s="224">
        <f t="shared" si="42"/>
        <v>2407.404077167962</v>
      </c>
      <c r="AZ155" s="224">
        <f t="shared" si="43"/>
        <v>0</v>
      </c>
      <c r="BA155" s="224">
        <f t="shared" si="40"/>
        <v>-151.35223682223261</v>
      </c>
      <c r="BB155" s="225">
        <f t="shared" si="41"/>
        <v>-151.35223682223261</v>
      </c>
      <c r="BC155" s="225">
        <f t="shared" si="38"/>
        <v>-43.841351800872282</v>
      </c>
      <c r="BD155" s="226">
        <f>IF(AT155&gt;'Summary Table'!$H$27,0,BC155+BD154)</f>
        <v>-1695.8449472798316</v>
      </c>
      <c r="BE155" s="10"/>
      <c r="BF155" s="10"/>
      <c r="BG155" s="10"/>
      <c r="BH155" s="10"/>
      <c r="BI155" s="213">
        <v>2013</v>
      </c>
      <c r="BJ155" s="372">
        <v>567.29999999999995</v>
      </c>
      <c r="BO155" s="27"/>
      <c r="BP155" s="10"/>
      <c r="BQ155" s="10"/>
      <c r="BR155" s="10"/>
    </row>
    <row r="156" spans="2:78" ht="26">
      <c r="B156" s="223">
        <v>1</v>
      </c>
      <c r="C156" s="224"/>
      <c r="D156" s="224">
        <f>IF(B156='Summary Table'!$H$27,-$D$155+'Summary Table'!$H$28*ABS($C$155),0)</f>
        <v>0</v>
      </c>
      <c r="E156" s="224">
        <f t="shared" ref="E156:E166" si="45">($C$155)*O155/100</f>
        <v>-106.20703829050956</v>
      </c>
      <c r="F156" s="224">
        <f>IF(B156&gt;'Summary Table'!$H$27,0,-$C$147+D156+E156)</f>
        <v>-83.118712809528233</v>
      </c>
      <c r="G156" s="224">
        <v>0</v>
      </c>
      <c r="H156" s="224">
        <v>0</v>
      </c>
      <c r="I156" s="224">
        <f t="shared" ref="I156:I205" si="46">IF(F156&gt;0,(F156-H156)*(1-$C$150)+H156,F156)</f>
        <v>-83.118712809528233</v>
      </c>
      <c r="J156" s="225">
        <f t="shared" ref="J156:J187" si="47">I156-E156</f>
        <v>23.088325480981325</v>
      </c>
      <c r="K156" s="225">
        <f t="shared" si="44"/>
        <v>20.989386800892113</v>
      </c>
      <c r="L156" s="226">
        <f>IF(B156&gt;'Summary Table'!$H$27,0,K156+L155)</f>
        <v>-1094.1845152494582</v>
      </c>
      <c r="M156" s="10"/>
      <c r="N156" s="213">
        <v>2</v>
      </c>
      <c r="O156" s="219">
        <v>18</v>
      </c>
      <c r="P156" s="10"/>
      <c r="Q156" s="213">
        <v>2001</v>
      </c>
      <c r="R156" s="372">
        <v>394.3</v>
      </c>
      <c r="S156" s="10"/>
      <c r="W156" s="27"/>
      <c r="X156" s="223">
        <v>49</v>
      </c>
      <c r="Y156" s="224"/>
      <c r="Z156" s="224">
        <f>IF(X156='Summary Table'!$H$27,-$Z$107+'Summary Table'!$H$28*ABS($Y$107),0)</f>
        <v>0</v>
      </c>
      <c r="AA156" s="224"/>
      <c r="AB156" s="224">
        <f>IF(X156&gt;'Summary Table'!$H$27,0,-$Y$99+Z156+AA156)</f>
        <v>0</v>
      </c>
      <c r="AC156" s="224">
        <f t="shared" si="34"/>
        <v>0</v>
      </c>
      <c r="AD156" s="224">
        <f t="shared" si="35"/>
        <v>0</v>
      </c>
      <c r="AE156" s="224">
        <f t="shared" si="37"/>
        <v>0</v>
      </c>
      <c r="AF156" s="225">
        <f t="shared" si="33"/>
        <v>0</v>
      </c>
      <c r="AG156" s="225">
        <f t="shared" si="36"/>
        <v>0</v>
      </c>
      <c r="AH156" s="226">
        <f>IF(X156&gt;'Summary Table'!$H$27,0,AG156+AH155)</f>
        <v>0</v>
      </c>
      <c r="AS156" s="27"/>
      <c r="AT156" s="213">
        <v>14</v>
      </c>
      <c r="AU156" s="214"/>
      <c r="AV156" s="296">
        <f>IF(AT156='Summary Table'!$H$27,-$AV$142+'Summary Table'!$H$28*ABS($AU$142),0)</f>
        <v>0</v>
      </c>
      <c r="AW156" s="296"/>
      <c r="AX156" s="296">
        <f>IF(AT156&gt;'Summary Table'!$H$27,0,-$AU$134+AV156+AW156)</f>
        <v>-151.35223682223261</v>
      </c>
      <c r="AY156" s="214">
        <f t="shared" si="42"/>
        <v>2558.7563139901945</v>
      </c>
      <c r="AZ156" s="214">
        <f t="shared" si="43"/>
        <v>0</v>
      </c>
      <c r="BA156" s="214">
        <f t="shared" si="40"/>
        <v>-151.35223682223261</v>
      </c>
      <c r="BB156" s="215">
        <f t="shared" si="41"/>
        <v>-151.35223682223261</v>
      </c>
      <c r="BC156" s="215">
        <f t="shared" si="38"/>
        <v>-39.855774364429344</v>
      </c>
      <c r="BD156" s="298">
        <f>IF(AT156&gt;'Summary Table'!$H$27,0,BC156+BD155)</f>
        <v>-1735.700721644261</v>
      </c>
      <c r="BE156" s="10"/>
      <c r="BF156" s="10"/>
      <c r="BG156" s="10"/>
      <c r="BH156" s="10"/>
      <c r="BI156" s="213">
        <v>2014</v>
      </c>
      <c r="BJ156" s="372">
        <v>576.1</v>
      </c>
      <c r="BO156" s="27"/>
      <c r="BP156" s="268" t="s">
        <v>868</v>
      </c>
      <c r="BQ156" s="10"/>
      <c r="BR156" s="10"/>
    </row>
    <row r="157" spans="2:78" ht="17" thickBot="1">
      <c r="B157" s="295">
        <v>2</v>
      </c>
      <c r="C157" s="296"/>
      <c r="D157" s="296">
        <f>IF(B157='Summary Table'!$H$27,-$D$155+'Summary Table'!$H$28*ABS($C$155),0)</f>
        <v>0</v>
      </c>
      <c r="E157" s="296">
        <f t="shared" si="45"/>
        <v>-191.17266892291721</v>
      </c>
      <c r="F157" s="296">
        <f>IF(B157&gt;'Summary Table'!$H$27,0,-$C$147+D157+E157)</f>
        <v>-168.08434344193589</v>
      </c>
      <c r="G157" s="296">
        <f>IF(F156&lt;0,-F156+G156,G156-H156)</f>
        <v>83.118712809528233</v>
      </c>
      <c r="H157" s="296">
        <f t="shared" ref="H157:H205" si="48">IF(F157&lt;0,0, IF(0.8*F157&gt;G157,G157,0.8*F157))</f>
        <v>0</v>
      </c>
      <c r="I157" s="296">
        <f t="shared" si="46"/>
        <v>-168.08434344193589</v>
      </c>
      <c r="J157" s="297">
        <f t="shared" si="47"/>
        <v>23.088325480981325</v>
      </c>
      <c r="K157" s="297">
        <f t="shared" si="44"/>
        <v>19.081260728083738</v>
      </c>
      <c r="L157" s="298">
        <f>IF(B157&gt;'Summary Table'!$H$27,0,K157+L156)</f>
        <v>-1075.1032545213745</v>
      </c>
      <c r="M157" s="10"/>
      <c r="N157" s="213">
        <v>3</v>
      </c>
      <c r="O157" s="219">
        <v>14.4</v>
      </c>
      <c r="P157" s="10"/>
      <c r="Q157" s="213">
        <v>2002</v>
      </c>
      <c r="R157" s="372">
        <v>395.6</v>
      </c>
      <c r="S157" s="10"/>
      <c r="W157" s="27"/>
      <c r="X157" s="305">
        <v>50</v>
      </c>
      <c r="Y157" s="299"/>
      <c r="Z157" s="299">
        <f>IF(X157='Summary Table'!$H$27,-$Z$107+'Summary Table'!$H$28*ABS($Y$107),0)</f>
        <v>0</v>
      </c>
      <c r="AA157" s="299"/>
      <c r="AB157" s="299">
        <f>IF(X157&gt;'Summary Table'!$H$27,0,-$Y$99+Z157+AA157)</f>
        <v>0</v>
      </c>
      <c r="AC157" s="299">
        <f t="shared" si="34"/>
        <v>0</v>
      </c>
      <c r="AD157" s="299">
        <f t="shared" si="35"/>
        <v>0</v>
      </c>
      <c r="AE157" s="299">
        <f t="shared" si="37"/>
        <v>0</v>
      </c>
      <c r="AF157" s="306">
        <f t="shared" si="33"/>
        <v>0</v>
      </c>
      <c r="AG157" s="306">
        <f t="shared" si="36"/>
        <v>0</v>
      </c>
      <c r="AH157" s="300">
        <f>IF(X157&gt;'Summary Table'!$H$27,0,AG157+AH156)</f>
        <v>0</v>
      </c>
      <c r="AS157" s="27"/>
      <c r="AT157" s="223">
        <v>15</v>
      </c>
      <c r="AU157" s="224"/>
      <c r="AV157" s="224">
        <f>IF(AT157='Summary Table'!$H$27,-$AV$142+'Summary Table'!$H$28*ABS($AU$142),0)</f>
        <v>0</v>
      </c>
      <c r="AW157" s="224"/>
      <c r="AX157" s="224">
        <f>IF(AT157&gt;'Summary Table'!$H$27,0,-$AU$134+AV157+AW157)</f>
        <v>-151.35223682223261</v>
      </c>
      <c r="AY157" s="224">
        <f t="shared" si="42"/>
        <v>2710.108550812427</v>
      </c>
      <c r="AZ157" s="224">
        <f t="shared" si="43"/>
        <v>0</v>
      </c>
      <c r="BA157" s="224">
        <f t="shared" si="40"/>
        <v>-151.35223682223261</v>
      </c>
      <c r="BB157" s="225">
        <f t="shared" si="41"/>
        <v>-151.35223682223261</v>
      </c>
      <c r="BC157" s="225">
        <f t="shared" si="38"/>
        <v>-36.23252214948122</v>
      </c>
      <c r="BD157" s="226">
        <f>IF(AT157&gt;'Summary Table'!$H$27,0,BC157+BD156)</f>
        <v>-1771.9332437937421</v>
      </c>
      <c r="BE157" s="10"/>
      <c r="BF157" s="10"/>
      <c r="BG157" s="10"/>
      <c r="BH157" s="10"/>
      <c r="BI157" s="213">
        <v>2015</v>
      </c>
      <c r="BJ157" s="372">
        <v>556.79999999999995</v>
      </c>
      <c r="BO157" s="27"/>
      <c r="BP157" s="10"/>
      <c r="BQ157" s="10"/>
      <c r="BR157" s="10"/>
    </row>
    <row r="158" spans="2:78" ht="17" thickBot="1">
      <c r="B158" s="223">
        <v>3</v>
      </c>
      <c r="C158" s="224"/>
      <c r="D158" s="224">
        <f>IF(B158='Summary Table'!$H$27,-$D$155+'Summary Table'!$H$28*ABS($C$155),0)</f>
        <v>0</v>
      </c>
      <c r="E158" s="224">
        <f t="shared" si="45"/>
        <v>-152.93813513833376</v>
      </c>
      <c r="F158" s="224">
        <f>IF(B158&gt;'Summary Table'!$H$27,0,-$C$147+D158+E158)</f>
        <v>-129.84980965735244</v>
      </c>
      <c r="G158" s="224">
        <f t="shared" ref="G158:G205" si="49">IF(F157&lt;0,-F157+G157,G157-H157)</f>
        <v>251.20305625146412</v>
      </c>
      <c r="H158" s="224">
        <f t="shared" si="48"/>
        <v>0</v>
      </c>
      <c r="I158" s="224">
        <f t="shared" si="46"/>
        <v>-129.84980965735244</v>
      </c>
      <c r="J158" s="225">
        <f t="shared" si="47"/>
        <v>23.088325480981325</v>
      </c>
      <c r="K158" s="225">
        <f t="shared" si="44"/>
        <v>17.346600661894303</v>
      </c>
      <c r="L158" s="226">
        <f>IF(B158&gt;'Summary Table'!$H$27,0,K158+L157)</f>
        <v>-1057.7566538594801</v>
      </c>
      <c r="M158" s="10"/>
      <c r="N158" s="213">
        <v>4</v>
      </c>
      <c r="O158" s="219">
        <v>11.52</v>
      </c>
      <c r="P158" s="10"/>
      <c r="Q158" s="213">
        <v>2003</v>
      </c>
      <c r="R158" s="372">
        <v>402</v>
      </c>
      <c r="S158" s="10"/>
      <c r="W158" s="27"/>
      <c r="X158" s="11"/>
      <c r="Y158" s="11"/>
      <c r="Z158" s="11"/>
      <c r="AA158" s="11"/>
      <c r="AB158" s="11"/>
      <c r="AC158" s="11"/>
      <c r="AD158" s="11"/>
      <c r="AE158" s="11"/>
      <c r="AF158" s="11"/>
      <c r="AG158" s="14"/>
      <c r="AH158" s="218"/>
      <c r="AS158" s="27"/>
      <c r="AT158" s="213">
        <v>16</v>
      </c>
      <c r="AU158" s="214"/>
      <c r="AV158" s="296">
        <f>IF(AT158='Summary Table'!$H$27,-$AV$142+'Summary Table'!$H$28*ABS($AU$142),0)</f>
        <v>0</v>
      </c>
      <c r="AW158" s="296"/>
      <c r="AX158" s="296">
        <f>IF(AT158&gt;'Summary Table'!$H$27,0,-$AU$134+AV158+AW158)</f>
        <v>-151.35223682223261</v>
      </c>
      <c r="AY158" s="214">
        <f t="shared" si="42"/>
        <v>2861.4607876346595</v>
      </c>
      <c r="AZ158" s="214">
        <f t="shared" si="43"/>
        <v>0</v>
      </c>
      <c r="BA158" s="214">
        <f t="shared" si="40"/>
        <v>-151.35223682223261</v>
      </c>
      <c r="BB158" s="215">
        <f t="shared" si="41"/>
        <v>-151.35223682223261</v>
      </c>
      <c r="BC158" s="215">
        <f t="shared" si="38"/>
        <v>-32.938656499528378</v>
      </c>
      <c r="BD158" s="298">
        <f>IF(AT158&gt;'Summary Table'!$H$27,0,BC158+BD157)</f>
        <v>-1804.8719002932705</v>
      </c>
      <c r="BE158" s="10"/>
      <c r="BF158" s="10"/>
      <c r="BG158" s="10"/>
      <c r="BH158" s="10"/>
      <c r="BI158" s="213">
        <v>2016</v>
      </c>
      <c r="BJ158" s="372">
        <v>541.70000000000005</v>
      </c>
      <c r="BO158" s="27"/>
      <c r="BP158" s="279" t="s">
        <v>869</v>
      </c>
      <c r="BQ158" s="280" t="s">
        <v>870</v>
      </c>
      <c r="BR158" s="281" t="s">
        <v>871</v>
      </c>
    </row>
    <row r="159" spans="2:78" ht="22" thickBot="1">
      <c r="B159" s="213">
        <v>4</v>
      </c>
      <c r="C159" s="214"/>
      <c r="D159" s="296">
        <f>IF(B159='Summary Table'!$H$27,-$D$155+'Summary Table'!$H$28*ABS($C$155),0)</f>
        <v>0</v>
      </c>
      <c r="E159" s="296">
        <f t="shared" si="45"/>
        <v>-122.35050811066702</v>
      </c>
      <c r="F159" s="296">
        <f>IF(B159&gt;'Summary Table'!$H$27,0,-$C$147+D159+E159)</f>
        <v>-99.262182629685697</v>
      </c>
      <c r="G159" s="214">
        <f t="shared" si="49"/>
        <v>381.05286590881656</v>
      </c>
      <c r="H159" s="214">
        <f t="shared" si="48"/>
        <v>0</v>
      </c>
      <c r="I159" s="214">
        <f t="shared" si="46"/>
        <v>-99.262182629685697</v>
      </c>
      <c r="J159" s="215">
        <f t="shared" si="47"/>
        <v>23.088325480981325</v>
      </c>
      <c r="K159" s="215">
        <f t="shared" si="44"/>
        <v>15.769636965358458</v>
      </c>
      <c r="L159" s="298">
        <f>IF(B159&gt;'Summary Table'!$H$27,0,K159+L158)</f>
        <v>-1041.9870168941218</v>
      </c>
      <c r="M159" s="10"/>
      <c r="N159" s="213">
        <v>5</v>
      </c>
      <c r="O159" s="219">
        <v>9.2200000000000006</v>
      </c>
      <c r="P159" s="10"/>
      <c r="Q159" s="213">
        <v>2004</v>
      </c>
      <c r="R159" s="372">
        <v>444.2</v>
      </c>
      <c r="S159" s="10"/>
      <c r="W159" s="27"/>
      <c r="X159" s="169" t="s">
        <v>626</v>
      </c>
      <c r="Y159" s="170">
        <f>VLOOKUP('Summary Table'!$H$27,$X$105:$AH$157,11,FALSE)</f>
        <v>-693.54012059289835</v>
      </c>
      <c r="Z159" s="171" t="s">
        <v>614</v>
      </c>
      <c r="AA159" s="10"/>
      <c r="AB159" s="10"/>
      <c r="AC159" s="10"/>
      <c r="AD159" s="10"/>
      <c r="AE159" s="10"/>
      <c r="AF159" s="10"/>
      <c r="AG159" s="10"/>
      <c r="AH159" s="10"/>
      <c r="AS159" s="27"/>
      <c r="AT159" s="223">
        <v>17</v>
      </c>
      <c r="AU159" s="224"/>
      <c r="AV159" s="224">
        <f>IF(AT159='Summary Table'!$H$27,-$AV$142+'Summary Table'!$H$28*ABS($AU$142),0)</f>
        <v>0</v>
      </c>
      <c r="AW159" s="224"/>
      <c r="AX159" s="224">
        <f>IF(AT159&gt;'Summary Table'!$H$27,0,-$AU$134+AV159+AW159)</f>
        <v>-151.35223682223261</v>
      </c>
      <c r="AY159" s="224">
        <f t="shared" si="42"/>
        <v>3012.813024456892</v>
      </c>
      <c r="AZ159" s="224">
        <f t="shared" si="43"/>
        <v>0</v>
      </c>
      <c r="BA159" s="224">
        <f t="shared" si="40"/>
        <v>-151.35223682223261</v>
      </c>
      <c r="BB159" s="225">
        <f t="shared" si="41"/>
        <v>-151.35223682223261</v>
      </c>
      <c r="BC159" s="225">
        <f t="shared" si="38"/>
        <v>-29.944233181389436</v>
      </c>
      <c r="BD159" s="226">
        <f>IF(AT159&gt;'Summary Table'!$H$27,0,BC159+BD158)</f>
        <v>-1834.8161334746599</v>
      </c>
      <c r="BE159" s="10"/>
      <c r="BF159" s="10"/>
      <c r="BG159" s="10"/>
      <c r="BH159" s="10"/>
      <c r="BI159" s="213">
        <v>2017</v>
      </c>
      <c r="BJ159" s="372">
        <v>567.5</v>
      </c>
      <c r="BO159" s="27"/>
      <c r="BP159" s="111" t="s">
        <v>515</v>
      </c>
      <c r="BQ159" s="539">
        <f t="shared" ref="BQ159:BR163" si="50">C214</f>
        <v>390.57398410469051</v>
      </c>
      <c r="BR159" s="541">
        <f t="shared" si="50"/>
        <v>193.10457472998834</v>
      </c>
    </row>
    <row r="160" spans="2:78">
      <c r="B160" s="223">
        <v>5</v>
      </c>
      <c r="C160" s="224"/>
      <c r="D160" s="224">
        <f>IF(B160='Summary Table'!$H$27,-$D$155+'Summary Table'!$H$28*ABS($C$155),0)</f>
        <v>0</v>
      </c>
      <c r="E160" s="224">
        <f t="shared" si="45"/>
        <v>-97.922889303849828</v>
      </c>
      <c r="F160" s="224">
        <f>IF(B160&gt;'Summary Table'!$H$27,0,-$C$147+D160+E160)</f>
        <v>-74.834563822868503</v>
      </c>
      <c r="G160" s="224">
        <f t="shared" si="49"/>
        <v>480.31504853850225</v>
      </c>
      <c r="H160" s="224">
        <f t="shared" si="48"/>
        <v>0</v>
      </c>
      <c r="I160" s="224">
        <f t="shared" si="46"/>
        <v>-74.834563822868503</v>
      </c>
      <c r="J160" s="225">
        <f t="shared" si="47"/>
        <v>23.088325480981325</v>
      </c>
      <c r="K160" s="225">
        <f t="shared" si="44"/>
        <v>14.336033604871325</v>
      </c>
      <c r="L160" s="226">
        <f>IF(B160&gt;'Summary Table'!$H$27,0,K160+L159)</f>
        <v>-1027.6509832892505</v>
      </c>
      <c r="M160" s="10"/>
      <c r="N160" s="213">
        <v>6</v>
      </c>
      <c r="O160" s="219">
        <v>7.37</v>
      </c>
      <c r="P160" s="10"/>
      <c r="Q160" s="213">
        <v>2005</v>
      </c>
      <c r="R160" s="372">
        <v>468.2</v>
      </c>
      <c r="S160" s="10"/>
      <c r="W160" s="27"/>
      <c r="X160" s="10"/>
      <c r="Y160" s="10"/>
      <c r="Z160" s="10"/>
      <c r="AA160" s="10"/>
      <c r="AB160" s="10"/>
      <c r="AC160" s="10"/>
      <c r="AD160" s="10"/>
      <c r="AE160" s="10"/>
      <c r="AF160" s="10"/>
      <c r="AG160" s="10"/>
      <c r="AH160" s="10"/>
      <c r="AS160" s="27"/>
      <c r="AT160" s="213">
        <v>18</v>
      </c>
      <c r="AU160" s="214"/>
      <c r="AV160" s="296">
        <f>IF(AT160='Summary Table'!$H$27,-$AV$142+'Summary Table'!$H$28*ABS($AU$142),0)</f>
        <v>0</v>
      </c>
      <c r="AW160" s="296"/>
      <c r="AX160" s="296">
        <f>IF(AT160&gt;'Summary Table'!$H$27,0,-$AU$134+AV160+AW160)</f>
        <v>-151.35223682223261</v>
      </c>
      <c r="AY160" s="214">
        <f t="shared" si="42"/>
        <v>3164.1652612791245</v>
      </c>
      <c r="AZ160" s="214">
        <f t="shared" si="43"/>
        <v>0</v>
      </c>
      <c r="BA160" s="214">
        <f t="shared" si="40"/>
        <v>-151.35223682223261</v>
      </c>
      <c r="BB160" s="215">
        <f t="shared" si="41"/>
        <v>-151.35223682223261</v>
      </c>
      <c r="BC160" s="215">
        <f t="shared" si="38"/>
        <v>-27.222030164899486</v>
      </c>
      <c r="BD160" s="298">
        <f>IF(AT160&gt;'Summary Table'!$H$27,0,BC160+BD159)</f>
        <v>-1862.0381636395593</v>
      </c>
      <c r="BE160" s="10"/>
      <c r="BF160" s="10"/>
      <c r="BG160" s="10"/>
      <c r="BH160" s="10"/>
      <c r="BI160" s="213">
        <v>2018</v>
      </c>
      <c r="BJ160" s="372">
        <v>603.1</v>
      </c>
      <c r="BO160" s="27"/>
      <c r="BP160" s="282" t="s">
        <v>872</v>
      </c>
      <c r="BQ160" s="551">
        <f t="shared" si="50"/>
        <v>37.088241750000002</v>
      </c>
      <c r="BR160" s="552">
        <f t="shared" si="50"/>
        <v>183.64387326941426</v>
      </c>
    </row>
    <row r="161" spans="2:70">
      <c r="B161" s="213">
        <v>6</v>
      </c>
      <c r="C161" s="214"/>
      <c r="D161" s="296">
        <f>IF(B161='Summary Table'!$H$27,-$D$155+'Summary Table'!$H$28*ABS($C$155),0)</f>
        <v>0</v>
      </c>
      <c r="E161" s="296">
        <f t="shared" si="45"/>
        <v>-78.274587220105545</v>
      </c>
      <c r="F161" s="296">
        <f>IF(B161&gt;'Summary Table'!$H$27,0,-$C$147+D161+E161)</f>
        <v>-55.18626173912422</v>
      </c>
      <c r="G161" s="214">
        <f t="shared" si="49"/>
        <v>555.14961236137071</v>
      </c>
      <c r="H161" s="214">
        <f t="shared" si="48"/>
        <v>0</v>
      </c>
      <c r="I161" s="214">
        <f t="shared" si="46"/>
        <v>-55.18626173912422</v>
      </c>
      <c r="J161" s="215">
        <f t="shared" si="47"/>
        <v>23.088325480981325</v>
      </c>
      <c r="K161" s="215">
        <f t="shared" si="44"/>
        <v>13.032757822610293</v>
      </c>
      <c r="L161" s="298">
        <f>IF(B161&gt;'Summary Table'!$H$27,0,K161+L160)</f>
        <v>-1014.6182254666402</v>
      </c>
      <c r="M161" s="10"/>
      <c r="N161" s="213">
        <v>7</v>
      </c>
      <c r="O161" s="219">
        <v>6.55</v>
      </c>
      <c r="P161" s="10"/>
      <c r="Q161" s="213">
        <v>2006</v>
      </c>
      <c r="R161" s="372">
        <v>496.7</v>
      </c>
      <c r="S161" s="10"/>
      <c r="W161" s="27"/>
      <c r="X161" s="10"/>
      <c r="Y161" s="10"/>
      <c r="Z161" s="10"/>
      <c r="AA161" s="10"/>
      <c r="AB161" s="10"/>
      <c r="AC161" s="10"/>
      <c r="AD161" s="10"/>
      <c r="AE161" s="10"/>
      <c r="AF161" s="10"/>
      <c r="AG161" s="10"/>
      <c r="AH161" s="10"/>
      <c r="AS161" s="27"/>
      <c r="AT161" s="223">
        <v>19</v>
      </c>
      <c r="AU161" s="224"/>
      <c r="AV161" s="224">
        <f>IF(AT161='Summary Table'!$H$27,-$AV$142+'Summary Table'!$H$28*ABS($AU$142),0)</f>
        <v>0</v>
      </c>
      <c r="AW161" s="224"/>
      <c r="AX161" s="224">
        <f>IF(AT161&gt;'Summary Table'!$H$27,0,-$AU$134+AV161+AW161)</f>
        <v>-151.35223682223261</v>
      </c>
      <c r="AY161" s="224">
        <f t="shared" si="42"/>
        <v>3315.517498101357</v>
      </c>
      <c r="AZ161" s="224">
        <f t="shared" si="43"/>
        <v>0</v>
      </c>
      <c r="BA161" s="224">
        <f t="shared" si="40"/>
        <v>-151.35223682223261</v>
      </c>
      <c r="BB161" s="225">
        <f t="shared" si="41"/>
        <v>-151.35223682223261</v>
      </c>
      <c r="BC161" s="225">
        <f t="shared" si="38"/>
        <v>-24.747300149908618</v>
      </c>
      <c r="BD161" s="226">
        <f>IF(AT161&gt;'Summary Table'!$H$27,0,BC161+BD160)</f>
        <v>-1886.7854637894679</v>
      </c>
      <c r="BE161" s="10"/>
      <c r="BF161" s="10"/>
      <c r="BG161" s="10"/>
      <c r="BH161" s="10"/>
      <c r="BI161" s="213">
        <v>2019</v>
      </c>
      <c r="BJ161" s="372">
        <v>607.5</v>
      </c>
      <c r="BO161" s="27"/>
      <c r="BP161" s="153" t="s">
        <v>873</v>
      </c>
      <c r="BQ161" s="18">
        <f t="shared" si="50"/>
        <v>43.230921749234881</v>
      </c>
      <c r="BR161" s="542">
        <f t="shared" si="50"/>
        <v>4.0045277717729011</v>
      </c>
    </row>
    <row r="162" spans="2:70" ht="17" thickBot="1">
      <c r="B162" s="223">
        <v>7</v>
      </c>
      <c r="C162" s="224"/>
      <c r="D162" s="224">
        <f>IF(B162='Summary Table'!$H$27,-$D$155+'Summary Table'!$H$28*ABS($C$155),0)</f>
        <v>0</v>
      </c>
      <c r="E162" s="224">
        <f t="shared" si="45"/>
        <v>-69.565610080283761</v>
      </c>
      <c r="F162" s="224">
        <f>IF(B162&gt;'Summary Table'!$H$27,0,-$C$147+D162+E162)</f>
        <v>-46.477284599302436</v>
      </c>
      <c r="G162" s="224">
        <f t="shared" si="49"/>
        <v>610.33587410049495</v>
      </c>
      <c r="H162" s="224">
        <f t="shared" si="48"/>
        <v>0</v>
      </c>
      <c r="I162" s="224">
        <f t="shared" si="46"/>
        <v>-46.477284599302436</v>
      </c>
      <c r="J162" s="225">
        <f t="shared" si="47"/>
        <v>23.088325480981325</v>
      </c>
      <c r="K162" s="225">
        <f t="shared" si="44"/>
        <v>11.847961656918446</v>
      </c>
      <c r="L162" s="226">
        <f>IF(B162&gt;'Summary Table'!$H$27,0,K162+L161)</f>
        <v>-1002.7702638097218</v>
      </c>
      <c r="M162" s="10"/>
      <c r="N162" s="213">
        <v>8</v>
      </c>
      <c r="O162" s="219">
        <v>6.55</v>
      </c>
      <c r="P162" s="10"/>
      <c r="Q162" s="213">
        <v>2007</v>
      </c>
      <c r="R162" s="372">
        <v>525.4</v>
      </c>
      <c r="W162" s="27"/>
      <c r="X162" s="10"/>
      <c r="Y162" s="10"/>
      <c r="Z162" s="10"/>
      <c r="AS162" s="27"/>
      <c r="AT162" s="213">
        <v>20</v>
      </c>
      <c r="AU162" s="214"/>
      <c r="AV162" s="296">
        <f>IF(AT162='Summary Table'!$H$27,-$AV$142+'Summary Table'!$H$28*ABS($AU$142),0)</f>
        <v>0</v>
      </c>
      <c r="AW162" s="296"/>
      <c r="AX162" s="296">
        <f>IF(AT162&gt;'Summary Table'!$H$27,0,-$AU$134+AV162+AW162)</f>
        <v>-151.35223682223261</v>
      </c>
      <c r="AY162" s="214">
        <f t="shared" si="42"/>
        <v>3466.8697349235895</v>
      </c>
      <c r="AZ162" s="214">
        <f t="shared" si="43"/>
        <v>0</v>
      </c>
      <c r="BA162" s="214">
        <f t="shared" si="40"/>
        <v>-151.35223682223261</v>
      </c>
      <c r="BB162" s="215">
        <f t="shared" si="41"/>
        <v>-151.35223682223261</v>
      </c>
      <c r="BC162" s="215">
        <f t="shared" si="38"/>
        <v>-22.497545590826018</v>
      </c>
      <c r="BD162" s="298">
        <f>IF(AT162&gt;'Summary Table'!$H$27,0,BC162+BD161)</f>
        <v>-1909.2830093802941</v>
      </c>
      <c r="BE162" s="10"/>
      <c r="BF162" s="10"/>
      <c r="BG162" s="10"/>
      <c r="BH162" s="10"/>
      <c r="BI162" s="217">
        <v>2020</v>
      </c>
      <c r="BJ162" s="394">
        <v>607.5</v>
      </c>
      <c r="BO162" s="27"/>
      <c r="BP162" s="282" t="s">
        <v>1061</v>
      </c>
      <c r="BQ162" s="551">
        <f t="shared" si="50"/>
        <v>362.1545685261583</v>
      </c>
      <c r="BR162" s="552">
        <f t="shared" si="50"/>
        <v>19.542372978450185</v>
      </c>
    </row>
    <row r="163" spans="2:70" ht="26">
      <c r="B163" s="213">
        <v>8</v>
      </c>
      <c r="C163" s="214"/>
      <c r="D163" s="296">
        <f>IF(B163='Summary Table'!$H$27,-$D$155+'Summary Table'!$H$28*ABS($C$155),0)</f>
        <v>0</v>
      </c>
      <c r="E163" s="296">
        <f t="shared" si="45"/>
        <v>-69.565610080283761</v>
      </c>
      <c r="F163" s="296">
        <f>IF(B163&gt;'Summary Table'!$H$27,0,-$C$147+D163+E163)</f>
        <v>-46.477284599302436</v>
      </c>
      <c r="G163" s="214">
        <f t="shared" si="49"/>
        <v>656.81315869979744</v>
      </c>
      <c r="H163" s="214">
        <f t="shared" si="48"/>
        <v>0</v>
      </c>
      <c r="I163" s="214">
        <f t="shared" si="46"/>
        <v>-46.477284599302436</v>
      </c>
      <c r="J163" s="215">
        <f t="shared" si="47"/>
        <v>23.088325480981325</v>
      </c>
      <c r="K163" s="215">
        <f t="shared" si="44"/>
        <v>10.770874233562225</v>
      </c>
      <c r="L163" s="298">
        <f>IF(B163&gt;'Summary Table'!$H$27,0,K163+L162)</f>
        <v>-991.9993895761595</v>
      </c>
      <c r="M163" s="10"/>
      <c r="N163" s="213">
        <v>9</v>
      </c>
      <c r="O163" s="219">
        <v>6.56</v>
      </c>
      <c r="P163" s="10"/>
      <c r="Q163" s="213">
        <v>2008</v>
      </c>
      <c r="R163" s="372">
        <v>575.4</v>
      </c>
      <c r="W163" s="27"/>
      <c r="X163" s="268" t="s">
        <v>868</v>
      </c>
      <c r="Y163" s="10"/>
      <c r="Z163" s="10"/>
      <c r="AS163" s="27"/>
      <c r="AT163" s="223">
        <v>21</v>
      </c>
      <c r="AU163" s="224"/>
      <c r="AV163" s="224">
        <f>IF(AT163='Summary Table'!$H$27,-$AV$142+'Summary Table'!$H$28*ABS($AU$142),0)</f>
        <v>0</v>
      </c>
      <c r="AW163" s="224"/>
      <c r="AX163" s="224">
        <f>IF(AT163&gt;'Summary Table'!$H$27,0,-$AU$134+AV163+AW163)</f>
        <v>-151.35223682223261</v>
      </c>
      <c r="AY163" s="224">
        <f t="shared" si="42"/>
        <v>3618.221971745822</v>
      </c>
      <c r="AZ163" s="224">
        <f t="shared" si="43"/>
        <v>0</v>
      </c>
      <c r="BA163" s="224">
        <f t="shared" si="40"/>
        <v>-151.35223682223261</v>
      </c>
      <c r="BB163" s="225">
        <f t="shared" si="41"/>
        <v>-151.35223682223261</v>
      </c>
      <c r="BC163" s="225">
        <f t="shared" si="38"/>
        <v>-20.452314173478197</v>
      </c>
      <c r="BD163" s="226">
        <f>IF(AT163&gt;'Summary Table'!$H$27,0,BC163+BD162)</f>
        <v>-1929.7353235537723</v>
      </c>
      <c r="BE163" s="10"/>
      <c r="BF163" s="10"/>
      <c r="BG163" s="10"/>
      <c r="BH163" s="10"/>
      <c r="BI163" s="10"/>
      <c r="BO163" s="27"/>
      <c r="BP163" s="153" t="s">
        <v>874</v>
      </c>
      <c r="BQ163" s="351">
        <f t="shared" si="50"/>
        <v>229.02266677501223</v>
      </c>
      <c r="BR163" s="544">
        <f t="shared" si="50"/>
        <v>70.389851362889672</v>
      </c>
    </row>
    <row r="164" spans="2:70" ht="17" thickBot="1">
      <c r="B164" s="223">
        <v>9</v>
      </c>
      <c r="C164" s="224"/>
      <c r="D164" s="224">
        <f>IF(B164='Summary Table'!$H$27,-$D$155+'Summary Table'!$H$28*ABS($C$155),0)</f>
        <v>0</v>
      </c>
      <c r="E164" s="224">
        <f t="shared" si="45"/>
        <v>-69.671817118574268</v>
      </c>
      <c r="F164" s="224">
        <f>IF(B164&gt;'Summary Table'!$H$27,0,-$C$147+D164+E164)</f>
        <v>-46.583491637592942</v>
      </c>
      <c r="G164" s="224">
        <f t="shared" si="49"/>
        <v>703.29044329909993</v>
      </c>
      <c r="H164" s="224">
        <f t="shared" si="48"/>
        <v>0</v>
      </c>
      <c r="I164" s="224">
        <f t="shared" si="46"/>
        <v>-46.583491637592942</v>
      </c>
      <c r="J164" s="225">
        <f t="shared" si="47"/>
        <v>23.088325480981325</v>
      </c>
      <c r="K164" s="225">
        <f t="shared" si="44"/>
        <v>9.7917038486929311</v>
      </c>
      <c r="L164" s="226">
        <f>IF(B164&gt;'Summary Table'!$H$27,0,K164+L163)</f>
        <v>-982.20768572746658</v>
      </c>
      <c r="M164" s="10"/>
      <c r="N164" s="213">
        <v>10</v>
      </c>
      <c r="O164" s="219">
        <v>6.55</v>
      </c>
      <c r="P164" s="10"/>
      <c r="Q164" s="213">
        <v>2009</v>
      </c>
      <c r="R164" s="372">
        <v>521.9</v>
      </c>
      <c r="W164" s="27"/>
      <c r="X164" s="10"/>
      <c r="Y164" s="10"/>
      <c r="Z164" s="10"/>
      <c r="AS164" s="27"/>
      <c r="AT164" s="213">
        <v>22</v>
      </c>
      <c r="AU164" s="214"/>
      <c r="AV164" s="296">
        <f>IF(AT164='Summary Table'!$H$27,-$AV$142+'Summary Table'!$H$28*ABS($AU$142),0)</f>
        <v>0</v>
      </c>
      <c r="AW164" s="296"/>
      <c r="AX164" s="296">
        <f>IF(AT164&gt;'Summary Table'!$H$27,0,-$AU$134+AV164+AW164)</f>
        <v>-151.35223682223261</v>
      </c>
      <c r="AY164" s="214">
        <f t="shared" si="42"/>
        <v>3769.5742085680545</v>
      </c>
      <c r="AZ164" s="214">
        <f t="shared" si="43"/>
        <v>0</v>
      </c>
      <c r="BA164" s="214">
        <f t="shared" si="40"/>
        <v>-151.35223682223261</v>
      </c>
      <c r="BB164" s="215">
        <f t="shared" si="41"/>
        <v>-151.35223682223261</v>
      </c>
      <c r="BC164" s="215">
        <f t="shared" si="38"/>
        <v>-18.593012884980176</v>
      </c>
      <c r="BD164" s="298">
        <f>IF(AT164&gt;'Summary Table'!$H$27,0,BC164+BD163)</f>
        <v>-1948.3283364387526</v>
      </c>
      <c r="BE164" s="10"/>
      <c r="BF164" s="10"/>
      <c r="BG164" s="10"/>
      <c r="BH164" s="10"/>
      <c r="BI164" s="10"/>
      <c r="BO164" s="27"/>
      <c r="BP164" s="283" t="s">
        <v>762</v>
      </c>
      <c r="BQ164" s="553">
        <f>SUM(CF23:CF28)</f>
        <v>109.95519221941188</v>
      </c>
      <c r="BR164" s="554">
        <f>SUM(BV62:BV64)+SUM(BX39:BX42)</f>
        <v>23.182250072277231</v>
      </c>
    </row>
    <row r="165" spans="2:70" ht="17" thickBot="1">
      <c r="B165" s="213">
        <v>10</v>
      </c>
      <c r="C165" s="214"/>
      <c r="D165" s="296">
        <f>IF(B165='Summary Table'!$H$27,-$D$155+'Summary Table'!$H$28*ABS($C$155),0)</f>
        <v>0</v>
      </c>
      <c r="E165" s="296">
        <f t="shared" si="45"/>
        <v>-69.565610080283761</v>
      </c>
      <c r="F165" s="296">
        <f>IF(B165&gt;'Summary Table'!$H$27,0,-$C$147+D165+E165)</f>
        <v>-46.477284599302436</v>
      </c>
      <c r="G165" s="214">
        <f t="shared" si="49"/>
        <v>749.87393493669288</v>
      </c>
      <c r="H165" s="214">
        <f t="shared" si="48"/>
        <v>0</v>
      </c>
      <c r="I165" s="214">
        <f t="shared" si="46"/>
        <v>-46.477284599302436</v>
      </c>
      <c r="J165" s="215">
        <f t="shared" si="47"/>
        <v>23.088325480981325</v>
      </c>
      <c r="K165" s="215">
        <f t="shared" si="44"/>
        <v>8.9015489533572101</v>
      </c>
      <c r="L165" s="298">
        <f>IF(B165&gt;'Summary Table'!$H$27,0,K165+L164)</f>
        <v>-973.3061367741094</v>
      </c>
      <c r="M165" s="10"/>
      <c r="N165" s="217">
        <v>11</v>
      </c>
      <c r="O165" s="220">
        <v>3.28</v>
      </c>
      <c r="P165" s="10"/>
      <c r="Q165" s="213">
        <v>2010</v>
      </c>
      <c r="R165" s="372">
        <v>550.79999999999995</v>
      </c>
      <c r="W165" s="27"/>
      <c r="X165" s="279" t="s">
        <v>869</v>
      </c>
      <c r="Y165" s="280" t="s">
        <v>870</v>
      </c>
      <c r="Z165" s="281" t="s">
        <v>871</v>
      </c>
      <c r="AS165" s="27"/>
      <c r="AT165" s="223">
        <v>23</v>
      </c>
      <c r="AU165" s="224"/>
      <c r="AV165" s="224">
        <f>IF(AT165='Summary Table'!$H$27,-$AV$142+'Summary Table'!$H$28*ABS($AU$142),0)</f>
        <v>0</v>
      </c>
      <c r="AW165" s="224"/>
      <c r="AX165" s="224">
        <f>IF(AT165&gt;'Summary Table'!$H$27,0,-$AU$134+AV165+AW165)</f>
        <v>-151.35223682223261</v>
      </c>
      <c r="AY165" s="224">
        <f t="shared" si="42"/>
        <v>3920.926445390287</v>
      </c>
      <c r="AZ165" s="224">
        <f t="shared" si="43"/>
        <v>0</v>
      </c>
      <c r="BA165" s="224">
        <f t="shared" si="40"/>
        <v>-151.35223682223261</v>
      </c>
      <c r="BB165" s="225">
        <f t="shared" si="41"/>
        <v>-151.35223682223261</v>
      </c>
      <c r="BC165" s="225">
        <f t="shared" si="38"/>
        <v>-16.902738986345611</v>
      </c>
      <c r="BD165" s="226">
        <f>IF(AT165&gt;'Summary Table'!$H$27,0,BC165+BD164)</f>
        <v>-1965.2310754250982</v>
      </c>
      <c r="BE165" s="10"/>
      <c r="BF165" s="10"/>
      <c r="BG165" s="10"/>
      <c r="BH165" s="10"/>
      <c r="BI165" s="10"/>
      <c r="BO165" s="27"/>
    </row>
    <row r="166" spans="2:70">
      <c r="B166" s="223">
        <v>11</v>
      </c>
      <c r="C166" s="224"/>
      <c r="D166" s="224">
        <f>IF(B166='Summary Table'!$H$27,-$D$155+'Summary Table'!$H$28*ABS($C$155),0)</f>
        <v>0</v>
      </c>
      <c r="E166" s="224">
        <f t="shared" si="45"/>
        <v>-34.835908559287134</v>
      </c>
      <c r="F166" s="224">
        <f>IF(B166&gt;'Summary Table'!$H$27,0,-$C$147+D166+E166)</f>
        <v>-11.747583078305809</v>
      </c>
      <c r="G166" s="224">
        <f t="shared" si="49"/>
        <v>796.35121953599537</v>
      </c>
      <c r="H166" s="224">
        <f t="shared" si="48"/>
        <v>0</v>
      </c>
      <c r="I166" s="224">
        <f t="shared" si="46"/>
        <v>-11.747583078305809</v>
      </c>
      <c r="J166" s="225">
        <f t="shared" si="47"/>
        <v>23.088325480981325</v>
      </c>
      <c r="K166" s="225">
        <f t="shared" si="44"/>
        <v>8.0923172303247348</v>
      </c>
      <c r="L166" s="226">
        <f>IF(B166&gt;'Summary Table'!$H$27,0,K166+L165)</f>
        <v>-965.21381954378467</v>
      </c>
      <c r="M166" s="10"/>
      <c r="N166" s="10"/>
      <c r="O166" s="10"/>
      <c r="P166" s="10"/>
      <c r="Q166" s="213">
        <v>2011</v>
      </c>
      <c r="R166" s="372">
        <v>585.70000000000005</v>
      </c>
      <c r="W166" s="27"/>
      <c r="X166" s="111" t="s">
        <v>515</v>
      </c>
      <c r="Y166" s="539">
        <f>SUM(AP23:AP24)</f>
        <v>390.57398410469051</v>
      </c>
      <c r="Z166" s="541">
        <f>SUM(AD64:AD65)+SUM(AC38:AC41)</f>
        <v>211.01226321704951</v>
      </c>
      <c r="AS166" s="27"/>
      <c r="AT166" s="213">
        <v>24</v>
      </c>
      <c r="AU166" s="214"/>
      <c r="AV166" s="296">
        <f>IF(AT166='Summary Table'!$H$27,-$AV$142+'Summary Table'!$H$28*ABS($AU$142),0)</f>
        <v>0</v>
      </c>
      <c r="AW166" s="214"/>
      <c r="AX166" s="296">
        <f>IF(AT166&gt;'Summary Table'!$H$27,0,-$AU$134+AV166+AW166)</f>
        <v>-151.35223682223261</v>
      </c>
      <c r="AY166" s="214">
        <f t="shared" si="42"/>
        <v>4072.2786822125195</v>
      </c>
      <c r="AZ166" s="214">
        <f t="shared" si="43"/>
        <v>0</v>
      </c>
      <c r="BA166" s="214">
        <f t="shared" si="40"/>
        <v>-151.35223682223261</v>
      </c>
      <c r="BB166" s="215">
        <f t="shared" si="41"/>
        <v>-151.35223682223261</v>
      </c>
      <c r="BC166" s="215">
        <f t="shared" si="38"/>
        <v>-15.366126351223286</v>
      </c>
      <c r="BD166" s="298">
        <f>IF(AT166&gt;'Summary Table'!$H$27,0,BC166+BD165)</f>
        <v>-1980.5972017763215</v>
      </c>
      <c r="BE166" s="10"/>
      <c r="BF166" s="10"/>
      <c r="BG166" s="10"/>
      <c r="BH166" s="10"/>
      <c r="BI166" s="10"/>
      <c r="BO166" s="27"/>
    </row>
    <row r="167" spans="2:70">
      <c r="B167" s="213">
        <v>12</v>
      </c>
      <c r="C167" s="214"/>
      <c r="D167" s="296">
        <f>IF(B167='Summary Table'!$H$27,-$D$155+'Summary Table'!$H$28*ABS($C$155),0)</f>
        <v>0</v>
      </c>
      <c r="E167" s="296"/>
      <c r="F167" s="296">
        <f>IF(B167&gt;'Summary Table'!$H$27,0,-$C$147+D167+E167)</f>
        <v>23.088325480981325</v>
      </c>
      <c r="G167" s="214">
        <f t="shared" si="49"/>
        <v>808.09880261430112</v>
      </c>
      <c r="H167" s="214">
        <f t="shared" si="48"/>
        <v>18.470660384785059</v>
      </c>
      <c r="I167" s="214">
        <f t="shared" si="46"/>
        <v>21.901585551258886</v>
      </c>
      <c r="J167" s="215">
        <f t="shared" si="47"/>
        <v>21.901585551258886</v>
      </c>
      <c r="K167" s="215">
        <f t="shared" si="44"/>
        <v>6.9785201133509487</v>
      </c>
      <c r="L167" s="298">
        <f>IF(B167&gt;'Summary Table'!$H$27,0,K167+L166)</f>
        <v>-958.23529943043377</v>
      </c>
      <c r="M167" s="10"/>
      <c r="N167" s="10"/>
      <c r="O167" s="10"/>
      <c r="P167" s="10"/>
      <c r="Q167" s="213">
        <v>2012</v>
      </c>
      <c r="R167" s="372">
        <v>584.6</v>
      </c>
      <c r="W167" s="27"/>
      <c r="X167" s="282" t="s">
        <v>872</v>
      </c>
      <c r="Y167" s="551">
        <f>SUM(AP26:AP29)</f>
        <v>575.16362325079945</v>
      </c>
      <c r="Z167" s="552">
        <f>SUM(AG67:AG68)+AD70+AJ67+AJ69+AC42</f>
        <v>350.42463025191375</v>
      </c>
      <c r="AS167" s="27"/>
      <c r="AT167" s="223">
        <v>25</v>
      </c>
      <c r="AU167" s="224"/>
      <c r="AV167" s="224">
        <f>IF(AT167='Summary Table'!$H$27,-$AV$142+'Summary Table'!$H$28*ABS($AU$142),0)</f>
        <v>0</v>
      </c>
      <c r="AW167" s="224"/>
      <c r="AX167" s="224">
        <f>IF(AT167&gt;'Summary Table'!$H$27,0,-$AU$134+AV167+AW167)</f>
        <v>-151.35223682223261</v>
      </c>
      <c r="AY167" s="224">
        <f>IF(AX166&lt;0,-AX166+AY166,AY166-AZ166)</f>
        <v>4223.630919034752</v>
      </c>
      <c r="AZ167" s="224">
        <f t="shared" si="43"/>
        <v>0</v>
      </c>
      <c r="BA167" s="224">
        <f t="shared" si="40"/>
        <v>-151.35223682223261</v>
      </c>
      <c r="BB167" s="225">
        <f t="shared" si="41"/>
        <v>-151.35223682223261</v>
      </c>
      <c r="BC167" s="225">
        <f t="shared" si="38"/>
        <v>-13.969205773839349</v>
      </c>
      <c r="BD167" s="226">
        <f>IF(AT167&gt;'Summary Table'!$H$27,0,BC167+BD166)</f>
        <v>-1994.5664075501609</v>
      </c>
      <c r="BE167" s="10"/>
      <c r="BF167" s="10"/>
      <c r="BG167" s="10"/>
      <c r="BH167" s="10"/>
      <c r="BI167" s="10"/>
      <c r="BO167" s="27"/>
    </row>
    <row r="168" spans="2:70" ht="17" thickBot="1">
      <c r="B168" s="223">
        <v>13</v>
      </c>
      <c r="C168" s="224"/>
      <c r="D168" s="224">
        <f>IF(B168='Summary Table'!$H$27,-$D$155+'Summary Table'!$H$28*ABS($C$155),0)</f>
        <v>0</v>
      </c>
      <c r="E168" s="224"/>
      <c r="F168" s="224">
        <f>IF(B168&gt;'Summary Table'!$H$27,0,-$C$147+D168+E168)</f>
        <v>23.088325480981325</v>
      </c>
      <c r="G168" s="224">
        <f t="shared" si="49"/>
        <v>789.62814222951602</v>
      </c>
      <c r="H168" s="224">
        <f t="shared" si="48"/>
        <v>18.470660384785059</v>
      </c>
      <c r="I168" s="224">
        <f t="shared" si="46"/>
        <v>21.901585551258886</v>
      </c>
      <c r="J168" s="225">
        <f t="shared" si="47"/>
        <v>21.901585551258886</v>
      </c>
      <c r="K168" s="225">
        <f t="shared" si="44"/>
        <v>6.3441091939554086</v>
      </c>
      <c r="L168" s="226">
        <f>IF(B168&gt;'Summary Table'!$H$27,0,K168+L167)</f>
        <v>-951.89119023647834</v>
      </c>
      <c r="M168" s="10"/>
      <c r="N168" s="10"/>
      <c r="O168" s="10"/>
      <c r="P168" s="10"/>
      <c r="Q168" s="213">
        <v>2013</v>
      </c>
      <c r="R168" s="372">
        <v>567.29999999999995</v>
      </c>
      <c r="W168" s="27"/>
      <c r="X168" s="172" t="s">
        <v>873</v>
      </c>
      <c r="Y168" s="540">
        <f>AP25</f>
        <v>25.882768674148906</v>
      </c>
      <c r="Z168" s="543">
        <f>AD66</f>
        <v>0.64021880999999992</v>
      </c>
      <c r="AS168" s="27"/>
      <c r="AT168" s="213">
        <v>26</v>
      </c>
      <c r="AU168" s="214"/>
      <c r="AV168" s="296">
        <f>IF(AT168='Summary Table'!$H$27,-$AV$142+'Summary Table'!$H$28*ABS($AU$142),0)</f>
        <v>0</v>
      </c>
      <c r="AW168" s="214"/>
      <c r="AX168" s="296">
        <f>IF(AT168&gt;'Summary Table'!$H$27,0,-$AU$134+AV168+AW168)</f>
        <v>-151.35223682223261</v>
      </c>
      <c r="AY168" s="214">
        <f t="shared" si="42"/>
        <v>4374.9831558569849</v>
      </c>
      <c r="AZ168" s="214">
        <f t="shared" si="43"/>
        <v>0</v>
      </c>
      <c r="BA168" s="214">
        <f t="shared" si="40"/>
        <v>-151.35223682223261</v>
      </c>
      <c r="BB168" s="215">
        <f t="shared" si="41"/>
        <v>-151.35223682223261</v>
      </c>
      <c r="BC168" s="215">
        <f t="shared" si="38"/>
        <v>-12.699277976217589</v>
      </c>
      <c r="BD168" s="298">
        <f>IF(AT168&gt;'Summary Table'!$H$27,0,BC168+BD167)</f>
        <v>-2007.2656855263785</v>
      </c>
      <c r="BE168" s="10"/>
      <c r="BF168" s="10"/>
      <c r="BG168" s="10"/>
      <c r="BH168" s="10"/>
      <c r="BI168" s="10"/>
      <c r="BO168" s="27"/>
    </row>
    <row r="169" spans="2:70">
      <c r="B169" s="213">
        <v>14</v>
      </c>
      <c r="C169" s="214"/>
      <c r="D169" s="296">
        <f>IF(B169='Summary Table'!$H$27,-$D$155+'Summary Table'!$H$28*ABS($C$155),0)</f>
        <v>0</v>
      </c>
      <c r="E169" s="296"/>
      <c r="F169" s="296">
        <f>IF(B169&gt;'Summary Table'!$H$27,0,-$C$147+D169+E169)</f>
        <v>23.088325480981325</v>
      </c>
      <c r="G169" s="214">
        <f t="shared" si="49"/>
        <v>771.15748184473091</v>
      </c>
      <c r="H169" s="214">
        <f t="shared" si="48"/>
        <v>18.470660384785059</v>
      </c>
      <c r="I169" s="214">
        <f t="shared" si="46"/>
        <v>21.901585551258886</v>
      </c>
      <c r="J169" s="215">
        <f t="shared" si="47"/>
        <v>21.901585551258886</v>
      </c>
      <c r="K169" s="215">
        <f t="shared" si="44"/>
        <v>5.7673719945049156</v>
      </c>
      <c r="L169" s="298">
        <f>IF(B169&gt;'Summary Table'!$H$27,0,K169+L168)</f>
        <v>-946.12381824197337</v>
      </c>
      <c r="M169" s="10"/>
      <c r="N169" s="10"/>
      <c r="O169" s="10"/>
      <c r="P169" s="10"/>
      <c r="Q169" s="213">
        <v>2014</v>
      </c>
      <c r="R169" s="372">
        <v>576.1</v>
      </c>
      <c r="W169" s="27"/>
      <c r="AS169" s="27"/>
      <c r="AT169" s="223">
        <v>27</v>
      </c>
      <c r="AU169" s="224"/>
      <c r="AV169" s="224">
        <f>IF(AT169='Summary Table'!$H$27,-$AV$142+'Summary Table'!$H$28*ABS($AU$142),0)</f>
        <v>0</v>
      </c>
      <c r="AW169" s="224"/>
      <c r="AX169" s="224">
        <f>IF(AT169&gt;'Summary Table'!$H$27,0,-$AU$134+AV169+AW169)</f>
        <v>-151.35223682223261</v>
      </c>
      <c r="AY169" s="224">
        <f>IF(AX168&lt;0,-AX168+AY168,AY168-AZ168)</f>
        <v>4526.3353926792179</v>
      </c>
      <c r="AZ169" s="224">
        <f t="shared" si="43"/>
        <v>0</v>
      </c>
      <c r="BA169" s="224">
        <f t="shared" si="40"/>
        <v>-151.35223682223261</v>
      </c>
      <c r="BB169" s="225">
        <f t="shared" si="41"/>
        <v>-151.35223682223261</v>
      </c>
      <c r="BC169" s="225">
        <f t="shared" si="38"/>
        <v>-11.544798160197805</v>
      </c>
      <c r="BD169" s="226">
        <f>IF(AT169&gt;'Summary Table'!$H$27,0,BC169+BD168)</f>
        <v>-2018.8104836865764</v>
      </c>
      <c r="BE169" s="10"/>
      <c r="BF169" s="10"/>
      <c r="BG169" s="10"/>
      <c r="BH169" s="10"/>
      <c r="BI169" s="10"/>
      <c r="BO169" s="27"/>
    </row>
    <row r="170" spans="2:70">
      <c r="B170" s="223">
        <v>15</v>
      </c>
      <c r="C170" s="224"/>
      <c r="D170" s="224">
        <f>IF(B170='Summary Table'!$H$27,-$D$155+'Summary Table'!$H$28*ABS($C$155),0)</f>
        <v>0</v>
      </c>
      <c r="E170" s="224"/>
      <c r="F170" s="224">
        <f>IF(B170&gt;'Summary Table'!$H$27,0,-$C$147+D170+E170)</f>
        <v>23.088325480981325</v>
      </c>
      <c r="G170" s="224">
        <f t="shared" si="49"/>
        <v>752.6868214599458</v>
      </c>
      <c r="H170" s="224">
        <f t="shared" si="48"/>
        <v>18.470660384785059</v>
      </c>
      <c r="I170" s="224">
        <f t="shared" si="46"/>
        <v>21.901585551258886</v>
      </c>
      <c r="J170" s="225">
        <f t="shared" si="47"/>
        <v>21.901585551258886</v>
      </c>
      <c r="K170" s="225">
        <f t="shared" si="44"/>
        <v>5.2430654495499232</v>
      </c>
      <c r="L170" s="226">
        <f>IF(B170&gt;'Summary Table'!$H$27,0,K170+L169)</f>
        <v>-940.88075279242344</v>
      </c>
      <c r="M170" s="10"/>
      <c r="N170" s="10"/>
      <c r="O170" s="10"/>
      <c r="P170" s="10"/>
      <c r="Q170" s="213">
        <v>2015</v>
      </c>
      <c r="R170" s="372">
        <v>556.79999999999995</v>
      </c>
      <c r="W170" s="27"/>
      <c r="AS170" s="27"/>
      <c r="AT170" s="213">
        <v>28</v>
      </c>
      <c r="AU170" s="214"/>
      <c r="AV170" s="296">
        <f>IF(AT170='Summary Table'!$H$27,-$AV$142+'Summary Table'!$H$28*ABS($AU$142),0)</f>
        <v>0</v>
      </c>
      <c r="AW170" s="214"/>
      <c r="AX170" s="296">
        <f>IF(AT170&gt;'Summary Table'!$H$27,0,-$AU$134+AV170+AW170)</f>
        <v>-151.35223682223261</v>
      </c>
      <c r="AY170" s="214">
        <f t="shared" si="42"/>
        <v>4677.6876295014508</v>
      </c>
      <c r="AZ170" s="214">
        <f t="shared" si="43"/>
        <v>0</v>
      </c>
      <c r="BA170" s="214">
        <f t="shared" si="40"/>
        <v>-151.35223682223261</v>
      </c>
      <c r="BB170" s="215">
        <f t="shared" si="41"/>
        <v>-151.35223682223261</v>
      </c>
      <c r="BC170" s="215">
        <f t="shared" si="38"/>
        <v>-10.495271054725277</v>
      </c>
      <c r="BD170" s="298">
        <f>IF(AT170&gt;'Summary Table'!$H$27,0,BC170+BD169)</f>
        <v>-2029.3057547413016</v>
      </c>
      <c r="BE170" s="10"/>
      <c r="BF170" s="10"/>
      <c r="BG170" s="10"/>
      <c r="BH170" s="10"/>
      <c r="BI170" s="10"/>
      <c r="BO170" s="27"/>
    </row>
    <row r="171" spans="2:70">
      <c r="B171" s="213">
        <v>16</v>
      </c>
      <c r="C171" s="214"/>
      <c r="D171" s="296">
        <f>IF(B171='Summary Table'!$H$27,-$D$155+'Summary Table'!$H$28*ABS($C$155),0)</f>
        <v>0</v>
      </c>
      <c r="E171" s="296"/>
      <c r="F171" s="296">
        <f>IF(B171&gt;'Summary Table'!$H$27,0,-$C$147+D171+E171)</f>
        <v>23.088325480981325</v>
      </c>
      <c r="G171" s="214">
        <f t="shared" si="49"/>
        <v>734.2161610751607</v>
      </c>
      <c r="H171" s="214">
        <f t="shared" si="48"/>
        <v>18.470660384785059</v>
      </c>
      <c r="I171" s="214">
        <f t="shared" si="46"/>
        <v>21.901585551258886</v>
      </c>
      <c r="J171" s="215">
        <f t="shared" si="47"/>
        <v>21.901585551258886</v>
      </c>
      <c r="K171" s="215">
        <f t="shared" si="44"/>
        <v>4.7664231359544758</v>
      </c>
      <c r="L171" s="298">
        <f>IF(B171&gt;'Summary Table'!$H$27,0,K171+L170)</f>
        <v>-936.11432965646895</v>
      </c>
      <c r="M171" s="10"/>
      <c r="N171" s="10"/>
      <c r="O171" s="10"/>
      <c r="P171" s="10"/>
      <c r="Q171" s="213">
        <v>2016</v>
      </c>
      <c r="R171" s="372">
        <v>541.70000000000005</v>
      </c>
      <c r="W171" s="27"/>
      <c r="AS171" s="27"/>
      <c r="AT171" s="223">
        <v>29</v>
      </c>
      <c r="AU171" s="224"/>
      <c r="AV171" s="224">
        <f>IF(AT171='Summary Table'!$H$27,-$AV$142+'Summary Table'!$H$28*ABS($AU$142),0)</f>
        <v>0</v>
      </c>
      <c r="AW171" s="224"/>
      <c r="AX171" s="224">
        <f>IF(AT171&gt;'Summary Table'!$H$27,0,-$AU$134+AV171+AW171)</f>
        <v>-151.35223682223261</v>
      </c>
      <c r="AY171" s="224">
        <f t="shared" si="42"/>
        <v>4829.0398663236838</v>
      </c>
      <c r="AZ171" s="224">
        <f t="shared" si="43"/>
        <v>0</v>
      </c>
      <c r="BA171" s="224">
        <f t="shared" si="40"/>
        <v>-151.35223682223261</v>
      </c>
      <c r="BB171" s="225">
        <f t="shared" si="41"/>
        <v>-151.35223682223261</v>
      </c>
      <c r="BC171" s="225">
        <f t="shared" si="38"/>
        <v>-9.5411555042957072</v>
      </c>
      <c r="BD171" s="226">
        <f>IF(AT171&gt;'Summary Table'!$H$27,0,BC171+BD170)</f>
        <v>-2038.8469102455972</v>
      </c>
      <c r="BE171" s="10"/>
      <c r="BF171" s="10"/>
      <c r="BG171" s="10"/>
      <c r="BH171" s="10"/>
      <c r="BI171" s="10"/>
      <c r="BO171" s="27"/>
    </row>
    <row r="172" spans="2:70">
      <c r="B172" s="223">
        <v>17</v>
      </c>
      <c r="C172" s="224"/>
      <c r="D172" s="224">
        <f>IF(B172='Summary Table'!$H$27,-$D$155+'Summary Table'!$H$28*ABS($C$155),0)</f>
        <v>0</v>
      </c>
      <c r="E172" s="224"/>
      <c r="F172" s="224">
        <f>IF(B172&gt;'Summary Table'!$H$27,0,-$C$147+D172+E172)</f>
        <v>23.088325480981325</v>
      </c>
      <c r="G172" s="224">
        <f t="shared" si="49"/>
        <v>715.74550069037559</v>
      </c>
      <c r="H172" s="224">
        <f t="shared" si="48"/>
        <v>18.470660384785059</v>
      </c>
      <c r="I172" s="224">
        <f t="shared" si="46"/>
        <v>21.901585551258886</v>
      </c>
      <c r="J172" s="225">
        <f t="shared" si="47"/>
        <v>21.901585551258886</v>
      </c>
      <c r="K172" s="225">
        <f t="shared" si="44"/>
        <v>4.3331119417767958</v>
      </c>
      <c r="L172" s="226">
        <f>IF(B172&gt;'Summary Table'!$H$27,0,K172+L171)</f>
        <v>-931.78121771469216</v>
      </c>
      <c r="M172" s="10"/>
      <c r="N172" s="10"/>
      <c r="O172" s="10"/>
      <c r="P172" s="10"/>
      <c r="Q172" s="213">
        <v>2017</v>
      </c>
      <c r="R172" s="372">
        <v>567.5</v>
      </c>
      <c r="W172" s="27"/>
      <c r="AS172" s="27"/>
      <c r="AT172" s="295">
        <v>30</v>
      </c>
      <c r="AU172" s="296"/>
      <c r="AV172" s="296">
        <f>IF(AT172='Summary Table'!$H$27,-$AV$142+'Summary Table'!$H$28*ABS($AU$142),0)</f>
        <v>147.79430882529266</v>
      </c>
      <c r="AW172" s="296"/>
      <c r="AX172" s="296">
        <f>IF(AT172&gt;'Summary Table'!$H$27,0,-$AU$134+AV172+AW172)</f>
        <v>-3.5579279969399522</v>
      </c>
      <c r="AY172" s="296">
        <f t="shared" si="42"/>
        <v>4980.3921031459167</v>
      </c>
      <c r="AZ172" s="296">
        <f t="shared" si="43"/>
        <v>0</v>
      </c>
      <c r="BA172" s="296">
        <f t="shared" si="40"/>
        <v>-3.5579279969399522</v>
      </c>
      <c r="BB172" s="297">
        <f t="shared" si="41"/>
        <v>-3.5579279969399522</v>
      </c>
      <c r="BC172" s="297">
        <f t="shared" si="38"/>
        <v>-0.20389970625435103</v>
      </c>
      <c r="BD172" s="298">
        <f>IF(AT172&gt;'Summary Table'!$H$27,0,BC172+BD171)</f>
        <v>-2039.0508099518515</v>
      </c>
      <c r="BE172" s="10"/>
      <c r="BF172" s="10"/>
      <c r="BG172" s="10"/>
      <c r="BH172" s="10"/>
      <c r="BI172" s="10"/>
      <c r="BO172" s="27"/>
    </row>
    <row r="173" spans="2:70">
      <c r="B173" s="213">
        <v>18</v>
      </c>
      <c r="C173" s="214"/>
      <c r="D173" s="296">
        <f>IF(B173='Summary Table'!$H$27,-$D$155+'Summary Table'!$H$28*ABS($C$155),0)</f>
        <v>0</v>
      </c>
      <c r="E173" s="296"/>
      <c r="F173" s="296">
        <f>IF(B173&gt;'Summary Table'!$H$27,0,-$C$147+D173+E173)</f>
        <v>23.088325480981325</v>
      </c>
      <c r="G173" s="214">
        <f t="shared" si="49"/>
        <v>697.27484030559049</v>
      </c>
      <c r="H173" s="214">
        <f t="shared" si="48"/>
        <v>18.470660384785059</v>
      </c>
      <c r="I173" s="214">
        <f t="shared" si="46"/>
        <v>21.901585551258886</v>
      </c>
      <c r="J173" s="215">
        <f t="shared" si="47"/>
        <v>21.901585551258886</v>
      </c>
      <c r="K173" s="215">
        <f t="shared" si="44"/>
        <v>3.9391926743425412</v>
      </c>
      <c r="L173" s="298">
        <f>IF(B173&gt;'Summary Table'!$H$27,0,K173+L172)</f>
        <v>-927.84202504034965</v>
      </c>
      <c r="M173" s="10"/>
      <c r="N173" s="10"/>
      <c r="O173" s="10"/>
      <c r="P173" s="10"/>
      <c r="Q173" s="213">
        <v>2018</v>
      </c>
      <c r="R173" s="372">
        <v>603.1</v>
      </c>
      <c r="W173" s="27"/>
      <c r="AS173" s="27"/>
      <c r="AT173" s="223">
        <v>31</v>
      </c>
      <c r="AU173" s="224"/>
      <c r="AV173" s="224">
        <f>IF(AT173='Summary Table'!$H$27,-$AV$142+'Summary Table'!$H$28*ABS($AU$142),0)</f>
        <v>0</v>
      </c>
      <c r="AW173" s="224"/>
      <c r="AX173" s="224">
        <f>IF(AT173&gt;'Summary Table'!$H$27,0,-$AU$134+AV173+AW173)</f>
        <v>0</v>
      </c>
      <c r="AY173" s="224">
        <f t="shared" si="42"/>
        <v>4983.9500311428565</v>
      </c>
      <c r="AZ173" s="224">
        <f t="shared" si="43"/>
        <v>0</v>
      </c>
      <c r="BA173" s="224">
        <f t="shared" si="40"/>
        <v>0</v>
      </c>
      <c r="BB173" s="225">
        <f t="shared" si="41"/>
        <v>0</v>
      </c>
      <c r="BC173" s="225">
        <f t="shared" si="38"/>
        <v>0</v>
      </c>
      <c r="BD173" s="226">
        <f>IF(AT173&gt;'Summary Table'!$H$27,0,BC173+BD172)</f>
        <v>0</v>
      </c>
      <c r="BE173" s="10"/>
      <c r="BF173" s="10"/>
      <c r="BG173" s="10"/>
      <c r="BH173" s="10"/>
      <c r="BI173" s="10"/>
      <c r="BO173" s="27"/>
    </row>
    <row r="174" spans="2:70">
      <c r="B174" s="223">
        <v>19</v>
      </c>
      <c r="C174" s="224"/>
      <c r="D174" s="224">
        <f>IF(B174='Summary Table'!$H$27,-$D$155+'Summary Table'!$H$28*ABS($C$155),0)</f>
        <v>0</v>
      </c>
      <c r="E174" s="224"/>
      <c r="F174" s="224">
        <f>IF(B174&gt;'Summary Table'!$H$27,0,-$C$147+D174+E174)</f>
        <v>23.088325480981325</v>
      </c>
      <c r="G174" s="224">
        <f t="shared" si="49"/>
        <v>678.80417992080538</v>
      </c>
      <c r="H174" s="224">
        <f t="shared" si="48"/>
        <v>18.470660384785059</v>
      </c>
      <c r="I174" s="224">
        <f t="shared" si="46"/>
        <v>21.901585551258886</v>
      </c>
      <c r="J174" s="225">
        <f t="shared" si="47"/>
        <v>21.901585551258886</v>
      </c>
      <c r="K174" s="225">
        <f t="shared" si="44"/>
        <v>3.5810842494023092</v>
      </c>
      <c r="L174" s="226">
        <f>IF(B174&gt;'Summary Table'!$H$27,0,K174+L173)</f>
        <v>-924.2609407909473</v>
      </c>
      <c r="M174" s="10"/>
      <c r="N174" s="10"/>
      <c r="O174" s="10"/>
      <c r="P174" s="10"/>
      <c r="Q174" s="213">
        <v>2019</v>
      </c>
      <c r="R174" s="372">
        <v>607.5</v>
      </c>
      <c r="W174" s="27"/>
      <c r="AS174" s="27"/>
      <c r="AT174" s="295">
        <v>32</v>
      </c>
      <c r="AU174" s="296"/>
      <c r="AV174" s="296">
        <f>IF(AT174='Summary Table'!$H$27,-$AV$142+'Summary Table'!$H$28*ABS($AU$142),0)</f>
        <v>0</v>
      </c>
      <c r="AW174" s="296"/>
      <c r="AX174" s="296">
        <f>IF(AT174&gt;'Summary Table'!$H$27,0,-$AU$134+AV174+AW174)</f>
        <v>0</v>
      </c>
      <c r="AY174" s="296">
        <f t="shared" si="42"/>
        <v>4983.9500311428565</v>
      </c>
      <c r="AZ174" s="296">
        <f t="shared" si="43"/>
        <v>0</v>
      </c>
      <c r="BA174" s="296">
        <f t="shared" si="40"/>
        <v>0</v>
      </c>
      <c r="BB174" s="297">
        <f t="shared" si="41"/>
        <v>0</v>
      </c>
      <c r="BC174" s="297">
        <f t="shared" ref="BC174:BC192" si="51">BB174*1/(1+$AU$138)^ABS((--AT174))</f>
        <v>0</v>
      </c>
      <c r="BD174" s="298">
        <f>IF(AT174&gt;'Summary Table'!$H$27,0,BC174+BD173)</f>
        <v>0</v>
      </c>
      <c r="BE174" s="10"/>
      <c r="BF174" s="10"/>
      <c r="BG174" s="10"/>
      <c r="BH174" s="10"/>
      <c r="BI174" s="10"/>
      <c r="BO174" s="27"/>
    </row>
    <row r="175" spans="2:70" ht="17" thickBot="1">
      <c r="B175" s="213">
        <v>20</v>
      </c>
      <c r="C175" s="214"/>
      <c r="D175" s="296">
        <f>IF(B175='Summary Table'!$H$27,-$D$155+'Summary Table'!$H$28*ABS($C$155),0)</f>
        <v>0</v>
      </c>
      <c r="E175" s="296"/>
      <c r="F175" s="296">
        <f>IF(B175&gt;'Summary Table'!$H$27,0,-$C$147+D175+E175)</f>
        <v>23.088325480981325</v>
      </c>
      <c r="G175" s="214">
        <f t="shared" si="49"/>
        <v>660.33351953602028</v>
      </c>
      <c r="H175" s="214">
        <f t="shared" si="48"/>
        <v>18.470660384785059</v>
      </c>
      <c r="I175" s="214">
        <f t="shared" si="46"/>
        <v>21.901585551258886</v>
      </c>
      <c r="J175" s="215">
        <f t="shared" si="47"/>
        <v>21.901585551258886</v>
      </c>
      <c r="K175" s="215">
        <f t="shared" si="44"/>
        <v>3.2555311358202816</v>
      </c>
      <c r="L175" s="298">
        <f>IF(B175&gt;'Summary Table'!$H$27,0,K175+L174)</f>
        <v>-921.00540965512698</v>
      </c>
      <c r="M175" s="10"/>
      <c r="N175" s="10"/>
      <c r="O175" s="10"/>
      <c r="P175" s="10"/>
      <c r="Q175" s="217">
        <v>2020</v>
      </c>
      <c r="R175" s="394">
        <v>607.5</v>
      </c>
      <c r="W175" s="27"/>
      <c r="AS175" s="27"/>
      <c r="AT175" s="223">
        <v>33</v>
      </c>
      <c r="AU175" s="224"/>
      <c r="AV175" s="224">
        <f>IF(AT175='Summary Table'!$H$27,-$AV$142+'Summary Table'!$H$28*ABS($AU$142),0)</f>
        <v>0</v>
      </c>
      <c r="AW175" s="224"/>
      <c r="AX175" s="224">
        <f>IF(AT175&gt;'Summary Table'!$H$27,0,-$AU$134+AV175+AW175)</f>
        <v>0</v>
      </c>
      <c r="AY175" s="224">
        <f t="shared" si="42"/>
        <v>4983.9500311428565</v>
      </c>
      <c r="AZ175" s="224">
        <f t="shared" si="43"/>
        <v>0</v>
      </c>
      <c r="BA175" s="224">
        <f t="shared" si="40"/>
        <v>0</v>
      </c>
      <c r="BB175" s="225">
        <f t="shared" si="41"/>
        <v>0</v>
      </c>
      <c r="BC175" s="225">
        <f t="shared" si="51"/>
        <v>0</v>
      </c>
      <c r="BD175" s="226">
        <f>IF(AT175&gt;'Summary Table'!$H$27,0,BC175+BD174)</f>
        <v>0</v>
      </c>
      <c r="BE175" s="10"/>
      <c r="BF175" s="10"/>
      <c r="BG175" s="10"/>
      <c r="BH175" s="10"/>
      <c r="BI175" s="10"/>
      <c r="BO175" s="27"/>
    </row>
    <row r="176" spans="2:70">
      <c r="B176" s="223">
        <v>21</v>
      </c>
      <c r="C176" s="224"/>
      <c r="D176" s="224">
        <f>IF(B176='Summary Table'!$H$27,-$D$155+'Summary Table'!$H$28*ABS($C$155),0)</f>
        <v>0</v>
      </c>
      <c r="E176" s="224"/>
      <c r="F176" s="224">
        <f>IF(B176&gt;'Summary Table'!$H$27,0,-$C$147+D176+E176)</f>
        <v>23.088325480981325</v>
      </c>
      <c r="G176" s="224">
        <f t="shared" si="49"/>
        <v>641.86285915123517</v>
      </c>
      <c r="H176" s="224">
        <f t="shared" si="48"/>
        <v>18.470660384785059</v>
      </c>
      <c r="I176" s="224">
        <f t="shared" si="46"/>
        <v>21.901585551258886</v>
      </c>
      <c r="J176" s="225">
        <f t="shared" si="47"/>
        <v>21.901585551258886</v>
      </c>
      <c r="K176" s="225">
        <f t="shared" si="44"/>
        <v>2.9595737598366192</v>
      </c>
      <c r="L176" s="226">
        <f>IF(B176&gt;'Summary Table'!$H$27,0,K176+L175)</f>
        <v>-918.04583589529034</v>
      </c>
      <c r="M176" s="10"/>
      <c r="N176" s="10"/>
      <c r="O176" s="10"/>
      <c r="P176" s="10"/>
      <c r="Q176" s="10"/>
      <c r="W176" s="27"/>
      <c r="AS176" s="27"/>
      <c r="AT176" s="295">
        <v>34</v>
      </c>
      <c r="AU176" s="296"/>
      <c r="AV176" s="296">
        <f>IF(AT176='Summary Table'!$H$27,-$AV$142+'Summary Table'!$H$28*ABS($AU$142),0)</f>
        <v>0</v>
      </c>
      <c r="AW176" s="296"/>
      <c r="AX176" s="296">
        <f>IF(AT176&gt;'Summary Table'!$H$27,0,-$AU$134+AV176+AW176)</f>
        <v>0</v>
      </c>
      <c r="AY176" s="296">
        <f t="shared" si="42"/>
        <v>4983.9500311428565</v>
      </c>
      <c r="AZ176" s="296">
        <f t="shared" si="43"/>
        <v>0</v>
      </c>
      <c r="BA176" s="296">
        <f t="shared" si="40"/>
        <v>0</v>
      </c>
      <c r="BB176" s="297">
        <f t="shared" si="41"/>
        <v>0</v>
      </c>
      <c r="BC176" s="297">
        <f t="shared" si="51"/>
        <v>0</v>
      </c>
      <c r="BD176" s="298">
        <f>IF(AT176&gt;'Summary Table'!$H$27,0,BC176+BD175)</f>
        <v>0</v>
      </c>
      <c r="BO176" s="27"/>
    </row>
    <row r="177" spans="2:67">
      <c r="B177" s="213">
        <v>22</v>
      </c>
      <c r="C177" s="214"/>
      <c r="D177" s="296">
        <f>IF(B177='Summary Table'!$H$27,-$D$155+'Summary Table'!$H$28*ABS($C$155),0)</f>
        <v>0</v>
      </c>
      <c r="E177" s="296"/>
      <c r="F177" s="296">
        <f>IF(B177&gt;'Summary Table'!$H$27,0,-$C$147+D177+E177)</f>
        <v>23.088325480981325</v>
      </c>
      <c r="G177" s="214">
        <f t="shared" si="49"/>
        <v>623.39219876645006</v>
      </c>
      <c r="H177" s="214">
        <f t="shared" si="48"/>
        <v>18.470660384785059</v>
      </c>
      <c r="I177" s="214">
        <f t="shared" si="46"/>
        <v>21.901585551258886</v>
      </c>
      <c r="J177" s="215">
        <f t="shared" si="47"/>
        <v>21.901585551258886</v>
      </c>
      <c r="K177" s="215">
        <f t="shared" si="44"/>
        <v>2.6905215998514715</v>
      </c>
      <c r="L177" s="298">
        <f>IF(B177&gt;'Summary Table'!$H$27,0,K177+L176)</f>
        <v>-915.35531429543892</v>
      </c>
      <c r="M177" s="10"/>
      <c r="N177" s="10"/>
      <c r="O177" s="10"/>
      <c r="P177" s="10"/>
      <c r="Q177" s="10"/>
      <c r="W177" s="27"/>
      <c r="AS177" s="27"/>
      <c r="AT177" s="223">
        <v>35</v>
      </c>
      <c r="AU177" s="224"/>
      <c r="AV177" s="224">
        <f>IF(AT177='Summary Table'!$H$27,-$AV$142+'Summary Table'!$H$28*ABS($AU$142),0)</f>
        <v>0</v>
      </c>
      <c r="AW177" s="224"/>
      <c r="AX177" s="224">
        <f>IF(AT177&gt;'Summary Table'!$H$27,0,-$AU$134+AV177+AW177)</f>
        <v>0</v>
      </c>
      <c r="AY177" s="224">
        <f t="shared" si="42"/>
        <v>4983.9500311428565</v>
      </c>
      <c r="AZ177" s="224">
        <f t="shared" si="43"/>
        <v>0</v>
      </c>
      <c r="BA177" s="224">
        <f t="shared" si="40"/>
        <v>0</v>
      </c>
      <c r="BB177" s="225">
        <f t="shared" si="41"/>
        <v>0</v>
      </c>
      <c r="BC177" s="225">
        <f t="shared" si="51"/>
        <v>0</v>
      </c>
      <c r="BD177" s="226">
        <f>IF(AT177&gt;'Summary Table'!$H$27,0,BC177+BD176)</f>
        <v>0</v>
      </c>
      <c r="BO177" s="27"/>
    </row>
    <row r="178" spans="2:67">
      <c r="B178" s="223">
        <v>23</v>
      </c>
      <c r="C178" s="224"/>
      <c r="D178" s="224">
        <f>IF(B178='Summary Table'!$H$27,-$D$155+'Summary Table'!$H$28*ABS($C$155),0)</f>
        <v>0</v>
      </c>
      <c r="E178" s="224"/>
      <c r="F178" s="224">
        <f>IF(B178&gt;'Summary Table'!$H$27,0,-$C$147+D178+E178)</f>
        <v>23.088325480981325</v>
      </c>
      <c r="G178" s="224">
        <f t="shared" si="49"/>
        <v>604.92153838166496</v>
      </c>
      <c r="H178" s="224">
        <f t="shared" si="48"/>
        <v>18.470660384785059</v>
      </c>
      <c r="I178" s="224">
        <f t="shared" si="46"/>
        <v>21.901585551258886</v>
      </c>
      <c r="J178" s="225">
        <f t="shared" si="47"/>
        <v>21.901585551258886</v>
      </c>
      <c r="K178" s="225">
        <f t="shared" si="44"/>
        <v>2.445928727137701</v>
      </c>
      <c r="L178" s="226">
        <f>IF(B178&gt;'Summary Table'!$H$27,0,K178+L177)</f>
        <v>-912.90938556830122</v>
      </c>
      <c r="M178" s="10"/>
      <c r="N178" s="10"/>
      <c r="O178" s="10"/>
      <c r="P178" s="10"/>
      <c r="Q178" s="10"/>
      <c r="W178" s="27"/>
      <c r="AS178" s="27"/>
      <c r="AT178" s="295">
        <v>36</v>
      </c>
      <c r="AU178" s="296"/>
      <c r="AV178" s="296">
        <f>IF(AT178='Summary Table'!$H$27,-$AV$142+'Summary Table'!$H$28*ABS($AU$142),0)</f>
        <v>0</v>
      </c>
      <c r="AW178" s="296"/>
      <c r="AX178" s="296">
        <f>IF(AT178&gt;'Summary Table'!$H$27,0,-$AU$134+AV178+AW178)</f>
        <v>0</v>
      </c>
      <c r="AY178" s="296">
        <f t="shared" si="42"/>
        <v>4983.9500311428565</v>
      </c>
      <c r="AZ178" s="296">
        <f t="shared" si="43"/>
        <v>0</v>
      </c>
      <c r="BA178" s="296">
        <f t="shared" si="40"/>
        <v>0</v>
      </c>
      <c r="BB178" s="297">
        <f t="shared" si="41"/>
        <v>0</v>
      </c>
      <c r="BC178" s="297">
        <f t="shared" si="51"/>
        <v>0</v>
      </c>
      <c r="BD178" s="298">
        <f>IF(AT178&gt;'Summary Table'!$H$27,0,BC178+BD177)</f>
        <v>0</v>
      </c>
      <c r="BO178" s="27"/>
    </row>
    <row r="179" spans="2:67">
      <c r="B179" s="213">
        <v>24</v>
      </c>
      <c r="C179" s="214"/>
      <c r="D179" s="296">
        <f>IF(B179='Summary Table'!$H$27,-$D$155+'Summary Table'!$H$28*ABS($C$155),0)</f>
        <v>0</v>
      </c>
      <c r="E179" s="214"/>
      <c r="F179" s="296">
        <f>IF(B179&gt;'Summary Table'!$H$27,0,-$C$147+D179+E179)</f>
        <v>23.088325480981325</v>
      </c>
      <c r="G179" s="214">
        <f t="shared" si="49"/>
        <v>586.45087799687985</v>
      </c>
      <c r="H179" s="214">
        <f t="shared" si="48"/>
        <v>18.470660384785059</v>
      </c>
      <c r="I179" s="214">
        <f t="shared" si="46"/>
        <v>21.901585551258886</v>
      </c>
      <c r="J179" s="215">
        <f t="shared" si="47"/>
        <v>21.901585551258886</v>
      </c>
      <c r="K179" s="215">
        <f t="shared" si="44"/>
        <v>2.2235715701251832</v>
      </c>
      <c r="L179" s="298">
        <f>IF(B179&gt;'Summary Table'!$H$27,0,K179+L178)</f>
        <v>-910.68581399817606</v>
      </c>
      <c r="M179" s="10"/>
      <c r="N179" s="10"/>
      <c r="O179" s="10"/>
      <c r="P179" s="10"/>
      <c r="Q179" s="10"/>
      <c r="W179" s="27"/>
      <c r="AS179" s="27"/>
      <c r="AT179" s="223">
        <v>37</v>
      </c>
      <c r="AU179" s="224"/>
      <c r="AV179" s="224">
        <f>IF(AT179='Summary Table'!$H$27,-$AV$142+'Summary Table'!$H$28*ABS($AU$142),0)</f>
        <v>0</v>
      </c>
      <c r="AW179" s="224"/>
      <c r="AX179" s="224">
        <f>IF(AT179&gt;'Summary Table'!$H$27,0,-$AU$134+AV179+AW179)</f>
        <v>0</v>
      </c>
      <c r="AY179" s="224">
        <f t="shared" si="42"/>
        <v>4983.9500311428565</v>
      </c>
      <c r="AZ179" s="224">
        <f t="shared" si="43"/>
        <v>0</v>
      </c>
      <c r="BA179" s="224">
        <f t="shared" si="40"/>
        <v>0</v>
      </c>
      <c r="BB179" s="225">
        <f t="shared" si="41"/>
        <v>0</v>
      </c>
      <c r="BC179" s="225">
        <f t="shared" si="51"/>
        <v>0</v>
      </c>
      <c r="BD179" s="226">
        <f>IF(AT179&gt;'Summary Table'!$H$27,0,BC179+BD178)</f>
        <v>0</v>
      </c>
      <c r="BO179" s="27"/>
    </row>
    <row r="180" spans="2:67">
      <c r="B180" s="223">
        <v>25</v>
      </c>
      <c r="C180" s="224"/>
      <c r="D180" s="224">
        <f>IF(B180='Summary Table'!$H$27,-$D$155+'Summary Table'!$H$28*ABS($C$155),0)</f>
        <v>0</v>
      </c>
      <c r="E180" s="224"/>
      <c r="F180" s="224">
        <f>IF(B180&gt;'Summary Table'!$H$27,0,-$C$147+D180+E180)</f>
        <v>23.088325480981325</v>
      </c>
      <c r="G180" s="224">
        <f t="shared" si="49"/>
        <v>567.98021761209475</v>
      </c>
      <c r="H180" s="224">
        <f t="shared" si="48"/>
        <v>18.470660384785059</v>
      </c>
      <c r="I180" s="224">
        <f t="shared" si="46"/>
        <v>21.901585551258886</v>
      </c>
      <c r="J180" s="225">
        <f t="shared" si="47"/>
        <v>21.901585551258886</v>
      </c>
      <c r="K180" s="225">
        <f t="shared" si="44"/>
        <v>2.0214287001138027</v>
      </c>
      <c r="L180" s="226">
        <f>IF(B180&gt;'Summary Table'!$H$27,0,K180+L179)</f>
        <v>-908.66438529806226</v>
      </c>
      <c r="M180" s="10"/>
      <c r="N180" s="10"/>
      <c r="O180" s="10"/>
      <c r="P180" s="10"/>
      <c r="Q180" s="10"/>
      <c r="W180" s="27"/>
      <c r="AS180" s="27"/>
      <c r="AT180" s="295">
        <v>38</v>
      </c>
      <c r="AU180" s="296"/>
      <c r="AV180" s="296">
        <f>IF(AT180='Summary Table'!$H$27,-$AV$142+'Summary Table'!$H$28*ABS($AU$142),0)</f>
        <v>0</v>
      </c>
      <c r="AW180" s="296"/>
      <c r="AX180" s="296">
        <f>IF(AT180&gt;'Summary Table'!$H$27,0,-$AU$134+AV180+AW180)</f>
        <v>0</v>
      </c>
      <c r="AY180" s="296">
        <f t="shared" si="42"/>
        <v>4983.9500311428565</v>
      </c>
      <c r="AZ180" s="296">
        <f t="shared" si="43"/>
        <v>0</v>
      </c>
      <c r="BA180" s="296">
        <f t="shared" si="40"/>
        <v>0</v>
      </c>
      <c r="BB180" s="297">
        <f t="shared" si="41"/>
        <v>0</v>
      </c>
      <c r="BC180" s="297">
        <f t="shared" si="51"/>
        <v>0</v>
      </c>
      <c r="BD180" s="298">
        <f>IF(AT180&gt;'Summary Table'!$H$27,0,BC180+BD179)</f>
        <v>0</v>
      </c>
      <c r="BO180" s="27"/>
    </row>
    <row r="181" spans="2:67">
      <c r="B181" s="213">
        <v>26</v>
      </c>
      <c r="C181" s="214"/>
      <c r="D181" s="296">
        <f>IF(B181='Summary Table'!$H$27,-$D$155+'Summary Table'!$H$28*ABS($C$155),0)</f>
        <v>0</v>
      </c>
      <c r="E181" s="214"/>
      <c r="F181" s="296">
        <f>IF(B181&gt;'Summary Table'!$H$27,0,-$C$147+D181+E181)</f>
        <v>23.088325480981325</v>
      </c>
      <c r="G181" s="214">
        <f t="shared" si="49"/>
        <v>549.50955722730964</v>
      </c>
      <c r="H181" s="214">
        <f t="shared" si="48"/>
        <v>18.470660384785059</v>
      </c>
      <c r="I181" s="214">
        <f t="shared" si="46"/>
        <v>21.901585551258886</v>
      </c>
      <c r="J181" s="215">
        <f t="shared" si="47"/>
        <v>21.901585551258886</v>
      </c>
      <c r="K181" s="215">
        <f t="shared" si="44"/>
        <v>1.8376624546489113</v>
      </c>
      <c r="L181" s="298">
        <f>IF(B181&gt;'Summary Table'!$H$27,0,K181+L180)</f>
        <v>-906.82672284341334</v>
      </c>
      <c r="M181" s="10"/>
      <c r="N181" s="10"/>
      <c r="O181" s="10"/>
      <c r="P181" s="10"/>
      <c r="Q181" s="10"/>
      <c r="W181" s="27"/>
      <c r="AS181" s="27"/>
      <c r="AT181" s="223">
        <v>39</v>
      </c>
      <c r="AU181" s="224"/>
      <c r="AV181" s="224">
        <f>IF(AT181='Summary Table'!$H$27,-$AV$142+'Summary Table'!$H$28*ABS($AU$142),0)</f>
        <v>0</v>
      </c>
      <c r="AW181" s="224"/>
      <c r="AX181" s="224">
        <f>IF(AT181&gt;'Summary Table'!$H$27,0,-$AU$134+AV181+AW181)</f>
        <v>0</v>
      </c>
      <c r="AY181" s="224">
        <f t="shared" si="42"/>
        <v>4983.9500311428565</v>
      </c>
      <c r="AZ181" s="224">
        <f t="shared" si="43"/>
        <v>0</v>
      </c>
      <c r="BA181" s="224">
        <f t="shared" si="40"/>
        <v>0</v>
      </c>
      <c r="BB181" s="225">
        <f t="shared" si="41"/>
        <v>0</v>
      </c>
      <c r="BC181" s="225">
        <f t="shared" si="51"/>
        <v>0</v>
      </c>
      <c r="BD181" s="226">
        <f>IF(AT181&gt;'Summary Table'!$H$27,0,BC181+BD180)</f>
        <v>0</v>
      </c>
      <c r="BO181" s="27"/>
    </row>
    <row r="182" spans="2:67">
      <c r="B182" s="223">
        <v>27</v>
      </c>
      <c r="C182" s="224"/>
      <c r="D182" s="224">
        <f>IF(B182='Summary Table'!$H$27,-$D$155+'Summary Table'!$H$28*ABS($C$155),0)</f>
        <v>0</v>
      </c>
      <c r="E182" s="224"/>
      <c r="F182" s="224">
        <f>IF(B182&gt;'Summary Table'!$H$27,0,-$C$147+D182+E182)</f>
        <v>23.088325480981325</v>
      </c>
      <c r="G182" s="224">
        <f t="shared" si="49"/>
        <v>531.03889684252454</v>
      </c>
      <c r="H182" s="224">
        <f t="shared" si="48"/>
        <v>18.470660384785059</v>
      </c>
      <c r="I182" s="224">
        <f t="shared" si="46"/>
        <v>21.901585551258886</v>
      </c>
      <c r="J182" s="225">
        <f t="shared" si="47"/>
        <v>21.901585551258886</v>
      </c>
      <c r="K182" s="225">
        <f t="shared" si="44"/>
        <v>1.6706022314990101</v>
      </c>
      <c r="L182" s="226">
        <f>IF(B182&gt;'Summary Table'!$H$27,0,K182+L181)</f>
        <v>-905.15612061191428</v>
      </c>
      <c r="M182" s="10"/>
      <c r="N182" s="10"/>
      <c r="O182" s="10"/>
      <c r="P182" s="10"/>
      <c r="Q182" s="10"/>
      <c r="W182" s="27"/>
      <c r="AS182" s="27"/>
      <c r="AT182" s="295">
        <v>40</v>
      </c>
      <c r="AU182" s="296"/>
      <c r="AV182" s="296">
        <f>IF(AT182='Summary Table'!$H$27,-$AV$142+'Summary Table'!$H$28*ABS($AU$142),0)</f>
        <v>0</v>
      </c>
      <c r="AW182" s="296"/>
      <c r="AX182" s="296">
        <f>IF(AT182&gt;'Summary Table'!$H$27,0,-$AU$134+AV182+AW182)</f>
        <v>0</v>
      </c>
      <c r="AY182" s="296">
        <f t="shared" si="42"/>
        <v>4983.9500311428565</v>
      </c>
      <c r="AZ182" s="296">
        <f t="shared" si="43"/>
        <v>0</v>
      </c>
      <c r="BA182" s="296">
        <f t="shared" si="40"/>
        <v>0</v>
      </c>
      <c r="BB182" s="297">
        <f t="shared" si="41"/>
        <v>0</v>
      </c>
      <c r="BC182" s="297">
        <f t="shared" si="51"/>
        <v>0</v>
      </c>
      <c r="BD182" s="298">
        <f>IF(AT182&gt;'Summary Table'!$H$27,0,BC182+BD181)</f>
        <v>0</v>
      </c>
      <c r="BO182" s="27"/>
    </row>
    <row r="183" spans="2:67">
      <c r="B183" s="213">
        <v>28</v>
      </c>
      <c r="C183" s="214"/>
      <c r="D183" s="296">
        <f>IF(B183='Summary Table'!$H$27,-$D$155+'Summary Table'!$H$28*ABS($C$155),0)</f>
        <v>0</v>
      </c>
      <c r="E183" s="214"/>
      <c r="F183" s="296">
        <f>IF(B183&gt;'Summary Table'!$H$27,0,-$C$147+D183+E183)</f>
        <v>23.088325480981325</v>
      </c>
      <c r="G183" s="214">
        <f t="shared" si="49"/>
        <v>512.56823645773943</v>
      </c>
      <c r="H183" s="214">
        <f t="shared" si="48"/>
        <v>18.470660384785059</v>
      </c>
      <c r="I183" s="214">
        <f t="shared" si="46"/>
        <v>21.901585551258886</v>
      </c>
      <c r="J183" s="215">
        <f t="shared" si="47"/>
        <v>21.901585551258886</v>
      </c>
      <c r="K183" s="215">
        <f t="shared" si="44"/>
        <v>1.5187293013627365</v>
      </c>
      <c r="L183" s="298">
        <f>IF(B183&gt;'Summary Table'!$H$27,0,K183+L182)</f>
        <v>-903.63739131055149</v>
      </c>
      <c r="M183" s="10"/>
      <c r="N183" s="10"/>
      <c r="O183" s="10"/>
      <c r="P183" s="10"/>
      <c r="Q183" s="10"/>
      <c r="W183" s="27"/>
      <c r="AS183" s="27"/>
      <c r="AT183" s="223">
        <v>41</v>
      </c>
      <c r="AU183" s="224"/>
      <c r="AV183" s="224">
        <f>IF(AT183='Summary Table'!$H$27,-$AV$142+'Summary Table'!$H$28*ABS($AU$142),0)</f>
        <v>0</v>
      </c>
      <c r="AW183" s="224"/>
      <c r="AX183" s="224">
        <f>IF(AT183&gt;'Summary Table'!$H$27,0,-$AU$134+AV183+AW183)</f>
        <v>0</v>
      </c>
      <c r="AY183" s="224">
        <f t="shared" si="42"/>
        <v>4983.9500311428565</v>
      </c>
      <c r="AZ183" s="224">
        <f t="shared" si="43"/>
        <v>0</v>
      </c>
      <c r="BA183" s="224">
        <f t="shared" si="40"/>
        <v>0</v>
      </c>
      <c r="BB183" s="225">
        <f t="shared" si="41"/>
        <v>0</v>
      </c>
      <c r="BC183" s="225">
        <f t="shared" si="51"/>
        <v>0</v>
      </c>
      <c r="BD183" s="226">
        <f>IF(AT183&gt;'Summary Table'!$H$27,0,BC183+BD182)</f>
        <v>0</v>
      </c>
      <c r="BO183" s="27"/>
    </row>
    <row r="184" spans="2:67">
      <c r="B184" s="223">
        <v>29</v>
      </c>
      <c r="C184" s="224"/>
      <c r="D184" s="224">
        <f>IF(B184='Summary Table'!$H$27,-$D$155+'Summary Table'!$H$28*ABS($C$155),0)</f>
        <v>0</v>
      </c>
      <c r="E184" s="224"/>
      <c r="F184" s="224">
        <f>IF(B184&gt;'Summary Table'!$H$27,0,-$C$147+D184+E184)</f>
        <v>23.088325480981325</v>
      </c>
      <c r="G184" s="224">
        <f t="shared" si="49"/>
        <v>494.09757607295438</v>
      </c>
      <c r="H184" s="224">
        <f t="shared" si="48"/>
        <v>18.470660384785059</v>
      </c>
      <c r="I184" s="224">
        <f t="shared" si="46"/>
        <v>21.901585551258886</v>
      </c>
      <c r="J184" s="225">
        <f t="shared" si="47"/>
        <v>21.901585551258886</v>
      </c>
      <c r="K184" s="225">
        <f t="shared" si="44"/>
        <v>1.3806630012388512</v>
      </c>
      <c r="L184" s="226">
        <f>IF(B184&gt;'Summary Table'!$H$27,0,K184+L183)</f>
        <v>-902.25672830931262</v>
      </c>
      <c r="M184" s="10"/>
      <c r="N184" s="10"/>
      <c r="O184" s="10"/>
      <c r="P184" s="10"/>
      <c r="Q184" s="10"/>
      <c r="W184" s="27"/>
      <c r="AS184" s="27"/>
      <c r="AT184" s="295">
        <v>42</v>
      </c>
      <c r="AU184" s="296"/>
      <c r="AV184" s="296">
        <f>IF(AT184='Summary Table'!$H$27,-$AV$142+'Summary Table'!$H$28*ABS($AU$142),0)</f>
        <v>0</v>
      </c>
      <c r="AW184" s="296"/>
      <c r="AX184" s="296">
        <f>IF(AT184&gt;'Summary Table'!$H$27,0,-$AU$134+AV184+AW184)</f>
        <v>0</v>
      </c>
      <c r="AY184" s="296">
        <f t="shared" si="42"/>
        <v>4983.9500311428565</v>
      </c>
      <c r="AZ184" s="296">
        <f t="shared" si="43"/>
        <v>0</v>
      </c>
      <c r="BA184" s="296">
        <f t="shared" si="40"/>
        <v>0</v>
      </c>
      <c r="BB184" s="297">
        <f t="shared" si="41"/>
        <v>0</v>
      </c>
      <c r="BC184" s="297">
        <f t="shared" si="51"/>
        <v>0</v>
      </c>
      <c r="BD184" s="298">
        <f>IF(AT184&gt;'Summary Table'!$H$27,0,BC184+BD183)</f>
        <v>0</v>
      </c>
      <c r="BO184" s="27"/>
    </row>
    <row r="185" spans="2:67">
      <c r="B185" s="295">
        <v>30</v>
      </c>
      <c r="C185" s="296"/>
      <c r="D185" s="296">
        <f>IF(B185='Summary Table'!$H$27,-$D$155+'Summary Table'!$H$28*ABS($C$155),0)</f>
        <v>265.5175957262739</v>
      </c>
      <c r="E185" s="296"/>
      <c r="F185" s="296">
        <f>IF(B185&gt;'Summary Table'!$H$27,0,-$C$147+D185+E185)</f>
        <v>288.60592120725522</v>
      </c>
      <c r="G185" s="296">
        <f t="shared" si="49"/>
        <v>475.62691568816933</v>
      </c>
      <c r="H185" s="296">
        <f t="shared" si="48"/>
        <v>230.88473696580419</v>
      </c>
      <c r="I185" s="296">
        <f t="shared" si="46"/>
        <v>273.77157685720232</v>
      </c>
      <c r="J185" s="297">
        <f t="shared" si="47"/>
        <v>273.77157685720232</v>
      </c>
      <c r="K185" s="297">
        <f t="shared" si="44"/>
        <v>15.689453004665781</v>
      </c>
      <c r="L185" s="298">
        <f>IF(B185&gt;'Summary Table'!$H$27,0,K185+L184)</f>
        <v>-886.56727530464684</v>
      </c>
      <c r="M185" s="10"/>
      <c r="N185" s="10"/>
      <c r="O185" s="10"/>
      <c r="P185" s="10"/>
      <c r="Q185" s="10"/>
      <c r="W185" s="27"/>
      <c r="AS185" s="27"/>
      <c r="AT185" s="223">
        <v>43</v>
      </c>
      <c r="AU185" s="224"/>
      <c r="AV185" s="224">
        <f>IF(AT185='Summary Table'!$H$27,-$AV$142+'Summary Table'!$H$28*ABS($AU$142),0)</f>
        <v>0</v>
      </c>
      <c r="AW185" s="224"/>
      <c r="AX185" s="224">
        <f>IF(AT185&gt;'Summary Table'!$H$27,0,-$AU$134+AV185+AW185)</f>
        <v>0</v>
      </c>
      <c r="AY185" s="224">
        <f t="shared" si="42"/>
        <v>4983.9500311428565</v>
      </c>
      <c r="AZ185" s="224">
        <f t="shared" si="43"/>
        <v>0</v>
      </c>
      <c r="BA185" s="224">
        <f t="shared" si="40"/>
        <v>0</v>
      </c>
      <c r="BB185" s="225">
        <f t="shared" si="41"/>
        <v>0</v>
      </c>
      <c r="BC185" s="225">
        <f t="shared" si="51"/>
        <v>0</v>
      </c>
      <c r="BD185" s="226">
        <f>IF(AT185&gt;'Summary Table'!$H$27,0,BC185+BD184)</f>
        <v>0</v>
      </c>
      <c r="BO185" s="27"/>
    </row>
    <row r="186" spans="2:67">
      <c r="B186" s="223">
        <v>31</v>
      </c>
      <c r="C186" s="224"/>
      <c r="D186" s="224">
        <f>IF(B186='Summary Table'!$H$27,-$D$155+'Summary Table'!$H$28*ABS($C$155),0)</f>
        <v>0</v>
      </c>
      <c r="E186" s="224"/>
      <c r="F186" s="224">
        <f>IF(B186&gt;'Summary Table'!$H$27,0,-$C$147+D186+E186)</f>
        <v>0</v>
      </c>
      <c r="G186" s="224">
        <f t="shared" si="49"/>
        <v>244.74217872236514</v>
      </c>
      <c r="H186" s="224">
        <f t="shared" si="48"/>
        <v>0</v>
      </c>
      <c r="I186" s="224">
        <f t="shared" si="46"/>
        <v>0</v>
      </c>
      <c r="J186" s="225">
        <f t="shared" si="47"/>
        <v>0</v>
      </c>
      <c r="K186" s="225">
        <f t="shared" si="44"/>
        <v>0</v>
      </c>
      <c r="L186" s="226">
        <f>IF(B186&gt;'Summary Table'!$H$27,0,K186+L185)</f>
        <v>0</v>
      </c>
      <c r="M186" s="10"/>
      <c r="N186" s="10"/>
      <c r="O186" s="10"/>
      <c r="P186" s="10"/>
      <c r="Q186" s="10"/>
      <c r="W186" s="27"/>
      <c r="AS186" s="27"/>
      <c r="AT186" s="295">
        <v>44</v>
      </c>
      <c r="AU186" s="296"/>
      <c r="AV186" s="296">
        <f>IF(AT186='Summary Table'!$H$27,-$AV$142+'Summary Table'!$H$28*ABS($AU$142),0)</f>
        <v>0</v>
      </c>
      <c r="AW186" s="296"/>
      <c r="AX186" s="296">
        <f>IF(AT186&gt;'Summary Table'!$H$27,0,-$AU$134+AV186+AW186)</f>
        <v>0</v>
      </c>
      <c r="AY186" s="296">
        <f t="shared" si="42"/>
        <v>4983.9500311428565</v>
      </c>
      <c r="AZ186" s="296">
        <f t="shared" si="43"/>
        <v>0</v>
      </c>
      <c r="BA186" s="296">
        <f t="shared" si="40"/>
        <v>0</v>
      </c>
      <c r="BB186" s="297">
        <f t="shared" si="41"/>
        <v>0</v>
      </c>
      <c r="BC186" s="297">
        <f t="shared" si="51"/>
        <v>0</v>
      </c>
      <c r="BD186" s="298">
        <f>IF(AT186&gt;'Summary Table'!$H$27,0,BC186+BD185)</f>
        <v>0</v>
      </c>
      <c r="BO186" s="27"/>
    </row>
    <row r="187" spans="2:67">
      <c r="B187" s="295">
        <v>32</v>
      </c>
      <c r="C187" s="296"/>
      <c r="D187" s="296">
        <f>IF(B187='Summary Table'!$H$27,-$D$155+'Summary Table'!$H$28*ABS($C$155),0)</f>
        <v>0</v>
      </c>
      <c r="E187" s="296"/>
      <c r="F187" s="296">
        <f>IF(B187&gt;'Summary Table'!$H$27,0,-$C$147+D187+E187)</f>
        <v>0</v>
      </c>
      <c r="G187" s="296">
        <f t="shared" si="49"/>
        <v>244.74217872236514</v>
      </c>
      <c r="H187" s="296">
        <f t="shared" si="48"/>
        <v>0</v>
      </c>
      <c r="I187" s="296">
        <f t="shared" si="46"/>
        <v>0</v>
      </c>
      <c r="J187" s="297">
        <f t="shared" si="47"/>
        <v>0</v>
      </c>
      <c r="K187" s="297">
        <f t="shared" ref="K187:K205" si="52">J187*1/(1+$C$151)^ABS((--B187))</f>
        <v>0</v>
      </c>
      <c r="L187" s="298">
        <f>IF(B187&gt;'Summary Table'!$H$27,0,K187+L186)</f>
        <v>0</v>
      </c>
      <c r="M187" s="10"/>
      <c r="N187" s="10"/>
      <c r="O187" s="10"/>
      <c r="P187" s="10"/>
      <c r="Q187" s="10"/>
      <c r="W187" s="27"/>
      <c r="AS187" s="27"/>
      <c r="AT187" s="223">
        <v>45</v>
      </c>
      <c r="AU187" s="224"/>
      <c r="AV187" s="224">
        <f>IF(AT187='Summary Table'!$H$27,-$AV$142+'Summary Table'!$H$28*ABS($AU$142),0)</f>
        <v>0</v>
      </c>
      <c r="AW187" s="224"/>
      <c r="AX187" s="224">
        <f>IF(AT187&gt;'Summary Table'!$H$27,0,-$AU$134+AV187+AW187)</f>
        <v>0</v>
      </c>
      <c r="AY187" s="224">
        <f t="shared" si="42"/>
        <v>4983.9500311428565</v>
      </c>
      <c r="AZ187" s="224">
        <f t="shared" si="43"/>
        <v>0</v>
      </c>
      <c r="BA187" s="224">
        <f t="shared" si="40"/>
        <v>0</v>
      </c>
      <c r="BB187" s="225">
        <f t="shared" si="41"/>
        <v>0</v>
      </c>
      <c r="BC187" s="225">
        <f t="shared" si="51"/>
        <v>0</v>
      </c>
      <c r="BD187" s="226">
        <f>IF(AT187&gt;'Summary Table'!$H$27,0,BC187+BD186)</f>
        <v>0</v>
      </c>
      <c r="BO187" s="27"/>
    </row>
    <row r="188" spans="2:67">
      <c r="B188" s="223">
        <v>33</v>
      </c>
      <c r="C188" s="224"/>
      <c r="D188" s="224">
        <f>IF(B188='Summary Table'!$H$27,-$D$155+'Summary Table'!$H$28*ABS($C$155),0)</f>
        <v>0</v>
      </c>
      <c r="E188" s="224"/>
      <c r="F188" s="224">
        <f>IF(B188&gt;'Summary Table'!$H$27,0,-$C$147+D188+E188)</f>
        <v>0</v>
      </c>
      <c r="G188" s="224">
        <f t="shared" si="49"/>
        <v>244.74217872236514</v>
      </c>
      <c r="H188" s="224">
        <f t="shared" si="48"/>
        <v>0</v>
      </c>
      <c r="I188" s="224">
        <f t="shared" si="46"/>
        <v>0</v>
      </c>
      <c r="J188" s="225">
        <f t="shared" ref="J188:J205" si="53">I188-E188</f>
        <v>0</v>
      </c>
      <c r="K188" s="225">
        <f t="shared" si="52"/>
        <v>0</v>
      </c>
      <c r="L188" s="226">
        <f>IF(B188&gt;'Summary Table'!$H$27,0,K188+L187)</f>
        <v>0</v>
      </c>
      <c r="M188" s="10"/>
      <c r="N188" s="10"/>
      <c r="O188" s="10"/>
      <c r="P188" s="10"/>
      <c r="Q188" s="10"/>
      <c r="W188" s="27"/>
      <c r="AS188" s="27"/>
      <c r="AT188" s="295">
        <v>46</v>
      </c>
      <c r="AU188" s="296"/>
      <c r="AV188" s="296">
        <f>IF(AT188='Summary Table'!$H$27,-$AV$142+'Summary Table'!$H$28*ABS($AU$142),0)</f>
        <v>0</v>
      </c>
      <c r="AW188" s="296"/>
      <c r="AX188" s="296">
        <f>IF(AT188&gt;'Summary Table'!$H$27,0,-$AU$134+AV188+AW188)</f>
        <v>0</v>
      </c>
      <c r="AY188" s="296">
        <f t="shared" si="42"/>
        <v>4983.9500311428565</v>
      </c>
      <c r="AZ188" s="296">
        <f t="shared" si="43"/>
        <v>0</v>
      </c>
      <c r="BA188" s="296">
        <f t="shared" si="40"/>
        <v>0</v>
      </c>
      <c r="BB188" s="297">
        <f t="shared" si="41"/>
        <v>0</v>
      </c>
      <c r="BC188" s="297">
        <f t="shared" si="51"/>
        <v>0</v>
      </c>
      <c r="BD188" s="298">
        <f>IF(AT188&gt;'Summary Table'!$H$27,0,BC188+BD187)</f>
        <v>0</v>
      </c>
      <c r="BO188" s="27"/>
    </row>
    <row r="189" spans="2:67">
      <c r="B189" s="295">
        <v>34</v>
      </c>
      <c r="C189" s="296"/>
      <c r="D189" s="296">
        <f>IF(B189='Summary Table'!$H$27,-$D$155+'Summary Table'!$H$28*ABS($C$155),0)</f>
        <v>0</v>
      </c>
      <c r="E189" s="296"/>
      <c r="F189" s="296">
        <f>IF(B189&gt;'Summary Table'!$H$27,0,-$C$147+D189+E189)</f>
        <v>0</v>
      </c>
      <c r="G189" s="296">
        <f t="shared" si="49"/>
        <v>244.74217872236514</v>
      </c>
      <c r="H189" s="296">
        <f t="shared" si="48"/>
        <v>0</v>
      </c>
      <c r="I189" s="296">
        <f t="shared" si="46"/>
        <v>0</v>
      </c>
      <c r="J189" s="297">
        <f t="shared" si="53"/>
        <v>0</v>
      </c>
      <c r="K189" s="297">
        <f t="shared" si="52"/>
        <v>0</v>
      </c>
      <c r="L189" s="298">
        <f>IF(B189&gt;'Summary Table'!$H$27,0,K189+L188)</f>
        <v>0</v>
      </c>
      <c r="V189" s="28"/>
      <c r="W189" s="5"/>
      <c r="AS189" s="27"/>
      <c r="AT189" s="223">
        <v>47</v>
      </c>
      <c r="AU189" s="224"/>
      <c r="AV189" s="224">
        <f>IF(AT189='Summary Table'!$H$27,-$AV$142+'Summary Table'!$H$28*ABS($AU$142),0)</f>
        <v>0</v>
      </c>
      <c r="AW189" s="224"/>
      <c r="AX189" s="224">
        <f>IF(AT189&gt;'Summary Table'!$H$27,0,-$AU$134+AV189+AW189)</f>
        <v>0</v>
      </c>
      <c r="AY189" s="224">
        <f t="shared" si="42"/>
        <v>4983.9500311428565</v>
      </c>
      <c r="AZ189" s="224">
        <f t="shared" si="43"/>
        <v>0</v>
      </c>
      <c r="BA189" s="224">
        <f t="shared" si="40"/>
        <v>0</v>
      </c>
      <c r="BB189" s="225">
        <f t="shared" si="41"/>
        <v>0</v>
      </c>
      <c r="BC189" s="225">
        <f t="shared" si="51"/>
        <v>0</v>
      </c>
      <c r="BD189" s="226">
        <f>IF(AT189&gt;'Summary Table'!$H$27,0,BC189+BD188)</f>
        <v>0</v>
      </c>
      <c r="BO189" s="27"/>
    </row>
    <row r="190" spans="2:67">
      <c r="B190" s="223">
        <v>35</v>
      </c>
      <c r="C190" s="224"/>
      <c r="D190" s="224">
        <f>IF(B190='Summary Table'!$H$27,-$D$155+'Summary Table'!$H$28*ABS($C$155),0)</f>
        <v>0</v>
      </c>
      <c r="E190" s="224"/>
      <c r="F190" s="224">
        <f>IF(B190&gt;'Summary Table'!$H$27,0,-$C$147+D190+E190)</f>
        <v>0</v>
      </c>
      <c r="G190" s="224">
        <f t="shared" si="49"/>
        <v>244.74217872236514</v>
      </c>
      <c r="H190" s="224">
        <f t="shared" si="48"/>
        <v>0</v>
      </c>
      <c r="I190" s="224">
        <f t="shared" si="46"/>
        <v>0</v>
      </c>
      <c r="J190" s="225">
        <f t="shared" si="53"/>
        <v>0</v>
      </c>
      <c r="K190" s="225">
        <f t="shared" si="52"/>
        <v>0</v>
      </c>
      <c r="L190" s="226">
        <f>IF(B190&gt;'Summary Table'!$H$27,0,K190+L189)</f>
        <v>0</v>
      </c>
      <c r="V190" s="28"/>
      <c r="AS190" s="27"/>
      <c r="AT190" s="295">
        <v>48</v>
      </c>
      <c r="AU190" s="296"/>
      <c r="AV190" s="296">
        <f>IF(AT190='Summary Table'!$H$27,-$AV$142+'Summary Table'!$H$28*ABS($AU$142),0)</f>
        <v>0</v>
      </c>
      <c r="AW190" s="296"/>
      <c r="AX190" s="296">
        <f>IF(AT190&gt;'Summary Table'!$H$27,0,-$AU$134+AV190+AW190)</f>
        <v>0</v>
      </c>
      <c r="AY190" s="296">
        <f t="shared" si="42"/>
        <v>4983.9500311428565</v>
      </c>
      <c r="AZ190" s="296">
        <f t="shared" si="43"/>
        <v>0</v>
      </c>
      <c r="BA190" s="296">
        <f t="shared" si="40"/>
        <v>0</v>
      </c>
      <c r="BB190" s="297">
        <f t="shared" si="41"/>
        <v>0</v>
      </c>
      <c r="BC190" s="297">
        <f t="shared" si="51"/>
        <v>0</v>
      </c>
      <c r="BD190" s="298">
        <f>IF(AT190&gt;'Summary Table'!$H$27,0,BC190+BD189)</f>
        <v>0</v>
      </c>
      <c r="BO190" s="27"/>
    </row>
    <row r="191" spans="2:67">
      <c r="B191" s="295">
        <v>36</v>
      </c>
      <c r="C191" s="296"/>
      <c r="D191" s="296">
        <f>IF(B191='Summary Table'!$H$27,-$D$155+'Summary Table'!$H$28*ABS($C$155),0)</f>
        <v>0</v>
      </c>
      <c r="E191" s="296"/>
      <c r="F191" s="296">
        <f>IF(B191&gt;'Summary Table'!$H$27,0,-$C$147+D191+E191)</f>
        <v>0</v>
      </c>
      <c r="G191" s="296">
        <f t="shared" si="49"/>
        <v>244.74217872236514</v>
      </c>
      <c r="H191" s="296">
        <f t="shared" si="48"/>
        <v>0</v>
      </c>
      <c r="I191" s="296">
        <f t="shared" si="46"/>
        <v>0</v>
      </c>
      <c r="J191" s="297">
        <f t="shared" si="53"/>
        <v>0</v>
      </c>
      <c r="K191" s="297">
        <f t="shared" si="52"/>
        <v>0</v>
      </c>
      <c r="L191" s="298">
        <f>IF(B191&gt;'Summary Table'!$H$27,0,K191+L190)</f>
        <v>0</v>
      </c>
      <c r="V191" s="28"/>
      <c r="AS191" s="27"/>
      <c r="AT191" s="223">
        <v>49</v>
      </c>
      <c r="AU191" s="224"/>
      <c r="AV191" s="224">
        <f>IF(AT191='Summary Table'!$H$27,-$AV$142+'Summary Table'!$H$28*ABS($AU$142),0)</f>
        <v>0</v>
      </c>
      <c r="AW191" s="224"/>
      <c r="AX191" s="224">
        <f>IF(AT191&gt;'Summary Table'!$H$27,0,-$AU$134+AV191+AW191)</f>
        <v>0</v>
      </c>
      <c r="AY191" s="224">
        <f t="shared" si="42"/>
        <v>4983.9500311428565</v>
      </c>
      <c r="AZ191" s="224">
        <f t="shared" si="43"/>
        <v>0</v>
      </c>
      <c r="BA191" s="224">
        <f t="shared" si="40"/>
        <v>0</v>
      </c>
      <c r="BB191" s="225">
        <f t="shared" si="41"/>
        <v>0</v>
      </c>
      <c r="BC191" s="225">
        <f t="shared" si="51"/>
        <v>0</v>
      </c>
      <c r="BD191" s="226">
        <f>IF(AT191&gt;'Summary Table'!$H$27,0,BC191+BD190)</f>
        <v>0</v>
      </c>
      <c r="BO191" s="27"/>
    </row>
    <row r="192" spans="2:67" ht="17" thickBot="1">
      <c r="B192" s="223">
        <v>37</v>
      </c>
      <c r="C192" s="224"/>
      <c r="D192" s="224">
        <f>IF(B192='Summary Table'!$H$27,-$D$155+'Summary Table'!$H$28*ABS($C$155),0)</f>
        <v>0</v>
      </c>
      <c r="E192" s="224"/>
      <c r="F192" s="224">
        <f>IF(B192&gt;'Summary Table'!$H$27,0,-$C$147+D192+E192)</f>
        <v>0</v>
      </c>
      <c r="G192" s="224">
        <f t="shared" si="49"/>
        <v>244.74217872236514</v>
      </c>
      <c r="H192" s="224">
        <f t="shared" si="48"/>
        <v>0</v>
      </c>
      <c r="I192" s="224">
        <f t="shared" si="46"/>
        <v>0</v>
      </c>
      <c r="J192" s="225">
        <f t="shared" si="53"/>
        <v>0</v>
      </c>
      <c r="K192" s="225">
        <f t="shared" si="52"/>
        <v>0</v>
      </c>
      <c r="L192" s="226">
        <f>IF(B192&gt;'Summary Table'!$H$27,0,K192+L191)</f>
        <v>0</v>
      </c>
      <c r="V192" s="28"/>
      <c r="AS192" s="27"/>
      <c r="AT192" s="305">
        <v>50</v>
      </c>
      <c r="AU192" s="299"/>
      <c r="AV192" s="299">
        <f>IF(AT192='Summary Table'!$H$27,-$AV$142+'Summary Table'!$H$28*ABS($AU$142),0)</f>
        <v>0</v>
      </c>
      <c r="AW192" s="299"/>
      <c r="AX192" s="299">
        <f>IF(AT192&gt;'Summary Table'!$H$27,0,-$AU$134+AV192+AW192)</f>
        <v>0</v>
      </c>
      <c r="AY192" s="299">
        <f t="shared" si="42"/>
        <v>4983.9500311428565</v>
      </c>
      <c r="AZ192" s="299">
        <f t="shared" si="43"/>
        <v>0</v>
      </c>
      <c r="BA192" s="299">
        <f t="shared" si="40"/>
        <v>0</v>
      </c>
      <c r="BB192" s="306">
        <f t="shared" si="41"/>
        <v>0</v>
      </c>
      <c r="BC192" s="306">
        <f t="shared" si="51"/>
        <v>0</v>
      </c>
      <c r="BD192" s="300">
        <f>IF(AT192&gt;'Summary Table'!$H$27,0,BC192+BD191)</f>
        <v>0</v>
      </c>
      <c r="BO192" s="27"/>
    </row>
    <row r="193" spans="2:67" ht="17" thickBot="1">
      <c r="B193" s="295">
        <v>38</v>
      </c>
      <c r="C193" s="296"/>
      <c r="D193" s="296">
        <f>IF(B193='Summary Table'!$H$27,-$D$155+'Summary Table'!$H$28*ABS($C$155),0)</f>
        <v>0</v>
      </c>
      <c r="E193" s="296"/>
      <c r="F193" s="296">
        <f>IF(B193&gt;'Summary Table'!$H$27,0,-$C$147+D193+E193)</f>
        <v>0</v>
      </c>
      <c r="G193" s="296">
        <f t="shared" si="49"/>
        <v>244.74217872236514</v>
      </c>
      <c r="H193" s="296">
        <f t="shared" si="48"/>
        <v>0</v>
      </c>
      <c r="I193" s="296">
        <f t="shared" si="46"/>
        <v>0</v>
      </c>
      <c r="J193" s="297">
        <f t="shared" si="53"/>
        <v>0</v>
      </c>
      <c r="K193" s="297">
        <f t="shared" si="52"/>
        <v>0</v>
      </c>
      <c r="L193" s="298">
        <f>IF(B193&gt;'Summary Table'!$H$27,0,K193+L192)</f>
        <v>0</v>
      </c>
      <c r="V193" s="28"/>
      <c r="AS193" s="27"/>
      <c r="AT193" s="11"/>
      <c r="AU193" s="11"/>
      <c r="AV193" s="11"/>
      <c r="AW193" s="11"/>
      <c r="AX193" s="11"/>
      <c r="AY193" s="11"/>
      <c r="AZ193" s="11"/>
      <c r="BA193" s="11"/>
      <c r="BB193" s="11"/>
      <c r="BC193" s="14"/>
      <c r="BD193" s="218"/>
      <c r="BO193" s="27"/>
    </row>
    <row r="194" spans="2:67" ht="22" thickBot="1">
      <c r="B194" s="223">
        <v>39</v>
      </c>
      <c r="C194" s="224"/>
      <c r="D194" s="224">
        <f>IF(B194='Summary Table'!$H$27,-$D$155+'Summary Table'!$H$28*ABS($C$155),0)</f>
        <v>0</v>
      </c>
      <c r="E194" s="224"/>
      <c r="F194" s="224">
        <f>IF(B194&gt;'Summary Table'!$H$27,0,-$C$147+D194+E194)</f>
        <v>0</v>
      </c>
      <c r="G194" s="224">
        <f t="shared" si="49"/>
        <v>244.74217872236514</v>
      </c>
      <c r="H194" s="224">
        <f t="shared" si="48"/>
        <v>0</v>
      </c>
      <c r="I194" s="224">
        <f t="shared" si="46"/>
        <v>0</v>
      </c>
      <c r="J194" s="225">
        <f t="shared" si="53"/>
        <v>0</v>
      </c>
      <c r="K194" s="225">
        <f t="shared" si="52"/>
        <v>0</v>
      </c>
      <c r="L194" s="226">
        <f>IF(B194&gt;'Summary Table'!$H$27,0,K194+L193)</f>
        <v>0</v>
      </c>
      <c r="V194" s="28"/>
      <c r="AS194" s="27"/>
      <c r="AT194" s="169" t="s">
        <v>626</v>
      </c>
      <c r="AU194" s="170">
        <f>VLOOKUP('Summary Table'!$H$27,$AT$140:$BD$192,11,FALSE)</f>
        <v>-2039.0508099518515</v>
      </c>
      <c r="AV194" s="171" t="s">
        <v>614</v>
      </c>
      <c r="AW194" s="10"/>
      <c r="AX194" s="10"/>
      <c r="AY194" s="10"/>
      <c r="AZ194" s="10"/>
      <c r="BA194" s="10"/>
      <c r="BB194" s="10"/>
      <c r="BC194" s="10"/>
      <c r="BD194" s="10"/>
      <c r="BO194" s="27"/>
    </row>
    <row r="195" spans="2:67">
      <c r="B195" s="295">
        <v>40</v>
      </c>
      <c r="C195" s="296"/>
      <c r="D195" s="296">
        <f>IF(B195='Summary Table'!$H$27,-$D$155+'Summary Table'!$H$28*ABS($C$155),0)</f>
        <v>0</v>
      </c>
      <c r="E195" s="296"/>
      <c r="F195" s="296">
        <f>IF(B195&gt;'Summary Table'!$H$27,0,-$C$147+D195+E195)</f>
        <v>0</v>
      </c>
      <c r="G195" s="296">
        <f t="shared" si="49"/>
        <v>244.74217872236514</v>
      </c>
      <c r="H195" s="296">
        <f t="shared" si="48"/>
        <v>0</v>
      </c>
      <c r="I195" s="296">
        <f t="shared" si="46"/>
        <v>0</v>
      </c>
      <c r="J195" s="297">
        <f t="shared" si="53"/>
        <v>0</v>
      </c>
      <c r="K195" s="297">
        <f t="shared" si="52"/>
        <v>0</v>
      </c>
      <c r="L195" s="298">
        <f>IF(B195&gt;'Summary Table'!$H$27,0,K195+L194)</f>
        <v>0</v>
      </c>
      <c r="V195" s="28"/>
      <c r="AS195" s="27"/>
      <c r="AT195" s="10"/>
      <c r="AU195" s="10"/>
      <c r="AV195" s="10"/>
      <c r="AW195" s="10"/>
      <c r="AX195" s="10"/>
      <c r="AY195" s="10"/>
      <c r="AZ195" s="10"/>
      <c r="BA195" s="10"/>
      <c r="BB195" s="10"/>
      <c r="BC195" s="10"/>
      <c r="BD195" s="10"/>
      <c r="BO195" s="27"/>
    </row>
    <row r="196" spans="2:67">
      <c r="B196" s="223">
        <v>41</v>
      </c>
      <c r="C196" s="224"/>
      <c r="D196" s="224">
        <f>IF(B196='Summary Table'!$H$27,-$D$155+'Summary Table'!$H$28*ABS($C$155),0)</f>
        <v>0</v>
      </c>
      <c r="E196" s="224"/>
      <c r="F196" s="224">
        <f>IF(B196&gt;'Summary Table'!$H$27,0,-$C$147+D196+E196)</f>
        <v>0</v>
      </c>
      <c r="G196" s="224">
        <f t="shared" si="49"/>
        <v>244.74217872236514</v>
      </c>
      <c r="H196" s="224">
        <f t="shared" si="48"/>
        <v>0</v>
      </c>
      <c r="I196" s="224">
        <f t="shared" si="46"/>
        <v>0</v>
      </c>
      <c r="J196" s="225">
        <f t="shared" si="53"/>
        <v>0</v>
      </c>
      <c r="K196" s="225">
        <f t="shared" si="52"/>
        <v>0</v>
      </c>
      <c r="L196" s="226">
        <f>IF(B196&gt;'Summary Table'!$H$27,0,K196+L195)</f>
        <v>0</v>
      </c>
      <c r="V196" s="28"/>
      <c r="AS196" s="27"/>
      <c r="AT196" s="10"/>
      <c r="AU196" s="10"/>
      <c r="AV196" s="10"/>
      <c r="AW196" s="10"/>
      <c r="AX196" s="10"/>
      <c r="AY196" s="10"/>
      <c r="AZ196" s="10"/>
      <c r="BA196" s="10"/>
      <c r="BB196" s="10"/>
      <c r="BC196" s="10"/>
      <c r="BD196" s="10"/>
      <c r="BO196" s="27"/>
    </row>
    <row r="197" spans="2:67">
      <c r="B197" s="295">
        <v>42</v>
      </c>
      <c r="C197" s="296"/>
      <c r="D197" s="296">
        <f>IF(B197='Summary Table'!$H$27,-$D$155+'Summary Table'!$H$28*ABS($C$155),0)</f>
        <v>0</v>
      </c>
      <c r="E197" s="296"/>
      <c r="F197" s="296">
        <f>IF(B197&gt;'Summary Table'!$H$27,0,-$C$147+D197+E197)</f>
        <v>0</v>
      </c>
      <c r="G197" s="296">
        <f t="shared" si="49"/>
        <v>244.74217872236514</v>
      </c>
      <c r="H197" s="296">
        <f t="shared" si="48"/>
        <v>0</v>
      </c>
      <c r="I197" s="296">
        <f t="shared" si="46"/>
        <v>0</v>
      </c>
      <c r="J197" s="297">
        <f t="shared" si="53"/>
        <v>0</v>
      </c>
      <c r="K197" s="297">
        <f t="shared" si="52"/>
        <v>0</v>
      </c>
      <c r="L197" s="298">
        <f>IF(B197&gt;'Summary Table'!$H$27,0,K197+L196)</f>
        <v>0</v>
      </c>
      <c r="V197" s="28"/>
      <c r="AS197" s="27"/>
      <c r="AT197" s="10"/>
      <c r="AU197" s="10"/>
      <c r="AV197" s="10"/>
      <c r="BO197" s="27"/>
    </row>
    <row r="198" spans="2:67" ht="26">
      <c r="B198" s="223">
        <v>43</v>
      </c>
      <c r="C198" s="224"/>
      <c r="D198" s="224">
        <f>IF(B198='Summary Table'!$H$27,-$D$155+'Summary Table'!$H$28*ABS($C$155),0)</f>
        <v>0</v>
      </c>
      <c r="E198" s="224"/>
      <c r="F198" s="224">
        <f>IF(B198&gt;'Summary Table'!$H$27,0,-$C$147+D198+E198)</f>
        <v>0</v>
      </c>
      <c r="G198" s="224">
        <f t="shared" si="49"/>
        <v>244.74217872236514</v>
      </c>
      <c r="H198" s="224">
        <f t="shared" si="48"/>
        <v>0</v>
      </c>
      <c r="I198" s="224">
        <f t="shared" si="46"/>
        <v>0</v>
      </c>
      <c r="J198" s="225">
        <f t="shared" si="53"/>
        <v>0</v>
      </c>
      <c r="K198" s="225">
        <f t="shared" si="52"/>
        <v>0</v>
      </c>
      <c r="L198" s="226">
        <f>IF(B198&gt;'Summary Table'!$H$27,0,K198+L197)</f>
        <v>0</v>
      </c>
      <c r="V198" s="28"/>
      <c r="AS198" s="27"/>
      <c r="AT198" s="268" t="s">
        <v>868</v>
      </c>
      <c r="AU198" s="10"/>
      <c r="AV198" s="10"/>
      <c r="BO198" s="27"/>
    </row>
    <row r="199" spans="2:67" ht="17" thickBot="1">
      <c r="B199" s="295">
        <v>44</v>
      </c>
      <c r="C199" s="296"/>
      <c r="D199" s="296">
        <f>IF(B199='Summary Table'!$H$27,-$D$155+'Summary Table'!$H$28*ABS($C$155),0)</f>
        <v>0</v>
      </c>
      <c r="E199" s="296"/>
      <c r="F199" s="296">
        <f>IF(B199&gt;'Summary Table'!$H$27,0,-$C$147+D199+E199)</f>
        <v>0</v>
      </c>
      <c r="G199" s="296">
        <f t="shared" si="49"/>
        <v>244.74217872236514</v>
      </c>
      <c r="H199" s="296">
        <f t="shared" si="48"/>
        <v>0</v>
      </c>
      <c r="I199" s="296">
        <f t="shared" si="46"/>
        <v>0</v>
      </c>
      <c r="J199" s="297">
        <f t="shared" si="53"/>
        <v>0</v>
      </c>
      <c r="K199" s="297">
        <f t="shared" si="52"/>
        <v>0</v>
      </c>
      <c r="L199" s="298">
        <f>IF(B199&gt;'Summary Table'!$H$27,0,K199+L198)</f>
        <v>0</v>
      </c>
      <c r="V199" s="28"/>
      <c r="AS199" s="27"/>
      <c r="AT199" s="10"/>
      <c r="AU199" s="10"/>
      <c r="AV199" s="10"/>
      <c r="BO199" s="27"/>
    </row>
    <row r="200" spans="2:67" ht="17" thickBot="1">
      <c r="B200" s="223">
        <v>45</v>
      </c>
      <c r="C200" s="224"/>
      <c r="D200" s="224">
        <f>IF(B200='Summary Table'!$H$27,-$D$155+'Summary Table'!$H$28*ABS($C$155),0)</f>
        <v>0</v>
      </c>
      <c r="E200" s="224"/>
      <c r="F200" s="224">
        <f>IF(B200&gt;'Summary Table'!$H$27,0,-$C$147+D200+E200)</f>
        <v>0</v>
      </c>
      <c r="G200" s="224">
        <f t="shared" si="49"/>
        <v>244.74217872236514</v>
      </c>
      <c r="H200" s="224">
        <f t="shared" si="48"/>
        <v>0</v>
      </c>
      <c r="I200" s="224">
        <f t="shared" si="46"/>
        <v>0</v>
      </c>
      <c r="J200" s="225">
        <f t="shared" si="53"/>
        <v>0</v>
      </c>
      <c r="K200" s="225">
        <f t="shared" si="52"/>
        <v>0</v>
      </c>
      <c r="L200" s="226">
        <f>IF(B200&gt;'Summary Table'!$H$27,0,K200+L199)</f>
        <v>0</v>
      </c>
      <c r="V200" s="28"/>
      <c r="AS200" s="27"/>
      <c r="AT200" s="279" t="s">
        <v>869</v>
      </c>
      <c r="AU200" s="280" t="s">
        <v>870</v>
      </c>
      <c r="AV200" s="281" t="s">
        <v>871</v>
      </c>
      <c r="BO200" s="27"/>
    </row>
    <row r="201" spans="2:67">
      <c r="B201" s="295">
        <v>46</v>
      </c>
      <c r="C201" s="296"/>
      <c r="D201" s="296">
        <f>IF(B201='Summary Table'!$H$27,-$D$155+'Summary Table'!$H$28*ABS($C$155),0)</f>
        <v>0</v>
      </c>
      <c r="E201" s="296"/>
      <c r="F201" s="296">
        <f>IF(B201&gt;'Summary Table'!$H$27,0,-$C$147+D201+E201)</f>
        <v>0</v>
      </c>
      <c r="G201" s="296">
        <f t="shared" si="49"/>
        <v>244.74217872236514</v>
      </c>
      <c r="H201" s="296">
        <f t="shared" si="48"/>
        <v>0</v>
      </c>
      <c r="I201" s="296">
        <f t="shared" si="46"/>
        <v>0</v>
      </c>
      <c r="J201" s="297">
        <f t="shared" si="53"/>
        <v>0</v>
      </c>
      <c r="K201" s="297">
        <f t="shared" si="52"/>
        <v>0</v>
      </c>
      <c r="L201" s="298">
        <f>IF(B201&gt;'Summary Table'!$H$27,0,K201+L200)</f>
        <v>0</v>
      </c>
      <c r="V201" s="28"/>
      <c r="AS201" s="27"/>
      <c r="AT201" s="153" t="s">
        <v>1061</v>
      </c>
      <c r="AU201" s="351">
        <f>SUM(BL23:BL27)</f>
        <v>362.1545685261583</v>
      </c>
      <c r="AV201" s="544">
        <f>SUM(AZ83:AZ84)+BC85+SUM(BK86:BK87)+SUM(AY54:AY57)+AY59</f>
        <v>596.33872908449052</v>
      </c>
      <c r="BO201" s="27"/>
    </row>
    <row r="202" spans="2:67" ht="17" thickBot="1">
      <c r="B202" s="223">
        <v>47</v>
      </c>
      <c r="C202" s="224"/>
      <c r="D202" s="224">
        <f>IF(B202='Summary Table'!$H$27,-$D$155+'Summary Table'!$H$28*ABS($C$155),0)</f>
        <v>0</v>
      </c>
      <c r="E202" s="224"/>
      <c r="F202" s="224">
        <f>IF(B202&gt;'Summary Table'!$H$27,0,-$C$147+D202+E202)</f>
        <v>0</v>
      </c>
      <c r="G202" s="224">
        <f t="shared" si="49"/>
        <v>244.74217872236514</v>
      </c>
      <c r="H202" s="224">
        <f t="shared" si="48"/>
        <v>0</v>
      </c>
      <c r="I202" s="224">
        <f t="shared" si="46"/>
        <v>0</v>
      </c>
      <c r="J202" s="225">
        <f t="shared" si="53"/>
        <v>0</v>
      </c>
      <c r="K202" s="225">
        <f t="shared" si="52"/>
        <v>0</v>
      </c>
      <c r="L202" s="226">
        <f>IF(B202&gt;'Summary Table'!$H$27,0,K202+L201)</f>
        <v>0</v>
      </c>
      <c r="V202" s="28"/>
      <c r="AS202" s="27"/>
      <c r="AT202" s="283" t="s">
        <v>874</v>
      </c>
      <c r="AU202" s="553">
        <f>SUM(BL28:BL45)</f>
        <v>229.02266677501223</v>
      </c>
      <c r="AV202" s="554">
        <f>SUM(AZ88:AZ91)+SUM(AZ93:AZ96)+SUM(AZ98:AZ101)+SUM(AZ104:AZ105)+BC89+BC95+BC97+BC99+SUM(BC102:BC103)+BF92+BF94+BF102+BK101+BK104+AY58+SUM(AY60:AY61)</f>
        <v>70.389851362889658</v>
      </c>
      <c r="BO202" s="27"/>
    </row>
    <row r="203" spans="2:67">
      <c r="B203" s="295">
        <v>48</v>
      </c>
      <c r="C203" s="296"/>
      <c r="D203" s="296">
        <f>IF(B203='Summary Table'!$H$27,-$D$155+'Summary Table'!$H$28*ABS($C$155),0)</f>
        <v>0</v>
      </c>
      <c r="E203" s="296"/>
      <c r="F203" s="296">
        <f>IF(B203&gt;'Summary Table'!$H$27,0,-$C$147+D203+E203)</f>
        <v>0</v>
      </c>
      <c r="G203" s="296">
        <f t="shared" si="49"/>
        <v>244.74217872236514</v>
      </c>
      <c r="H203" s="296">
        <f t="shared" si="48"/>
        <v>0</v>
      </c>
      <c r="I203" s="296">
        <f t="shared" si="46"/>
        <v>0</v>
      </c>
      <c r="J203" s="297">
        <f t="shared" si="53"/>
        <v>0</v>
      </c>
      <c r="K203" s="297">
        <f t="shared" si="52"/>
        <v>0</v>
      </c>
      <c r="L203" s="298">
        <f>IF(B203&gt;'Summary Table'!$H$27,0,K203+L202)</f>
        <v>0</v>
      </c>
      <c r="V203" s="28"/>
      <c r="AS203" s="27"/>
      <c r="BO203" s="27"/>
    </row>
    <row r="204" spans="2:67">
      <c r="B204" s="223">
        <v>49</v>
      </c>
      <c r="C204" s="224"/>
      <c r="D204" s="224">
        <f>IF(B204='Summary Table'!$H$27,-$D$155+'Summary Table'!$H$28*ABS($C$155),0)</f>
        <v>0</v>
      </c>
      <c r="E204" s="224"/>
      <c r="F204" s="224">
        <f>IF(B204&gt;'Summary Table'!$H$27,0,-$C$147+D204+E204)</f>
        <v>0</v>
      </c>
      <c r="G204" s="224">
        <f t="shared" si="49"/>
        <v>244.74217872236514</v>
      </c>
      <c r="H204" s="224">
        <f t="shared" si="48"/>
        <v>0</v>
      </c>
      <c r="I204" s="224">
        <f t="shared" si="46"/>
        <v>0</v>
      </c>
      <c r="J204" s="225">
        <f t="shared" si="53"/>
        <v>0</v>
      </c>
      <c r="K204" s="225">
        <f t="shared" si="52"/>
        <v>0</v>
      </c>
      <c r="L204" s="226">
        <f>IF(B204&gt;'Summary Table'!$H$27,0,K204+L203)</f>
        <v>0</v>
      </c>
      <c r="V204" s="28"/>
      <c r="AS204" s="27"/>
      <c r="BO204" s="27"/>
    </row>
    <row r="205" spans="2:67" ht="17" thickBot="1">
      <c r="B205" s="305">
        <v>50</v>
      </c>
      <c r="C205" s="299"/>
      <c r="D205" s="299">
        <f>IF(B205='Summary Table'!$H$27,-$D$155+'Summary Table'!$H$28*ABS($C$155),0)</f>
        <v>0</v>
      </c>
      <c r="E205" s="299"/>
      <c r="F205" s="299">
        <f>IF(B205&gt;'Summary Table'!$H$27,0,-$C$147+D205+E205)</f>
        <v>0</v>
      </c>
      <c r="G205" s="299">
        <f t="shared" si="49"/>
        <v>244.74217872236514</v>
      </c>
      <c r="H205" s="299">
        <f t="shared" si="48"/>
        <v>0</v>
      </c>
      <c r="I205" s="299">
        <f t="shared" si="46"/>
        <v>0</v>
      </c>
      <c r="J205" s="306">
        <f t="shared" si="53"/>
        <v>0</v>
      </c>
      <c r="K205" s="306">
        <f t="shared" si="52"/>
        <v>0</v>
      </c>
      <c r="L205" s="300">
        <f>IF(B205&gt;'Summary Table'!$H$27,0,K205+L204)</f>
        <v>0</v>
      </c>
      <c r="V205" s="28"/>
      <c r="AS205" s="27"/>
      <c r="BO205" s="27"/>
    </row>
    <row r="206" spans="2:67" ht="17" thickBot="1">
      <c r="B206" s="11"/>
      <c r="C206" s="11"/>
      <c r="D206" s="11"/>
      <c r="E206" s="11"/>
      <c r="F206" s="11"/>
      <c r="G206" s="11"/>
      <c r="H206" s="11"/>
      <c r="I206" s="11"/>
      <c r="J206" s="11"/>
      <c r="K206" s="14"/>
      <c r="L206" s="218"/>
      <c r="V206" s="28"/>
      <c r="AS206" s="27"/>
      <c r="BO206" s="27"/>
    </row>
    <row r="207" spans="2:67" ht="22" thickBot="1">
      <c r="B207" s="169" t="s">
        <v>626</v>
      </c>
      <c r="C207" s="170">
        <f>VLOOKUP('Summary Table'!$H$27,$B$153:$L$205,11,FALSE)</f>
        <v>-886.56727530464684</v>
      </c>
      <c r="D207" s="171" t="s">
        <v>614</v>
      </c>
      <c r="E207" s="10"/>
      <c r="F207" s="10"/>
      <c r="G207" s="10"/>
      <c r="H207" s="10"/>
      <c r="I207" s="10"/>
      <c r="J207" s="10"/>
      <c r="K207" s="10"/>
      <c r="L207" s="10"/>
      <c r="V207" s="28"/>
      <c r="AS207" s="27"/>
      <c r="BN207" s="28"/>
    </row>
    <row r="208" spans="2:67">
      <c r="B208" s="10"/>
      <c r="C208" s="10"/>
      <c r="D208" s="10"/>
      <c r="E208" s="10"/>
      <c r="F208" s="10"/>
      <c r="G208" s="10"/>
      <c r="H208" s="10"/>
      <c r="I208" s="10"/>
      <c r="J208" s="10"/>
      <c r="K208" s="10"/>
      <c r="L208" s="10"/>
      <c r="V208" s="28"/>
      <c r="AS208" s="27"/>
      <c r="BN208" s="28"/>
    </row>
    <row r="209" spans="2:67">
      <c r="B209" s="10"/>
      <c r="C209" s="10"/>
      <c r="D209" s="10"/>
      <c r="E209" s="10"/>
      <c r="F209" s="10"/>
      <c r="G209" s="10"/>
      <c r="H209" s="10"/>
      <c r="I209" s="10"/>
      <c r="J209" s="10"/>
      <c r="K209" s="10"/>
      <c r="L209" s="10"/>
      <c r="V209" s="28"/>
      <c r="AS209" s="27"/>
      <c r="BN209" s="28"/>
    </row>
    <row r="210" spans="2:67">
      <c r="B210" s="10"/>
      <c r="C210" s="10"/>
      <c r="D210" s="10"/>
      <c r="E210" s="10"/>
      <c r="F210" s="10"/>
      <c r="G210" s="10"/>
      <c r="H210" s="10"/>
      <c r="I210" s="10"/>
      <c r="J210" s="10"/>
      <c r="K210" s="10"/>
      <c r="L210" s="10"/>
      <c r="V210" s="28"/>
      <c r="AS210" s="27"/>
      <c r="BN210" s="28"/>
    </row>
    <row r="211" spans="2:67" ht="26">
      <c r="B211" s="268" t="s">
        <v>868</v>
      </c>
      <c r="C211" s="10"/>
      <c r="D211" s="10"/>
      <c r="E211" s="10"/>
      <c r="F211" s="10"/>
      <c r="G211" s="10"/>
      <c r="H211" s="10"/>
      <c r="I211" s="10"/>
      <c r="J211" s="10"/>
      <c r="K211" s="10"/>
      <c r="L211" s="10"/>
      <c r="V211" s="28"/>
      <c r="AS211" s="27"/>
      <c r="BN211" s="28"/>
    </row>
    <row r="212" spans="2:67" ht="17" thickBot="1">
      <c r="B212" s="10"/>
      <c r="C212" s="10"/>
      <c r="D212" s="10"/>
      <c r="E212" s="10"/>
      <c r="F212" s="10"/>
      <c r="G212" s="10"/>
      <c r="H212" s="10"/>
      <c r="I212" s="10"/>
      <c r="J212" s="10"/>
      <c r="K212" s="10"/>
      <c r="L212" s="10"/>
      <c r="V212" s="28"/>
      <c r="AS212" s="27"/>
      <c r="BN212" s="28"/>
    </row>
    <row r="213" spans="2:67" ht="17" thickBot="1">
      <c r="B213" s="279" t="s">
        <v>869</v>
      </c>
      <c r="C213" s="280" t="s">
        <v>870</v>
      </c>
      <c r="D213" s="281" t="s">
        <v>871</v>
      </c>
      <c r="E213" s="10"/>
      <c r="F213" s="10"/>
      <c r="G213" s="10"/>
      <c r="H213" s="10"/>
      <c r="I213" s="10"/>
      <c r="J213" s="10"/>
      <c r="K213" s="10"/>
      <c r="L213" s="10"/>
      <c r="V213" s="28"/>
      <c r="AS213" s="27"/>
      <c r="BN213" s="28"/>
    </row>
    <row r="214" spans="2:67">
      <c r="B214" s="111" t="s">
        <v>515</v>
      </c>
      <c r="C214" s="539">
        <f>SUM(T23:T24)</f>
        <v>390.57398410469051</v>
      </c>
      <c r="D214" s="541">
        <f>SUM(H90:H91)+G60+G61+G66+G67</f>
        <v>193.10457472998834</v>
      </c>
      <c r="E214" s="10"/>
      <c r="F214" s="10"/>
      <c r="G214" s="10"/>
      <c r="H214" s="10"/>
      <c r="I214" s="10"/>
      <c r="J214" s="10"/>
      <c r="K214" s="10"/>
      <c r="L214" s="10"/>
      <c r="V214" s="28"/>
      <c r="AS214" s="27"/>
      <c r="BN214" s="28"/>
    </row>
    <row r="215" spans="2:67">
      <c r="B215" s="282" t="s">
        <v>872</v>
      </c>
      <c r="C215" s="551">
        <f>SUM(T26:T27)</f>
        <v>37.088241750000002</v>
      </c>
      <c r="D215" s="552">
        <f>SUM(K93:K94)+N93</f>
        <v>183.64387326941426</v>
      </c>
      <c r="E215" s="10"/>
      <c r="F215" s="10"/>
      <c r="G215" s="10"/>
      <c r="H215" s="10"/>
      <c r="I215" s="10"/>
      <c r="J215" s="10"/>
      <c r="K215" s="10"/>
      <c r="L215" s="10"/>
      <c r="V215" s="28"/>
      <c r="AS215" s="27"/>
      <c r="BN215" s="28"/>
    </row>
    <row r="216" spans="2:67">
      <c r="B216" s="153" t="s">
        <v>873</v>
      </c>
      <c r="C216" s="18">
        <f>T25+T33</f>
        <v>43.230921749234881</v>
      </c>
      <c r="D216" s="542">
        <f>H92+S100</f>
        <v>4.0045277717729011</v>
      </c>
      <c r="E216" s="10"/>
      <c r="F216" s="10"/>
      <c r="G216" s="10"/>
      <c r="H216" s="10"/>
      <c r="I216" s="10"/>
      <c r="J216" s="10"/>
      <c r="K216" s="10"/>
      <c r="L216" s="10"/>
      <c r="V216" s="28"/>
      <c r="AS216" s="27"/>
      <c r="BN216" s="28"/>
    </row>
    <row r="217" spans="2:67">
      <c r="B217" s="282" t="s">
        <v>1061</v>
      </c>
      <c r="C217" s="551">
        <f>SUM(T28:T32)</f>
        <v>362.1545685261583</v>
      </c>
      <c r="D217" s="552">
        <f>SUM(H95:H96)+K97+SUM(S98:S99)+G62+G64</f>
        <v>19.542372978450185</v>
      </c>
      <c r="E217" s="10"/>
      <c r="F217" s="10"/>
      <c r="G217" s="10"/>
      <c r="H217" s="10"/>
      <c r="I217" s="10"/>
      <c r="J217" s="10"/>
      <c r="K217" s="10"/>
      <c r="L217" s="10"/>
      <c r="V217" s="28"/>
      <c r="AS217" s="27"/>
      <c r="BN217" s="28"/>
    </row>
    <row r="218" spans="2:67" ht="17" thickBot="1">
      <c r="B218" s="172" t="s">
        <v>874</v>
      </c>
      <c r="C218" s="540">
        <f>SUM(T34:T51)</f>
        <v>229.02266677501223</v>
      </c>
      <c r="D218" s="543">
        <f>SUM(H101:H104)+SUM(H106:H109)+SUM(H111:H114)+SUM(H117:H118)+K102+K108+K110+K112+SUM(K115:K116)+N105+N107+N115+S114+S117+G63+G65+G68</f>
        <v>70.389851362889672</v>
      </c>
      <c r="E218" s="10"/>
      <c r="F218" s="10"/>
      <c r="G218" s="10"/>
      <c r="H218" s="10"/>
      <c r="I218" s="10"/>
      <c r="J218" s="10"/>
      <c r="K218" s="10"/>
      <c r="L218" s="10"/>
      <c r="V218" s="28"/>
      <c r="AS218" s="27"/>
      <c r="BN218" s="28"/>
    </row>
    <row r="219" spans="2:67">
      <c r="B219" s="10"/>
      <c r="C219" s="10"/>
      <c r="D219" s="10"/>
      <c r="E219" s="10"/>
      <c r="F219" s="10"/>
      <c r="G219" s="10"/>
      <c r="H219" s="10"/>
      <c r="I219" s="10"/>
      <c r="J219" s="10"/>
      <c r="K219" s="10"/>
      <c r="L219" s="10"/>
      <c r="V219" s="28"/>
      <c r="AS219" s="27"/>
      <c r="BN219" s="28"/>
    </row>
    <row r="220" spans="2:67">
      <c r="B220" s="10"/>
      <c r="C220" s="10"/>
      <c r="D220" s="10"/>
      <c r="E220" s="10"/>
      <c r="F220" s="10"/>
      <c r="G220" s="10"/>
      <c r="H220" s="10"/>
      <c r="I220" s="10"/>
      <c r="J220" s="10"/>
      <c r="K220" s="10"/>
      <c r="L220" s="10"/>
      <c r="V220" s="28"/>
      <c r="AS220" s="27"/>
      <c r="BN220" s="28"/>
    </row>
    <row r="221" spans="2:67">
      <c r="B221" s="10"/>
      <c r="C221" s="10"/>
      <c r="D221" s="10"/>
      <c r="E221" s="10"/>
      <c r="F221" s="10"/>
      <c r="G221" s="10"/>
      <c r="H221" s="10"/>
      <c r="I221" s="10"/>
      <c r="J221" s="10"/>
      <c r="K221" s="10"/>
      <c r="L221" s="10"/>
      <c r="V221" s="28"/>
      <c r="AS221" s="27"/>
      <c r="BN221" s="28"/>
    </row>
    <row r="222" spans="2:67">
      <c r="B222" s="10"/>
      <c r="C222" s="10"/>
      <c r="D222" s="10"/>
      <c r="E222" s="10"/>
      <c r="F222" s="10"/>
      <c r="G222" s="10"/>
      <c r="H222" s="10"/>
      <c r="I222" s="10"/>
      <c r="J222" s="10"/>
      <c r="K222" s="10"/>
      <c r="L222" s="10"/>
      <c r="V222" s="28"/>
      <c r="AS222" s="27"/>
      <c r="BN222" s="28"/>
    </row>
    <row r="223" spans="2:67">
      <c r="B223" s="10"/>
      <c r="C223" s="10"/>
      <c r="D223" s="10"/>
      <c r="E223" s="10"/>
      <c r="F223" s="10"/>
      <c r="G223" s="10"/>
      <c r="H223" s="10"/>
      <c r="I223" s="10"/>
      <c r="J223" s="10"/>
      <c r="K223" s="10"/>
      <c r="L223" s="10"/>
      <c r="V223" s="28"/>
      <c r="AS223" s="27"/>
      <c r="BN223" s="28"/>
    </row>
    <row r="224" spans="2:67">
      <c r="V224" s="5"/>
      <c r="W224" s="5"/>
      <c r="AR224" s="5"/>
      <c r="AS224" s="5"/>
      <c r="BN224" s="5"/>
      <c r="BO224" s="5"/>
    </row>
    <row r="225" spans="2:67" ht="26">
      <c r="B225" s="268" t="s">
        <v>421</v>
      </c>
      <c r="V225" s="5"/>
      <c r="W225" s="5"/>
      <c r="AR225" s="5"/>
      <c r="AS225" s="5"/>
      <c r="BN225" s="5"/>
      <c r="BO225" s="5"/>
    </row>
    <row r="226" spans="2:67" s="10" customFormat="1" ht="17" thickBot="1">
      <c r="B226" s="3"/>
      <c r="V226" s="11"/>
      <c r="W226" s="11"/>
      <c r="AR226" s="11"/>
      <c r="AS226" s="11"/>
      <c r="BN226" s="11"/>
      <c r="BO226" s="11"/>
    </row>
    <row r="227" spans="2:67" ht="17" thickBot="1">
      <c r="B227" s="114" t="s">
        <v>216</v>
      </c>
      <c r="C227" s="709" t="s">
        <v>708</v>
      </c>
      <c r="D227" s="709"/>
      <c r="E227" s="709"/>
      <c r="F227" s="709"/>
      <c r="G227" s="709"/>
      <c r="H227" s="709"/>
      <c r="I227" s="710"/>
      <c r="V227" s="5"/>
      <c r="W227" s="5"/>
      <c r="AR227" s="5"/>
      <c r="AS227" s="5"/>
      <c r="BN227" s="5"/>
      <c r="BO227" s="5"/>
    </row>
    <row r="228" spans="2:67">
      <c r="B228" s="26" t="s">
        <v>884</v>
      </c>
      <c r="C228" s="715" t="s">
        <v>985</v>
      </c>
      <c r="D228" s="715"/>
      <c r="E228" s="715"/>
      <c r="F228" s="715"/>
      <c r="G228" s="715"/>
      <c r="H228" s="715"/>
      <c r="I228" s="716"/>
      <c r="V228" s="5"/>
      <c r="W228" s="5"/>
      <c r="AR228" s="5"/>
      <c r="AS228" s="5"/>
      <c r="BN228" s="5"/>
      <c r="BO228" s="5"/>
    </row>
    <row r="229" spans="2:67">
      <c r="B229" s="27" t="s">
        <v>885</v>
      </c>
      <c r="C229" s="711" t="s">
        <v>973</v>
      </c>
      <c r="D229" s="711"/>
      <c r="E229" s="711"/>
      <c r="F229" s="711"/>
      <c r="G229" s="711"/>
      <c r="H229" s="711"/>
      <c r="I229" s="712"/>
      <c r="V229" s="5"/>
      <c r="W229" s="5"/>
      <c r="AR229" s="5"/>
      <c r="AS229" s="5"/>
      <c r="BN229" s="5"/>
      <c r="BO229" s="5"/>
    </row>
    <row r="230" spans="2:67">
      <c r="B230" s="27" t="s">
        <v>886</v>
      </c>
      <c r="C230" s="711" t="s">
        <v>968</v>
      </c>
      <c r="D230" s="711"/>
      <c r="E230" s="711"/>
      <c r="F230" s="711"/>
      <c r="G230" s="711"/>
      <c r="H230" s="711"/>
      <c r="I230" s="712"/>
      <c r="V230" s="5"/>
      <c r="W230" s="5"/>
      <c r="AR230" s="5"/>
      <c r="AS230" s="5"/>
      <c r="BN230" s="5"/>
      <c r="BO230" s="5"/>
    </row>
    <row r="231" spans="2:67">
      <c r="B231" s="27" t="s">
        <v>982</v>
      </c>
      <c r="C231" s="711" t="s">
        <v>983</v>
      </c>
      <c r="D231" s="711"/>
      <c r="E231" s="711"/>
      <c r="F231" s="711"/>
      <c r="G231" s="711"/>
      <c r="H231" s="711"/>
      <c r="I231" s="712"/>
      <c r="V231" s="5"/>
      <c r="W231" s="5"/>
      <c r="AR231" s="5"/>
      <c r="AS231" s="5"/>
      <c r="BN231" s="5"/>
      <c r="BO231" s="5"/>
    </row>
    <row r="232" spans="2:67">
      <c r="B232" s="27" t="s">
        <v>887</v>
      </c>
      <c r="C232" s="711" t="s">
        <v>984</v>
      </c>
      <c r="D232" s="711"/>
      <c r="E232" s="711"/>
      <c r="F232" s="711"/>
      <c r="G232" s="711"/>
      <c r="H232" s="711"/>
      <c r="I232" s="712"/>
      <c r="V232" s="5"/>
      <c r="W232" s="5"/>
      <c r="AR232" s="5"/>
      <c r="AS232" s="5"/>
      <c r="BN232" s="5"/>
      <c r="BO232" s="5"/>
    </row>
    <row r="233" spans="2:67">
      <c r="B233" s="27" t="s">
        <v>888</v>
      </c>
      <c r="C233" s="711" t="s">
        <v>986</v>
      </c>
      <c r="D233" s="711"/>
      <c r="E233" s="711"/>
      <c r="F233" s="711"/>
      <c r="G233" s="711"/>
      <c r="H233" s="711"/>
      <c r="I233" s="712"/>
      <c r="J233" s="84"/>
      <c r="K233" s="84"/>
      <c r="L233" s="84"/>
      <c r="M233" s="84"/>
      <c r="N233" s="84"/>
      <c r="O233" s="5"/>
      <c r="V233" s="5"/>
      <c r="W233" s="5"/>
      <c r="AR233" s="5"/>
      <c r="AS233" s="5"/>
      <c r="BN233" s="5"/>
      <c r="BO233" s="5"/>
    </row>
    <row r="234" spans="2:67">
      <c r="B234" s="27" t="s">
        <v>432</v>
      </c>
      <c r="C234" s="711" t="s">
        <v>975</v>
      </c>
      <c r="D234" s="711"/>
      <c r="E234" s="711"/>
      <c r="F234" s="711"/>
      <c r="G234" s="711"/>
      <c r="H234" s="711"/>
      <c r="I234" s="712"/>
      <c r="V234" s="5"/>
      <c r="W234" s="5"/>
      <c r="AR234" s="5"/>
      <c r="AS234" s="5"/>
      <c r="BN234" s="5"/>
      <c r="BO234" s="5"/>
    </row>
    <row r="235" spans="2:67">
      <c r="B235" s="27" t="s">
        <v>877</v>
      </c>
      <c r="C235" s="711" t="s">
        <v>969</v>
      </c>
      <c r="D235" s="711"/>
      <c r="E235" s="711"/>
      <c r="F235" s="711"/>
      <c r="G235" s="711"/>
      <c r="H235" s="711"/>
      <c r="I235" s="712"/>
      <c r="V235" s="5"/>
      <c r="W235" s="5"/>
      <c r="AR235" s="5"/>
      <c r="AS235" s="5"/>
      <c r="BN235" s="5"/>
      <c r="BO235" s="5"/>
    </row>
    <row r="236" spans="2:67">
      <c r="B236" s="27" t="s">
        <v>876</v>
      </c>
      <c r="C236" s="711" t="s">
        <v>974</v>
      </c>
      <c r="D236" s="711"/>
      <c r="E236" s="711"/>
      <c r="F236" s="711"/>
      <c r="G236" s="711"/>
      <c r="H236" s="711"/>
      <c r="I236" s="712"/>
      <c r="V236" s="5"/>
      <c r="W236" s="5"/>
      <c r="AR236" s="5"/>
      <c r="AS236" s="5"/>
      <c r="BN236" s="5"/>
      <c r="BO236" s="5"/>
    </row>
    <row r="237" spans="2:67">
      <c r="B237" s="27" t="s">
        <v>434</v>
      </c>
      <c r="C237" s="719" t="s">
        <v>967</v>
      </c>
      <c r="D237" s="719"/>
      <c r="E237" s="719"/>
      <c r="F237" s="719"/>
      <c r="G237" s="719"/>
      <c r="H237" s="719"/>
      <c r="I237" s="720"/>
      <c r="V237" s="5"/>
      <c r="W237" s="5"/>
      <c r="AR237" s="5"/>
      <c r="AS237" s="5"/>
      <c r="BN237" s="5"/>
      <c r="BO237" s="5"/>
    </row>
    <row r="238" spans="2:67">
      <c r="B238" s="27" t="s">
        <v>435</v>
      </c>
      <c r="C238" s="719" t="s">
        <v>967</v>
      </c>
      <c r="D238" s="719"/>
      <c r="E238" s="719"/>
      <c r="F238" s="719"/>
      <c r="G238" s="719"/>
      <c r="H238" s="719"/>
      <c r="I238" s="720"/>
      <c r="AR238" s="5"/>
      <c r="AS238" s="5"/>
    </row>
    <row r="239" spans="2:67">
      <c r="B239" s="27" t="s">
        <v>436</v>
      </c>
      <c r="C239" s="711" t="s">
        <v>990</v>
      </c>
      <c r="D239" s="711"/>
      <c r="E239" s="711"/>
      <c r="F239" s="711"/>
      <c r="G239" s="711"/>
      <c r="H239" s="711"/>
      <c r="I239" s="712"/>
    </row>
    <row r="240" spans="2:67">
      <c r="B240" s="27" t="s">
        <v>437</v>
      </c>
      <c r="C240" s="711" t="s">
        <v>1039</v>
      </c>
      <c r="D240" s="711"/>
      <c r="E240" s="711"/>
      <c r="F240" s="711"/>
      <c r="G240" s="711"/>
      <c r="H240" s="711"/>
      <c r="I240" s="712"/>
    </row>
    <row r="241" spans="2:9">
      <c r="B241" s="27" t="s">
        <v>438</v>
      </c>
      <c r="C241" s="711" t="s">
        <v>1040</v>
      </c>
      <c r="D241" s="711"/>
      <c r="E241" s="711"/>
      <c r="F241" s="711"/>
      <c r="G241" s="711"/>
      <c r="H241" s="711"/>
      <c r="I241" s="712"/>
    </row>
    <row r="242" spans="2:9">
      <c r="B242" s="27" t="s">
        <v>439</v>
      </c>
      <c r="C242" s="711" t="s">
        <v>1016</v>
      </c>
      <c r="D242" s="711"/>
      <c r="E242" s="711"/>
      <c r="F242" s="711"/>
      <c r="G242" s="711"/>
      <c r="H242" s="711"/>
      <c r="I242" s="712"/>
    </row>
    <row r="243" spans="2:9">
      <c r="B243" s="27" t="s">
        <v>889</v>
      </c>
      <c r="C243" s="711" t="s">
        <v>1035</v>
      </c>
      <c r="D243" s="711"/>
      <c r="E243" s="711"/>
      <c r="F243" s="711"/>
      <c r="G243" s="711"/>
      <c r="H243" s="711"/>
      <c r="I243" s="712"/>
    </row>
    <row r="244" spans="2:9">
      <c r="B244" s="27" t="s">
        <v>875</v>
      </c>
      <c r="C244" s="711" t="s">
        <v>991</v>
      </c>
      <c r="D244" s="711"/>
      <c r="E244" s="711"/>
      <c r="F244" s="711"/>
      <c r="G244" s="711"/>
      <c r="H244" s="711"/>
      <c r="I244" s="712"/>
    </row>
    <row r="245" spans="2:9">
      <c r="B245" s="27" t="s">
        <v>878</v>
      </c>
      <c r="C245" s="711" t="s">
        <v>993</v>
      </c>
      <c r="D245" s="711"/>
      <c r="E245" s="711"/>
      <c r="F245" s="711"/>
      <c r="G245" s="711"/>
      <c r="H245" s="711"/>
      <c r="I245" s="712"/>
    </row>
    <row r="246" spans="2:9">
      <c r="B246" s="27" t="s">
        <v>879</v>
      </c>
      <c r="C246" s="711" t="s">
        <v>992</v>
      </c>
      <c r="D246" s="711"/>
      <c r="E246" s="711"/>
      <c r="F246" s="711"/>
      <c r="G246" s="711"/>
      <c r="H246" s="711"/>
      <c r="I246" s="712"/>
    </row>
    <row r="247" spans="2:9">
      <c r="B247" s="27" t="s">
        <v>890</v>
      </c>
      <c r="C247" s="711" t="s">
        <v>987</v>
      </c>
      <c r="D247" s="711"/>
      <c r="E247" s="711"/>
      <c r="F247" s="711"/>
      <c r="G247" s="711"/>
      <c r="H247" s="711"/>
      <c r="I247" s="712"/>
    </row>
    <row r="248" spans="2:9">
      <c r="B248" s="27" t="s">
        <v>891</v>
      </c>
      <c r="C248" s="711" t="s">
        <v>987</v>
      </c>
      <c r="D248" s="711"/>
      <c r="E248" s="711"/>
      <c r="F248" s="711"/>
      <c r="G248" s="711"/>
      <c r="H248" s="711"/>
      <c r="I248" s="712"/>
    </row>
    <row r="249" spans="2:9">
      <c r="B249" s="27" t="s">
        <v>882</v>
      </c>
      <c r="C249" s="711" t="s">
        <v>988</v>
      </c>
      <c r="D249" s="711"/>
      <c r="E249" s="711"/>
      <c r="F249" s="711"/>
      <c r="G249" s="711"/>
      <c r="H249" s="711"/>
      <c r="I249" s="712"/>
    </row>
    <row r="250" spans="2:9">
      <c r="B250" s="27" t="s">
        <v>883</v>
      </c>
      <c r="C250" s="711" t="s">
        <v>989</v>
      </c>
      <c r="D250" s="711"/>
      <c r="E250" s="711"/>
      <c r="F250" s="711"/>
      <c r="G250" s="711"/>
      <c r="H250" s="711"/>
      <c r="I250" s="712"/>
    </row>
    <row r="251" spans="2:9">
      <c r="B251" s="27" t="s">
        <v>440</v>
      </c>
      <c r="C251" s="713" t="s">
        <v>981</v>
      </c>
      <c r="D251" s="713"/>
      <c r="E251" s="713"/>
      <c r="F251" s="713"/>
      <c r="G251" s="713"/>
      <c r="H251" s="713"/>
      <c r="I251" s="714"/>
    </row>
    <row r="252" spans="2:9">
      <c r="B252" s="27" t="s">
        <v>880</v>
      </c>
      <c r="C252" s="711" t="s">
        <v>971</v>
      </c>
      <c r="D252" s="711"/>
      <c r="E252" s="711"/>
      <c r="F252" s="711"/>
      <c r="G252" s="711"/>
      <c r="H252" s="711"/>
      <c r="I252" s="712"/>
    </row>
    <row r="253" spans="2:9">
      <c r="B253" s="27" t="s">
        <v>881</v>
      </c>
      <c r="C253" s="711" t="s">
        <v>971</v>
      </c>
      <c r="D253" s="711"/>
      <c r="E253" s="711"/>
      <c r="F253" s="711"/>
      <c r="G253" s="711"/>
      <c r="H253" s="711"/>
      <c r="I253" s="712"/>
    </row>
    <row r="254" spans="2:9">
      <c r="B254" s="27" t="s">
        <v>360</v>
      </c>
      <c r="C254" s="711" t="s">
        <v>1033</v>
      </c>
      <c r="D254" s="711"/>
      <c r="E254" s="711"/>
      <c r="F254" s="711"/>
      <c r="G254" s="711"/>
      <c r="H254" s="711"/>
      <c r="I254" s="712"/>
    </row>
    <row r="255" spans="2:9">
      <c r="B255" s="27" t="s">
        <v>892</v>
      </c>
      <c r="C255" s="719" t="s">
        <v>972</v>
      </c>
      <c r="D255" s="719"/>
      <c r="E255" s="719"/>
      <c r="F255" s="719"/>
      <c r="G255" s="719"/>
      <c r="H255" s="719"/>
      <c r="I255" s="720"/>
    </row>
    <row r="256" spans="2:9" ht="17" thickBot="1">
      <c r="B256" s="29" t="s">
        <v>900</v>
      </c>
      <c r="C256" s="717" t="s">
        <v>970</v>
      </c>
      <c r="D256" s="717"/>
      <c r="E256" s="717"/>
      <c r="F256" s="717"/>
      <c r="G256" s="717"/>
      <c r="H256" s="717"/>
      <c r="I256" s="718"/>
    </row>
  </sheetData>
  <mergeCells count="91">
    <mergeCell ref="C256:I256"/>
    <mergeCell ref="C255:I255"/>
    <mergeCell ref="C232:I232"/>
    <mergeCell ref="C242:I242"/>
    <mergeCell ref="C238:I238"/>
    <mergeCell ref="C239:I239"/>
    <mergeCell ref="C240:I240"/>
    <mergeCell ref="C237:I237"/>
    <mergeCell ref="C241:I241"/>
    <mergeCell ref="C243:I243"/>
    <mergeCell ref="C234:I234"/>
    <mergeCell ref="C231:I231"/>
    <mergeCell ref="C248:I248"/>
    <mergeCell ref="C236:I236"/>
    <mergeCell ref="C228:I228"/>
    <mergeCell ref="C235:I235"/>
    <mergeCell ref="B127:D127"/>
    <mergeCell ref="B144:C144"/>
    <mergeCell ref="C227:I227"/>
    <mergeCell ref="C254:I254"/>
    <mergeCell ref="C250:I250"/>
    <mergeCell ref="C251:I251"/>
    <mergeCell ref="C252:I252"/>
    <mergeCell ref="C253:I253"/>
    <mergeCell ref="C244:I244"/>
    <mergeCell ref="C245:I245"/>
    <mergeCell ref="C246:I246"/>
    <mergeCell ref="C247:I247"/>
    <mergeCell ref="C249:I249"/>
    <mergeCell ref="C233:I233"/>
    <mergeCell ref="C230:I230"/>
    <mergeCell ref="C229:I229"/>
    <mergeCell ref="B3:D3"/>
    <mergeCell ref="B87:E87"/>
    <mergeCell ref="B8:E8"/>
    <mergeCell ref="B5:E6"/>
    <mergeCell ref="O119:Q119"/>
    <mergeCell ref="B57:C57"/>
    <mergeCell ref="B74:C74"/>
    <mergeCell ref="B20:C20"/>
    <mergeCell ref="B85:C85"/>
    <mergeCell ref="B10:C10"/>
    <mergeCell ref="X3:Z3"/>
    <mergeCell ref="X5:AA5"/>
    <mergeCell ref="X8:AA8"/>
    <mergeCell ref="X10:Y10"/>
    <mergeCell ref="X20:Y20"/>
    <mergeCell ref="X35:Y35"/>
    <mergeCell ref="X48:Y48"/>
    <mergeCell ref="X59:Y59"/>
    <mergeCell ref="X61:AA61"/>
    <mergeCell ref="AB61:AD61"/>
    <mergeCell ref="AE61:AG61"/>
    <mergeCell ref="AH61:AJ61"/>
    <mergeCell ref="AK61:AO61"/>
    <mergeCell ref="AK71:AM71"/>
    <mergeCell ref="X79:Z79"/>
    <mergeCell ref="AT17:AU17"/>
    <mergeCell ref="AX80:AZ80"/>
    <mergeCell ref="BA80:BC80"/>
    <mergeCell ref="BD80:BF80"/>
    <mergeCell ref="BG80:BK80"/>
    <mergeCell ref="AT20:AU20"/>
    <mergeCell ref="AT51:AU51"/>
    <mergeCell ref="AT67:AU67"/>
    <mergeCell ref="AT78:AU78"/>
    <mergeCell ref="AT80:AW80"/>
    <mergeCell ref="BP17:BQ17"/>
    <mergeCell ref="BP20:BQ20"/>
    <mergeCell ref="BP35:BQ35"/>
    <mergeCell ref="BP48:BQ48"/>
    <mergeCell ref="BP59:BQ59"/>
    <mergeCell ref="CC65:CE65"/>
    <mergeCell ref="BP72:BR72"/>
    <mergeCell ref="BP89:BQ89"/>
    <mergeCell ref="CB98:CC98"/>
    <mergeCell ref="CE98:CF98"/>
    <mergeCell ref="AT114:AV114"/>
    <mergeCell ref="AT131:AU131"/>
    <mergeCell ref="BF140:BG140"/>
    <mergeCell ref="BI140:BJ140"/>
    <mergeCell ref="BG106:BI106"/>
    <mergeCell ref="X96:Y96"/>
    <mergeCell ref="AJ105:AK105"/>
    <mergeCell ref="AM105:AN105"/>
    <mergeCell ref="N153:O153"/>
    <mergeCell ref="F87:H87"/>
    <mergeCell ref="I87:K87"/>
    <mergeCell ref="L87:N87"/>
    <mergeCell ref="O87:S87"/>
    <mergeCell ref="Q153:R153"/>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08C21-177A-8E44-B9B2-7C69C9B22D40}">
  <dimension ref="A3:U406"/>
  <sheetViews>
    <sheetView topLeftCell="A219" zoomScale="67" workbookViewId="0">
      <selection activeCell="E227" sqref="E227"/>
    </sheetView>
  </sheetViews>
  <sheetFormatPr baseColWidth="10" defaultRowHeight="16"/>
  <cols>
    <col min="2" max="2" width="45" bestFit="1" customWidth="1"/>
    <col min="3" max="3" width="30.6640625" bestFit="1" customWidth="1"/>
    <col min="4" max="4" width="26.1640625" bestFit="1" customWidth="1"/>
    <col min="5" max="5" width="46.33203125" bestFit="1" customWidth="1"/>
    <col min="6" max="6" width="34.5" bestFit="1" customWidth="1"/>
    <col min="7" max="7" width="13.6640625" customWidth="1"/>
    <col min="8" max="8" width="43.33203125" bestFit="1" customWidth="1"/>
    <col min="9" max="9" width="38.33203125" bestFit="1" customWidth="1"/>
    <col min="10" max="10" width="26.1640625" bestFit="1" customWidth="1"/>
    <col min="11" max="11" width="46.33203125" bestFit="1" customWidth="1"/>
    <col min="12" max="12" width="20" bestFit="1" customWidth="1"/>
    <col min="13" max="13" width="14.1640625" bestFit="1" customWidth="1"/>
    <col min="14" max="14" width="47.33203125" bestFit="1" customWidth="1"/>
    <col min="15" max="17" width="12" bestFit="1" customWidth="1"/>
  </cols>
  <sheetData>
    <row r="3" spans="2:11" ht="37">
      <c r="B3" s="232" t="s">
        <v>645</v>
      </c>
      <c r="C3" s="232"/>
      <c r="D3" s="232"/>
      <c r="E3" s="233"/>
      <c r="F3" s="233"/>
      <c r="G3" s="233"/>
      <c r="H3" s="233"/>
      <c r="I3" s="234"/>
      <c r="J3" s="234"/>
      <c r="K3" s="234"/>
    </row>
    <row r="4" spans="2:11">
      <c r="B4" s="69"/>
      <c r="C4" s="69"/>
      <c r="D4" s="69"/>
      <c r="E4" s="234"/>
      <c r="F4" s="234"/>
      <c r="G4" s="234"/>
      <c r="H4" s="234"/>
      <c r="I4" s="234"/>
      <c r="J4" s="234"/>
      <c r="K4" s="234"/>
    </row>
    <row r="5" spans="2:11">
      <c r="B5" s="688" t="s">
        <v>647</v>
      </c>
      <c r="C5" s="688"/>
      <c r="D5" s="688"/>
      <c r="E5" s="235"/>
      <c r="F5" s="235"/>
      <c r="G5" s="235"/>
      <c r="H5" s="235"/>
      <c r="I5" s="235"/>
      <c r="J5" s="235"/>
      <c r="K5" s="235"/>
    </row>
    <row r="6" spans="2:11">
      <c r="B6" s="688"/>
      <c r="C6" s="688"/>
      <c r="D6" s="688"/>
      <c r="E6" s="236"/>
      <c r="F6" s="236"/>
      <c r="G6" s="235"/>
      <c r="H6" s="235"/>
      <c r="I6" s="235"/>
      <c r="J6" s="235"/>
      <c r="K6" s="235"/>
    </row>
    <row r="7" spans="2:11">
      <c r="B7" s="69"/>
      <c r="C7" s="69"/>
      <c r="D7" s="69"/>
      <c r="E7" s="234"/>
      <c r="F7" s="234"/>
      <c r="G7" s="234"/>
      <c r="H7" s="234"/>
      <c r="I7" s="234"/>
      <c r="J7" s="234"/>
      <c r="K7" s="234"/>
    </row>
    <row r="8" spans="2:11" ht="24">
      <c r="B8" s="71" t="str">
        <f>VLOOKUP('Summary Table'!C23,'Scenarios Data'!B14:AR22,1,FALSE)</f>
        <v>Future Technology, Balanced</v>
      </c>
      <c r="C8" s="71"/>
      <c r="D8" s="71"/>
      <c r="E8" s="269"/>
      <c r="F8" s="235"/>
      <c r="G8" s="234"/>
      <c r="H8" s="234"/>
      <c r="I8" s="234"/>
      <c r="J8" s="234"/>
      <c r="K8" s="234"/>
    </row>
    <row r="9" spans="2:11">
      <c r="B9" s="69"/>
      <c r="C9" s="69"/>
      <c r="D9" s="69"/>
      <c r="E9" s="234"/>
      <c r="F9" s="234"/>
      <c r="G9" s="234"/>
      <c r="H9" s="234"/>
      <c r="I9" s="234"/>
      <c r="J9" s="234"/>
      <c r="K9" s="234"/>
    </row>
    <row r="10" spans="2:11">
      <c r="B10" s="247" t="s">
        <v>694</v>
      </c>
      <c r="C10" s="331" t="s">
        <v>690</v>
      </c>
      <c r="D10" s="69"/>
      <c r="E10" s="234"/>
      <c r="F10" s="234"/>
      <c r="G10" s="234"/>
      <c r="H10" s="234"/>
      <c r="I10" s="234"/>
      <c r="J10" s="234"/>
      <c r="K10" s="234"/>
    </row>
    <row r="11" spans="2:11">
      <c r="B11" s="247" t="s">
        <v>646</v>
      </c>
      <c r="C11" s="330" t="s">
        <v>689</v>
      </c>
      <c r="D11" s="69"/>
      <c r="E11" s="234"/>
      <c r="F11" s="234"/>
      <c r="G11" s="234"/>
      <c r="H11" s="234"/>
      <c r="I11" s="234"/>
      <c r="J11" s="234"/>
      <c r="K11" s="234"/>
    </row>
    <row r="12" spans="2:11">
      <c r="B12" s="69"/>
      <c r="C12" s="69"/>
      <c r="D12" s="69"/>
      <c r="E12" s="234"/>
      <c r="F12" s="234"/>
      <c r="G12" s="234"/>
      <c r="H12" s="234"/>
      <c r="I12" s="234"/>
      <c r="J12" s="234"/>
      <c r="K12" s="234"/>
    </row>
    <row r="15" spans="2:11" ht="17" thickBot="1"/>
    <row r="16" spans="2:11" ht="38" thickBot="1">
      <c r="B16" s="416" t="s">
        <v>146</v>
      </c>
      <c r="C16" s="417"/>
    </row>
    <row r="17" spans="2:12" s="10" customFormat="1">
      <c r="B17" s="3"/>
    </row>
    <row r="19" spans="2:12" ht="26">
      <c r="B19" s="418" t="s">
        <v>706</v>
      </c>
    </row>
    <row r="20" spans="2:12" ht="17" thickBot="1"/>
    <row r="21" spans="2:12" ht="17" thickBot="1">
      <c r="B21" s="114" t="s">
        <v>76</v>
      </c>
      <c r="C21" s="115" t="s">
        <v>643</v>
      </c>
      <c r="D21" s="115" t="s">
        <v>675</v>
      </c>
      <c r="E21" s="116" t="s">
        <v>217</v>
      </c>
    </row>
    <row r="22" spans="2:12">
      <c r="B22" s="153" t="s">
        <v>677</v>
      </c>
      <c r="C22" s="9" t="s">
        <v>154</v>
      </c>
      <c r="D22" s="344">
        <f>VLOOKUP('Summary Table'!C23,'Scenarios Data'!B14:AR22,7,FALSE)</f>
        <v>0.61299999999999999</v>
      </c>
      <c r="E22" s="263" t="s">
        <v>159</v>
      </c>
    </row>
    <row r="23" spans="2:12">
      <c r="B23" s="336" t="s">
        <v>676</v>
      </c>
      <c r="C23" s="54" t="s">
        <v>153</v>
      </c>
      <c r="D23" s="345">
        <f>VLOOKUP('Summary Table'!C23,'Scenarios Data'!B14:AR22,8,FALSE)</f>
        <v>0.15</v>
      </c>
      <c r="E23" s="55" t="s">
        <v>160</v>
      </c>
    </row>
    <row r="24" spans="2:12">
      <c r="B24" s="153" t="s">
        <v>678</v>
      </c>
      <c r="C24" s="9" t="s">
        <v>156</v>
      </c>
      <c r="D24" s="344">
        <f>VLOOKUP('Summary Table'!C23,'Scenarios Data'!B14:AR22,9,FALSE)</f>
        <v>0.54</v>
      </c>
      <c r="E24" s="263" t="s">
        <v>161</v>
      </c>
    </row>
    <row r="25" spans="2:12" ht="17" thickBot="1">
      <c r="B25" s="337" t="s">
        <v>679</v>
      </c>
      <c r="C25" s="130" t="s">
        <v>155</v>
      </c>
      <c r="D25" s="346">
        <f>VLOOKUP('Summary Table'!C23,'Scenarios Data'!B14:AR22,10,FALSE)</f>
        <v>0.13</v>
      </c>
      <c r="E25" s="260" t="s">
        <v>162</v>
      </c>
    </row>
    <row r="28" spans="2:12" ht="26">
      <c r="B28" s="419" t="s">
        <v>147</v>
      </c>
    </row>
    <row r="29" spans="2:12" ht="17" thickBot="1">
      <c r="B29" s="5"/>
      <c r="C29" s="5"/>
      <c r="D29" s="5"/>
      <c r="E29" s="5"/>
      <c r="F29" s="5"/>
      <c r="G29" s="5"/>
      <c r="H29" s="5"/>
    </row>
    <row r="30" spans="2:12" ht="22" thickBot="1">
      <c r="B30" s="721" t="s">
        <v>5</v>
      </c>
      <c r="C30" s="697"/>
      <c r="D30" s="699"/>
      <c r="E30" s="325"/>
      <c r="F30" s="325"/>
      <c r="G30" s="325"/>
      <c r="H30" s="341"/>
      <c r="I30" s="342" t="s">
        <v>6</v>
      </c>
      <c r="J30" s="343"/>
      <c r="K30" s="5"/>
      <c r="L30" s="5"/>
    </row>
    <row r="31" spans="2:12" ht="17" thickBot="1">
      <c r="B31" s="338" t="s">
        <v>137</v>
      </c>
      <c r="C31" s="339" t="s">
        <v>152</v>
      </c>
      <c r="D31" s="340" t="s">
        <v>151</v>
      </c>
      <c r="E31" s="17"/>
      <c r="F31" s="17"/>
      <c r="G31" s="17"/>
      <c r="H31" s="338" t="s">
        <v>137</v>
      </c>
      <c r="I31" s="339" t="s">
        <v>152</v>
      </c>
      <c r="J31" s="340" t="s">
        <v>151</v>
      </c>
      <c r="K31" s="5"/>
      <c r="L31" s="5"/>
    </row>
    <row r="32" spans="2:12">
      <c r="B32" s="153" t="s">
        <v>174</v>
      </c>
      <c r="C32" s="9"/>
      <c r="D32" s="263"/>
      <c r="E32" s="9"/>
      <c r="F32" s="9"/>
      <c r="G32" s="9"/>
      <c r="H32" s="153" t="s">
        <v>174</v>
      </c>
      <c r="I32" s="9"/>
      <c r="J32" s="263"/>
      <c r="K32" s="5"/>
      <c r="L32" s="5"/>
    </row>
    <row r="33" spans="2:12">
      <c r="B33" s="132" t="s">
        <v>908</v>
      </c>
      <c r="C33" s="345">
        <f>VLOOKUP('Summary Table'!C23,'Scenarios Data'!B14:AR22,11,FALSE)</f>
        <v>4</v>
      </c>
      <c r="D33" s="347">
        <v>-715</v>
      </c>
      <c r="E33" s="9"/>
      <c r="F33" s="9"/>
      <c r="G33" s="9"/>
      <c r="H33" s="132" t="s">
        <v>908</v>
      </c>
      <c r="I33" s="345">
        <f>VLOOKUP('Summary Table'!C23,'Scenarios Data'!B14:AR22,11,FALSE)</f>
        <v>4</v>
      </c>
      <c r="J33" s="347">
        <v>-715</v>
      </c>
      <c r="K33" s="5"/>
      <c r="L33" s="5"/>
    </row>
    <row r="34" spans="2:12">
      <c r="B34" s="308" t="s">
        <v>138</v>
      </c>
      <c r="C34" s="344">
        <f>VLOOKUP('Summary Table'!C23,'Scenarios Data'!B14:AR22,12,FALSE)</f>
        <v>20</v>
      </c>
      <c r="D34" s="348">
        <v>-254.6</v>
      </c>
      <c r="E34" s="9"/>
      <c r="F34" s="9"/>
      <c r="G34" s="9"/>
      <c r="H34" s="308" t="s">
        <v>138</v>
      </c>
      <c r="I34" s="344">
        <f>VLOOKUP('Summary Table'!C23,'Scenarios Data'!B14:AR22,12,FALSE)</f>
        <v>20</v>
      </c>
      <c r="J34" s="348">
        <v>-254.6</v>
      </c>
      <c r="K34" s="5"/>
      <c r="L34" s="5"/>
    </row>
    <row r="35" spans="2:12">
      <c r="B35" s="132" t="s">
        <v>909</v>
      </c>
      <c r="C35" s="119">
        <f>(-C33*1-C34*2+C38*2+C39*1+C41*2.2)/2</f>
        <v>2.1621552736534082</v>
      </c>
      <c r="D35" s="55"/>
      <c r="E35" s="9"/>
      <c r="F35" s="9"/>
      <c r="G35" s="9"/>
      <c r="H35" s="132" t="s">
        <v>909</v>
      </c>
      <c r="I35" s="119">
        <f>(-I33*1-I34*2+I38*2+I39*1+I40*2)/2</f>
        <v>1.2645173655476816</v>
      </c>
      <c r="J35" s="55"/>
      <c r="K35" s="5"/>
      <c r="L35" s="5"/>
    </row>
    <row r="36" spans="2:12">
      <c r="B36" s="308" t="s">
        <v>910</v>
      </c>
      <c r="C36" s="137">
        <f>C41*0.47</f>
        <v>1.0880909027853038</v>
      </c>
      <c r="D36" s="263"/>
      <c r="E36" s="9"/>
      <c r="F36" s="9"/>
      <c r="G36" s="9"/>
      <c r="H36" s="308" t="s">
        <v>910</v>
      </c>
      <c r="I36" s="137">
        <f>I41*0</f>
        <v>0</v>
      </c>
      <c r="J36" s="263"/>
      <c r="K36" s="5"/>
      <c r="L36" s="5"/>
    </row>
    <row r="37" spans="2:12">
      <c r="B37" s="336" t="s">
        <v>175</v>
      </c>
      <c r="C37" s="119"/>
      <c r="D37" s="55"/>
      <c r="E37" s="9"/>
      <c r="F37" s="9"/>
      <c r="G37" s="9"/>
      <c r="H37" s="336" t="s">
        <v>175</v>
      </c>
      <c r="I37" s="119"/>
      <c r="J37" s="55"/>
      <c r="K37" s="5"/>
      <c r="L37" s="5"/>
    </row>
    <row r="38" spans="2:12">
      <c r="B38" s="308" t="s">
        <v>911</v>
      </c>
      <c r="C38" s="137">
        <f>C33+C34-C41*3.67</f>
        <v>15.503630610165818</v>
      </c>
      <c r="D38" s="263"/>
      <c r="E38" s="9"/>
      <c r="F38" s="9"/>
      <c r="G38" s="9"/>
      <c r="H38" s="308" t="s">
        <v>911</v>
      </c>
      <c r="I38" s="137">
        <f>I33+I34-I40*4</f>
        <v>15.346237658264606</v>
      </c>
      <c r="J38" s="263"/>
      <c r="K38" s="5"/>
      <c r="L38" s="5"/>
    </row>
    <row r="39" spans="2:12">
      <c r="B39" s="132" t="s">
        <v>912</v>
      </c>
      <c r="C39" s="119">
        <f>(C33*4+C34*1+C36*3-C41*6.4)/2</f>
        <v>12.223857867129077</v>
      </c>
      <c r="D39" s="55"/>
      <c r="E39" s="9"/>
      <c r="F39" s="9"/>
      <c r="G39" s="9"/>
      <c r="H39" s="132" t="s">
        <v>912</v>
      </c>
      <c r="I39" s="119">
        <f>(I33*4+I34*1+I36*3-I40*6)/2</f>
        <v>11.509678243698454</v>
      </c>
      <c r="J39" s="55"/>
      <c r="K39" s="5"/>
      <c r="L39" s="5"/>
    </row>
    <row r="40" spans="2:12">
      <c r="B40" s="308" t="s">
        <v>141</v>
      </c>
      <c r="C40" s="9">
        <v>0</v>
      </c>
      <c r="D40" s="348">
        <v>-1888</v>
      </c>
      <c r="E40" s="9"/>
      <c r="F40" s="9"/>
      <c r="G40" s="9"/>
      <c r="H40" s="308" t="s">
        <v>141</v>
      </c>
      <c r="I40" s="174">
        <f>D24*('Constants &amp; Conversions'!H20/'Constants &amp; Conversions'!H24)*I33+D25*('Constants &amp; Conversions'!H15/'Constants &amp; Conversions'!H24)*I34</f>
        <v>2.1634405854338485</v>
      </c>
      <c r="J40" s="348">
        <v>-1888</v>
      </c>
      <c r="K40" s="5"/>
      <c r="L40" s="5"/>
    </row>
    <row r="41" spans="2:12">
      <c r="B41" s="132" t="s">
        <v>140</v>
      </c>
      <c r="C41" s="350">
        <f>D22*('Constants &amp; Conversions'!H20/'Constants &amp; Conversions'!H23)*C33+D23*('Constants &amp; Conversions'!H15/'Constants &amp; Conversions'!H23)*'Design Calculations'!C34</f>
        <v>2.3150870272027744</v>
      </c>
      <c r="D41" s="347">
        <v>-2045</v>
      </c>
      <c r="E41" s="9"/>
      <c r="F41" s="9"/>
      <c r="G41" s="9"/>
      <c r="H41" s="132" t="s">
        <v>140</v>
      </c>
      <c r="I41" s="54">
        <v>0</v>
      </c>
      <c r="J41" s="347">
        <v>-2045</v>
      </c>
      <c r="K41" s="5"/>
      <c r="L41" s="5"/>
    </row>
    <row r="42" spans="2:12" ht="17" thickBot="1">
      <c r="B42" s="172" t="s">
        <v>150</v>
      </c>
      <c r="C42" s="139"/>
      <c r="D42" s="349">
        <f>((C33*D33+C34*D34)-(C40*D40+C41*D41))/C41</f>
        <v>-1389.8600750478388</v>
      </c>
      <c r="E42" s="318"/>
      <c r="F42" s="318"/>
      <c r="G42" s="318"/>
      <c r="H42" s="172" t="s">
        <v>150</v>
      </c>
      <c r="I42" s="139"/>
      <c r="J42" s="349">
        <f>((I33*J33+I34*J34)-(I40*J40+I41*J41))/I40</f>
        <v>-1787.626709390466</v>
      </c>
      <c r="K42" s="5"/>
      <c r="L42" s="5"/>
    </row>
    <row r="43" spans="2:12">
      <c r="B43" s="17"/>
      <c r="C43" s="9"/>
      <c r="D43" s="318"/>
      <c r="E43" s="318"/>
      <c r="F43" s="17"/>
      <c r="G43" s="9"/>
      <c r="H43" s="318"/>
      <c r="I43" s="5"/>
      <c r="J43" s="5"/>
    </row>
    <row r="44" spans="2:12">
      <c r="B44" s="17"/>
      <c r="C44" s="9"/>
      <c r="D44" s="318"/>
      <c r="E44" s="318"/>
      <c r="F44" s="17"/>
      <c r="G44" s="9"/>
      <c r="H44" s="318"/>
      <c r="I44" s="5"/>
      <c r="J44" s="5"/>
    </row>
    <row r="45" spans="2:12" ht="26">
      <c r="B45" s="419" t="s">
        <v>707</v>
      </c>
      <c r="C45" s="9"/>
      <c r="D45" s="318"/>
      <c r="E45" s="318"/>
      <c r="F45" s="17"/>
      <c r="G45" s="9"/>
      <c r="H45" s="318"/>
      <c r="I45" s="5"/>
      <c r="J45" s="5"/>
    </row>
    <row r="46" spans="2:12" ht="17" thickBot="1">
      <c r="B46" s="5"/>
      <c r="C46" s="5"/>
      <c r="D46" s="5"/>
      <c r="E46" s="5"/>
      <c r="F46" s="5"/>
      <c r="G46" s="5"/>
      <c r="H46" s="5"/>
    </row>
    <row r="47" spans="2:12" ht="17" thickBot="1">
      <c r="B47" s="114" t="s">
        <v>76</v>
      </c>
      <c r="C47" s="115" t="s">
        <v>643</v>
      </c>
      <c r="D47" s="115" t="s">
        <v>675</v>
      </c>
      <c r="E47" s="116" t="s">
        <v>217</v>
      </c>
      <c r="F47" s="5"/>
      <c r="G47" s="5"/>
      <c r="H47" s="5"/>
      <c r="I47" s="5"/>
    </row>
    <row r="48" spans="2:12">
      <c r="B48" s="153" t="s">
        <v>682</v>
      </c>
      <c r="C48" s="9" t="s">
        <v>157</v>
      </c>
      <c r="D48" s="353">
        <f>(C41*'Constants &amp; Conversions'!H23)/(C33*'Constants &amp; Conversions'!H20+C34*'Constants &amp; Conversions'!H15)</f>
        <v>0.20769380651434124</v>
      </c>
      <c r="E48" s="263" t="s">
        <v>163</v>
      </c>
      <c r="F48" s="5"/>
      <c r="G48" s="5"/>
      <c r="H48" s="5"/>
      <c r="I48" s="5"/>
    </row>
    <row r="49" spans="2:18" ht="17" thickBot="1">
      <c r="B49" s="337" t="s">
        <v>683</v>
      </c>
      <c r="C49" s="130" t="s">
        <v>158</v>
      </c>
      <c r="D49" s="354">
        <f>(I40*'Constants &amp; Conversions'!H24)/(I33*'Constants &amp; Conversions'!H20+I34*'Constants &amp; Conversions'!H15)</f>
        <v>0.18108954788526982</v>
      </c>
      <c r="E49" s="260" t="s">
        <v>164</v>
      </c>
      <c r="F49" s="5"/>
      <c r="G49" s="5"/>
      <c r="H49" s="5"/>
      <c r="I49" s="5"/>
    </row>
    <row r="50" spans="2:18">
      <c r="B50" s="5"/>
      <c r="C50" s="5"/>
      <c r="D50" s="5"/>
      <c r="E50" s="5"/>
      <c r="F50" s="5"/>
      <c r="G50" s="5"/>
      <c r="H50" s="5"/>
    </row>
    <row r="51" spans="2:18">
      <c r="B51" s="9"/>
      <c r="C51" s="5"/>
      <c r="D51" s="5"/>
      <c r="E51" s="5"/>
      <c r="F51" s="5"/>
      <c r="G51" s="5"/>
      <c r="H51" s="5"/>
    </row>
    <row r="52" spans="2:18" ht="26">
      <c r="B52" s="420" t="s">
        <v>166</v>
      </c>
      <c r="C52" s="5"/>
      <c r="D52" s="5"/>
      <c r="E52" s="5"/>
      <c r="F52" s="5"/>
      <c r="G52" s="5"/>
      <c r="H52" s="5"/>
    </row>
    <row r="53" spans="2:18" ht="17" thickBot="1">
      <c r="B53" s="9"/>
      <c r="C53" s="5"/>
      <c r="D53" s="5"/>
      <c r="E53" s="5"/>
      <c r="F53" s="5"/>
      <c r="G53" s="5"/>
      <c r="H53" s="5"/>
    </row>
    <row r="54" spans="2:18" ht="17" thickBot="1">
      <c r="B54" s="114" t="s">
        <v>76</v>
      </c>
      <c r="C54" s="115" t="s">
        <v>218</v>
      </c>
      <c r="D54" s="116" t="s">
        <v>217</v>
      </c>
      <c r="E54" s="5"/>
      <c r="F54" s="5"/>
      <c r="G54" s="5"/>
      <c r="H54" s="5"/>
    </row>
    <row r="55" spans="2:18" ht="17" thickBot="1">
      <c r="B55" s="307" t="s">
        <v>165</v>
      </c>
      <c r="C55" s="357">
        <f>12374*('Summary Table'!H25/'Summary Table'!C111)</f>
        <v>12374</v>
      </c>
      <c r="D55" s="358" t="s">
        <v>167</v>
      </c>
    </row>
    <row r="56" spans="2:18" ht="17" thickBot="1">
      <c r="B56" s="9"/>
    </row>
    <row r="57" spans="2:18" ht="17" thickBot="1">
      <c r="B57" s="114" t="s">
        <v>76</v>
      </c>
      <c r="C57" s="115" t="s">
        <v>218</v>
      </c>
      <c r="D57" s="116" t="s">
        <v>217</v>
      </c>
    </row>
    <row r="58" spans="2:18">
      <c r="B58" s="308" t="s">
        <v>913</v>
      </c>
      <c r="C58" s="344">
        <f>VLOOKUP('Summary Table'!C23,'Scenarios Data'!B14:AR22,38,FALSE)</f>
        <v>6.0603000000000002E-3</v>
      </c>
      <c r="D58" s="28" t="s">
        <v>178</v>
      </c>
    </row>
    <row r="59" spans="2:18">
      <c r="B59" s="132" t="s">
        <v>475</v>
      </c>
      <c r="C59" s="345">
        <f>VLOOKUP('Summary Table'!C23,'Scenarios Data'!B14:AR22,39,FALSE)</f>
        <v>4.2571499999999998E-2</v>
      </c>
      <c r="D59" s="55" t="s">
        <v>178</v>
      </c>
    </row>
    <row r="60" spans="2:18">
      <c r="B60" s="308" t="s">
        <v>914</v>
      </c>
      <c r="C60" s="9">
        <v>0.05</v>
      </c>
      <c r="D60" s="28" t="s">
        <v>178</v>
      </c>
    </row>
    <row r="61" spans="2:18" ht="17" thickBot="1">
      <c r="B61" s="267" t="s">
        <v>177</v>
      </c>
      <c r="C61" s="130">
        <v>4.3999999999999997E-2</v>
      </c>
      <c r="D61" s="260" t="s">
        <v>178</v>
      </c>
    </row>
    <row r="62" spans="2:18">
      <c r="B62" s="9"/>
      <c r="C62" s="9"/>
      <c r="D62" s="5"/>
      <c r="E62" s="9"/>
      <c r="F62" s="5"/>
      <c r="G62" s="5"/>
    </row>
    <row r="63" spans="2:18" ht="17" thickBot="1">
      <c r="E63" s="9"/>
      <c r="F63" s="5"/>
      <c r="G63" s="5"/>
    </row>
    <row r="64" spans="2:18" ht="22" thickBot="1">
      <c r="B64" s="359" t="s">
        <v>181</v>
      </c>
      <c r="C64" s="697" t="s">
        <v>44</v>
      </c>
      <c r="D64" s="697"/>
      <c r="E64" s="697"/>
      <c r="F64" s="699"/>
      <c r="G64" s="303"/>
      <c r="H64" s="359" t="s">
        <v>180</v>
      </c>
      <c r="I64" s="697" t="s">
        <v>44</v>
      </c>
      <c r="J64" s="697"/>
      <c r="K64" s="697"/>
      <c r="L64" s="699"/>
      <c r="M64" s="303"/>
      <c r="N64" s="359" t="s">
        <v>179</v>
      </c>
      <c r="O64" s="697" t="s">
        <v>44</v>
      </c>
      <c r="P64" s="697"/>
      <c r="Q64" s="699"/>
      <c r="R64" s="2"/>
    </row>
    <row r="65" spans="2:17" ht="17" thickBot="1">
      <c r="B65" s="338" t="s">
        <v>137</v>
      </c>
      <c r="C65" s="360" t="s">
        <v>168</v>
      </c>
      <c r="D65" s="360" t="s">
        <v>169</v>
      </c>
      <c r="E65" s="360" t="s">
        <v>170</v>
      </c>
      <c r="F65" s="361" t="s">
        <v>171</v>
      </c>
      <c r="G65" s="9"/>
      <c r="H65" s="338" t="s">
        <v>137</v>
      </c>
      <c r="I65" s="360" t="s">
        <v>168</v>
      </c>
      <c r="J65" s="360" t="s">
        <v>169</v>
      </c>
      <c r="K65" s="360" t="s">
        <v>170</v>
      </c>
      <c r="L65" s="361" t="s">
        <v>171</v>
      </c>
      <c r="M65" s="9"/>
      <c r="N65" s="338" t="s">
        <v>137</v>
      </c>
      <c r="O65" s="360" t="s">
        <v>168</v>
      </c>
      <c r="P65" s="360" t="s">
        <v>169</v>
      </c>
      <c r="Q65" s="361" t="s">
        <v>170</v>
      </c>
    </row>
    <row r="66" spans="2:17">
      <c r="B66" s="42" t="s">
        <v>141</v>
      </c>
      <c r="C66" s="6">
        <f>0</f>
        <v>0</v>
      </c>
      <c r="D66" s="6">
        <f>C66+F66</f>
        <v>0</v>
      </c>
      <c r="E66" s="6">
        <f>F66</f>
        <v>0</v>
      </c>
      <c r="F66" s="313">
        <f>(C40*'Constants &amp; Conversions'!H24)/(C41*'Constants &amp; Conversions'!H23)*E67</f>
        <v>0</v>
      </c>
      <c r="G66" s="5"/>
      <c r="H66" s="42" t="s">
        <v>141</v>
      </c>
      <c r="I66" s="6">
        <f>D66</f>
        <v>0</v>
      </c>
      <c r="J66" s="5">
        <f>C55</f>
        <v>12374</v>
      </c>
      <c r="K66" s="6">
        <f>J66-I66</f>
        <v>12374</v>
      </c>
      <c r="L66" s="313">
        <f>K66</f>
        <v>12374</v>
      </c>
      <c r="M66" s="5"/>
      <c r="N66" s="42" t="s">
        <v>141</v>
      </c>
      <c r="O66" s="6">
        <f>C66</f>
        <v>0</v>
      </c>
      <c r="P66" s="6">
        <f t="shared" ref="P66:P71" si="0">J66</f>
        <v>12374</v>
      </c>
      <c r="Q66" s="313">
        <f>P66-O66</f>
        <v>12374</v>
      </c>
    </row>
    <row r="67" spans="2:17">
      <c r="B67" s="336" t="s">
        <v>140</v>
      </c>
      <c r="C67" s="119">
        <v>0</v>
      </c>
      <c r="D67" s="119">
        <f>C55</f>
        <v>12374</v>
      </c>
      <c r="E67" s="119">
        <f>D67-C67</f>
        <v>12374</v>
      </c>
      <c r="F67" s="362">
        <f>E67</f>
        <v>12374</v>
      </c>
      <c r="G67" s="5"/>
      <c r="H67" s="336" t="s">
        <v>140</v>
      </c>
      <c r="I67" s="119">
        <f>D67</f>
        <v>12374</v>
      </c>
      <c r="J67" s="54">
        <v>0</v>
      </c>
      <c r="K67" s="119">
        <f>J67-I67</f>
        <v>-12374</v>
      </c>
      <c r="L67" s="55">
        <v>0</v>
      </c>
      <c r="M67" s="5"/>
      <c r="N67" s="336" t="s">
        <v>140</v>
      </c>
      <c r="O67" s="119">
        <f>C67</f>
        <v>0</v>
      </c>
      <c r="P67" s="119">
        <f t="shared" si="0"/>
        <v>0</v>
      </c>
      <c r="Q67" s="362">
        <f t="shared" ref="Q67:Q77" si="1">P67-O67</f>
        <v>0</v>
      </c>
    </row>
    <row r="68" spans="2:17">
      <c r="B68" s="42" t="s">
        <v>904</v>
      </c>
      <c r="C68" s="6">
        <f>D68-E68</f>
        <v>7423.945387613905</v>
      </c>
      <c r="D68" s="6">
        <v>0</v>
      </c>
      <c r="E68" s="6">
        <f>-F68</f>
        <v>-7423.945387613905</v>
      </c>
      <c r="F68" s="313">
        <f>(C33*'Constants &amp; Conversions'!H20)/(C41*'Constants &amp; Conversions'!H23)*E67</f>
        <v>7423.945387613905</v>
      </c>
      <c r="G68" s="5"/>
      <c r="H68" s="42" t="s">
        <v>904</v>
      </c>
      <c r="I68" s="5">
        <f>J68-K68</f>
        <v>8514.6133220510419</v>
      </c>
      <c r="J68" s="5">
        <v>0</v>
      </c>
      <c r="K68" s="5">
        <f>-L68</f>
        <v>-8514.6133220510419</v>
      </c>
      <c r="L68" s="28">
        <f>(I33*'Constants &amp; Conversions'!H20)/(I40*'Constants &amp; Conversions'!H24)*K66</f>
        <v>8514.6133220510419</v>
      </c>
      <c r="M68" s="5"/>
      <c r="N68" s="42" t="s">
        <v>904</v>
      </c>
      <c r="O68" s="6">
        <f>C68+I68</f>
        <v>15938.558709664947</v>
      </c>
      <c r="P68" s="6">
        <f t="shared" si="0"/>
        <v>0</v>
      </c>
      <c r="Q68" s="313">
        <f t="shared" si="1"/>
        <v>-15938.558709664947</v>
      </c>
    </row>
    <row r="69" spans="2:17">
      <c r="B69" s="336" t="s">
        <v>138</v>
      </c>
      <c r="C69" s="119">
        <f>D69-E69</f>
        <v>52154.143182617852</v>
      </c>
      <c r="D69" s="119">
        <v>0</v>
      </c>
      <c r="E69" s="119">
        <f>-F69</f>
        <v>-52154.143182617852</v>
      </c>
      <c r="F69" s="362">
        <f>(C34*'Constants &amp; Conversions'!H15)/(C41*'Constants &amp; Conversions'!H23)*E67</f>
        <v>52154.143182617852</v>
      </c>
      <c r="G69" s="5"/>
      <c r="H69" s="336" t="s">
        <v>138</v>
      </c>
      <c r="I69" s="54">
        <f>J69-K69</f>
        <v>59816.221585326428</v>
      </c>
      <c r="J69" s="54">
        <v>0</v>
      </c>
      <c r="K69" s="54">
        <f>-L69</f>
        <v>-59816.221585326428</v>
      </c>
      <c r="L69" s="55">
        <f>(I34*'Constants &amp; Conversions'!H15)/(I40*'Constants &amp; Conversions'!H24)*K66</f>
        <v>59816.221585326428</v>
      </c>
      <c r="M69" s="5"/>
      <c r="N69" s="336" t="s">
        <v>138</v>
      </c>
      <c r="O69" s="119">
        <f>C69+I69</f>
        <v>111970.36476794428</v>
      </c>
      <c r="P69" s="119">
        <f t="shared" si="0"/>
        <v>0</v>
      </c>
      <c r="Q69" s="362">
        <f t="shared" si="1"/>
        <v>-111970.36476794428</v>
      </c>
    </row>
    <row r="70" spans="2:17">
      <c r="B70" s="42" t="s">
        <v>139</v>
      </c>
      <c r="C70" s="6">
        <f>D70-E70</f>
        <v>78789.053366956752</v>
      </c>
      <c r="D70" s="6">
        <v>0</v>
      </c>
      <c r="E70" s="6">
        <f>-F70</f>
        <v>-78789.053366956752</v>
      </c>
      <c r="F70" s="313">
        <f>('Constants &amp; Conversions'!H16/'Constants &amp; Conversions'!H15)*F69</f>
        <v>78789.053366956752</v>
      </c>
      <c r="G70" s="5"/>
      <c r="H70" s="42" t="s">
        <v>139</v>
      </c>
      <c r="I70" s="5">
        <f>J70-K70</f>
        <v>90364.124249801054</v>
      </c>
      <c r="J70" s="5">
        <v>0</v>
      </c>
      <c r="K70" s="5">
        <f>-L70</f>
        <v>-90364.124249801054</v>
      </c>
      <c r="L70" s="28">
        <f>('Constants &amp; Conversions'!H16/'Constants &amp; Conversions'!H15)*L69</f>
        <v>90364.124249801054</v>
      </c>
      <c r="M70" s="5"/>
      <c r="N70" s="42" t="s">
        <v>139</v>
      </c>
      <c r="O70" s="6">
        <f>C70+I70</f>
        <v>169153.17761675781</v>
      </c>
      <c r="P70" s="6">
        <f t="shared" si="0"/>
        <v>0</v>
      </c>
      <c r="Q70" s="313">
        <f t="shared" si="1"/>
        <v>-169153.17761675781</v>
      </c>
    </row>
    <row r="71" spans="2:17">
      <c r="B71" s="336" t="s">
        <v>183</v>
      </c>
      <c r="C71" s="119">
        <f>0.03*E67</f>
        <v>371.21999999999997</v>
      </c>
      <c r="D71" s="119">
        <v>0</v>
      </c>
      <c r="E71" s="119">
        <f>D71-C71</f>
        <v>-371.21999999999997</v>
      </c>
      <c r="F71" s="362">
        <f>-E71</f>
        <v>371.21999999999997</v>
      </c>
      <c r="G71" s="5"/>
      <c r="H71" s="336" t="s">
        <v>183</v>
      </c>
      <c r="I71" s="119">
        <f>D71</f>
        <v>0</v>
      </c>
      <c r="J71" s="54">
        <f>0</f>
        <v>0</v>
      </c>
      <c r="K71" s="119">
        <f>J71-I71</f>
        <v>0</v>
      </c>
      <c r="L71" s="362">
        <f>K71</f>
        <v>0</v>
      </c>
      <c r="M71" s="5"/>
      <c r="N71" s="336" t="s">
        <v>183</v>
      </c>
      <c r="O71" s="119">
        <f>C71</f>
        <v>371.21999999999997</v>
      </c>
      <c r="P71" s="119">
        <f t="shared" si="0"/>
        <v>0</v>
      </c>
      <c r="Q71" s="362">
        <f t="shared" si="1"/>
        <v>-371.21999999999997</v>
      </c>
    </row>
    <row r="72" spans="2:17">
      <c r="B72" s="42" t="s">
        <v>172</v>
      </c>
      <c r="C72" s="6">
        <f>F72-D72</f>
        <v>494.96000000000004</v>
      </c>
      <c r="D72" s="6">
        <v>0</v>
      </c>
      <c r="E72" s="6">
        <f>-F72</f>
        <v>-494.96000000000004</v>
      </c>
      <c r="F72" s="313">
        <f>0.04*E67</f>
        <v>494.96000000000004</v>
      </c>
      <c r="G72" s="5"/>
      <c r="H72" s="42" t="s">
        <v>172</v>
      </c>
      <c r="I72" s="6">
        <f>D72</f>
        <v>0</v>
      </c>
      <c r="J72" s="5">
        <v>0</v>
      </c>
      <c r="K72" s="6">
        <f>I72-J72</f>
        <v>0</v>
      </c>
      <c r="L72" s="313">
        <f>K72</f>
        <v>0</v>
      </c>
      <c r="M72" s="5"/>
      <c r="N72" s="42" t="s">
        <v>172</v>
      </c>
      <c r="O72" s="6">
        <f>C71</f>
        <v>371.21999999999997</v>
      </c>
      <c r="P72" s="6">
        <f>K72</f>
        <v>0</v>
      </c>
      <c r="Q72" s="313">
        <f t="shared" si="1"/>
        <v>-371.21999999999997</v>
      </c>
    </row>
    <row r="73" spans="2:17">
      <c r="B73" s="336" t="s">
        <v>905</v>
      </c>
      <c r="C73" s="119">
        <f>D73-E73</f>
        <v>1073.4642806979516</v>
      </c>
      <c r="D73" s="119">
        <v>0</v>
      </c>
      <c r="E73" s="119">
        <f>-F73</f>
        <v>-1073.4642806979516</v>
      </c>
      <c r="F73" s="362">
        <f>(C36*'Constants &amp; Conversions'!H22)/(C41*'Constants &amp; Conversions'!H23)*E67</f>
        <v>1073.4642806979516</v>
      </c>
      <c r="G73" s="5"/>
      <c r="H73" s="336" t="s">
        <v>905</v>
      </c>
      <c r="I73" s="118">
        <f>L73</f>
        <v>0</v>
      </c>
      <c r="J73" s="118">
        <v>0</v>
      </c>
      <c r="K73" s="118">
        <f>-L73</f>
        <v>0</v>
      </c>
      <c r="L73" s="55">
        <f>(I36*'Constants &amp; Conversions'!H22)/(I40*'Constants &amp; Conversions'!H24)*E67</f>
        <v>0</v>
      </c>
      <c r="M73" s="5"/>
      <c r="N73" s="336" t="s">
        <v>905</v>
      </c>
      <c r="O73" s="119">
        <f>C73+I73</f>
        <v>1073.4642806979516</v>
      </c>
      <c r="P73" s="119">
        <f>J73</f>
        <v>0</v>
      </c>
      <c r="Q73" s="362">
        <f t="shared" si="1"/>
        <v>-1073.4642806979516</v>
      </c>
    </row>
    <row r="74" spans="2:17">
      <c r="B74" s="42" t="s">
        <v>173</v>
      </c>
      <c r="C74" s="6">
        <v>0</v>
      </c>
      <c r="D74" s="6">
        <f>C74+E74</f>
        <v>0</v>
      </c>
      <c r="E74" s="6">
        <f>F74</f>
        <v>0</v>
      </c>
      <c r="F74" s="313">
        <v>0</v>
      </c>
      <c r="G74" s="5"/>
      <c r="H74" s="42" t="s">
        <v>173</v>
      </c>
      <c r="I74" s="6">
        <f>D74</f>
        <v>0</v>
      </c>
      <c r="J74" s="5">
        <f>J66</f>
        <v>12374</v>
      </c>
      <c r="K74" s="6">
        <f>J74-I74</f>
        <v>12374</v>
      </c>
      <c r="L74" s="28">
        <v>0</v>
      </c>
      <c r="M74" s="5"/>
      <c r="N74" s="42" t="s">
        <v>173</v>
      </c>
      <c r="O74" s="6">
        <f>C74+I74</f>
        <v>0</v>
      </c>
      <c r="P74" s="6">
        <f>J74</f>
        <v>12374</v>
      </c>
      <c r="Q74" s="313">
        <f t="shared" si="1"/>
        <v>12374</v>
      </c>
    </row>
    <row r="75" spans="2:17">
      <c r="B75" s="336" t="s">
        <v>68</v>
      </c>
      <c r="C75" s="119">
        <f>IF(C58=0,((1-C59)*C69-C59*C68)/C59,((1-C58)*C68-C58*C69)/C58)</f>
        <v>1165434.7635350937</v>
      </c>
      <c r="D75" s="119">
        <f>C75+E75</f>
        <v>1178191.0665700957</v>
      </c>
      <c r="E75" s="119">
        <f>F75</f>
        <v>12756.303035001938</v>
      </c>
      <c r="F75" s="362">
        <f>(C39*'Constants &amp; Conversions'!H19)/(C41*'Constants &amp; Conversions'!H23)*E67</f>
        <v>12756.303035001938</v>
      </c>
      <c r="G75" s="5"/>
      <c r="H75" s="336" t="s">
        <v>68</v>
      </c>
      <c r="I75" s="54">
        <f>IF(C58=0,((1-C59)*I69-C59*I68)/C59+D75,((1-C58)*I68-C58*I69)/C58+D75)</f>
        <v>2514842.3813997018</v>
      </c>
      <c r="J75" s="54">
        <f>I75+K75</f>
        <v>2528617.9610002735</v>
      </c>
      <c r="K75" s="54">
        <f>L75</f>
        <v>13775.579600571793</v>
      </c>
      <c r="L75" s="55">
        <f>(I39*'Constants &amp; Conversions'!H19)/(I40*'Constants &amp; Conversions'!H24)*K66</f>
        <v>13775.579600571793</v>
      </c>
      <c r="M75" s="5"/>
      <c r="N75" s="336" t="s">
        <v>68</v>
      </c>
      <c r="O75" s="119">
        <f>I75-E75</f>
        <v>2502086.0783647001</v>
      </c>
      <c r="P75" s="119">
        <f>J75</f>
        <v>2528617.9610002735</v>
      </c>
      <c r="Q75" s="362">
        <f t="shared" si="1"/>
        <v>26531.882635573391</v>
      </c>
    </row>
    <row r="76" spans="2:17">
      <c r="B76" s="42" t="s">
        <v>906</v>
      </c>
      <c r="C76" s="6">
        <f>IF(C35&gt;0,F76/0.85,1000)</f>
        <v>4715.0535521218562</v>
      </c>
      <c r="D76" s="6">
        <f>C76-F76</f>
        <v>707.25803281827848</v>
      </c>
      <c r="E76" s="6">
        <f>-F76</f>
        <v>-4007.7955193035777</v>
      </c>
      <c r="F76" s="313">
        <f>(C35*'Constants &amp; Conversions'!H17)/(C41*'Constants &amp; Conversions'!H23)*E67</f>
        <v>4007.7955193035777</v>
      </c>
      <c r="G76" s="5"/>
      <c r="H76" s="42" t="s">
        <v>906</v>
      </c>
      <c r="I76" s="6">
        <f>IF(I35&gt;0, L76/0.85,1000)</f>
        <v>3162.6760495761087</v>
      </c>
      <c r="J76" s="6">
        <f>I76-L76</f>
        <v>474.40140743641632</v>
      </c>
      <c r="K76" s="6">
        <f>-L76</f>
        <v>-2688.2746421396923</v>
      </c>
      <c r="L76" s="28">
        <f>(I35*'Constants &amp; Conversions'!H17)/(I40*'Constants &amp; Conversions'!H24)*K66</f>
        <v>2688.2746421396923</v>
      </c>
      <c r="M76" s="5"/>
      <c r="N76" s="42" t="s">
        <v>906</v>
      </c>
      <c r="O76" s="6">
        <f t="shared" ref="O76:P78" si="2">C76+I76</f>
        <v>7877.7296016979653</v>
      </c>
      <c r="P76" s="6">
        <f t="shared" si="2"/>
        <v>1181.6594402546948</v>
      </c>
      <c r="Q76" s="313">
        <f t="shared" si="1"/>
        <v>-6696.070161443271</v>
      </c>
    </row>
    <row r="77" spans="2:17">
      <c r="B77" s="336" t="s">
        <v>907</v>
      </c>
      <c r="C77" s="119">
        <v>0</v>
      </c>
      <c r="D77" s="119">
        <f>C77+E77</f>
        <v>39524.56060621448</v>
      </c>
      <c r="E77" s="119">
        <f>F77</f>
        <v>39524.56060621448</v>
      </c>
      <c r="F77" s="362">
        <f>(C38*'Constants &amp; Conversions'!H21)/(C41*'Constants &amp; Conversions'!H23)*E67</f>
        <v>39524.56060621448</v>
      </c>
      <c r="G77" s="5"/>
      <c r="H77" s="336" t="s">
        <v>907</v>
      </c>
      <c r="I77" s="119">
        <v>0</v>
      </c>
      <c r="J77" s="119">
        <f>I77+K77</f>
        <v>44870.997000363743</v>
      </c>
      <c r="K77" s="119">
        <f>L77</f>
        <v>44870.997000363743</v>
      </c>
      <c r="L77" s="55">
        <f>(I38*'Constants &amp; Conversions'!H21)/(I40*'Constants &amp; Conversions'!H24)*K66</f>
        <v>44870.997000363743</v>
      </c>
      <c r="M77" s="5"/>
      <c r="N77" s="336" t="s">
        <v>907</v>
      </c>
      <c r="O77" s="119">
        <f t="shared" si="2"/>
        <v>0</v>
      </c>
      <c r="P77" s="119">
        <f t="shared" si="2"/>
        <v>84395.557606578222</v>
      </c>
      <c r="Q77" s="362">
        <f t="shared" si="1"/>
        <v>84395.557606578222</v>
      </c>
    </row>
    <row r="78" spans="2:17" ht="17" thickBot="1">
      <c r="B78" s="43" t="s">
        <v>176</v>
      </c>
      <c r="C78" s="109">
        <f>SUM(C76:C77)</f>
        <v>4715.0535521218562</v>
      </c>
      <c r="D78" s="109">
        <f>SUM(D76:D77)</f>
        <v>40231.818639032761</v>
      </c>
      <c r="E78" s="30"/>
      <c r="F78" s="31"/>
      <c r="G78" s="5"/>
      <c r="H78" s="43" t="s">
        <v>176</v>
      </c>
      <c r="I78" s="109">
        <f>SUM(I76:I77)</f>
        <v>3162.6760495761087</v>
      </c>
      <c r="J78" s="109">
        <f>SUM(J76:J77)</f>
        <v>45345.398407800159</v>
      </c>
      <c r="K78" s="30"/>
      <c r="L78" s="31"/>
      <c r="M78" s="5"/>
      <c r="N78" s="43" t="s">
        <v>176</v>
      </c>
      <c r="O78" s="109">
        <f t="shared" si="2"/>
        <v>7877.7296016979653</v>
      </c>
      <c r="P78" s="109">
        <f t="shared" si="2"/>
        <v>85577.217046832928</v>
      </c>
      <c r="Q78" s="314"/>
    </row>
    <row r="81" spans="2:16" ht="26">
      <c r="B81" s="420" t="s">
        <v>688</v>
      </c>
      <c r="P81" s="4"/>
    </row>
    <row r="82" spans="2:16" ht="17" thickBot="1"/>
    <row r="83" spans="2:16" ht="22" thickBot="1">
      <c r="B83" s="721" t="s">
        <v>5</v>
      </c>
      <c r="C83" s="697"/>
      <c r="D83" s="697"/>
      <c r="E83" s="699"/>
      <c r="F83" s="325"/>
      <c r="G83" s="231"/>
      <c r="H83" s="721" t="s">
        <v>6</v>
      </c>
      <c r="I83" s="697"/>
      <c r="J83" s="697"/>
      <c r="K83" s="699"/>
      <c r="L83" s="9"/>
    </row>
    <row r="84" spans="2:16" ht="17" thickBot="1">
      <c r="B84" s="338" t="s">
        <v>250</v>
      </c>
      <c r="C84" s="360" t="s">
        <v>251</v>
      </c>
      <c r="D84" s="360" t="s">
        <v>252</v>
      </c>
      <c r="E84" s="361" t="s">
        <v>253</v>
      </c>
      <c r="F84" s="17"/>
      <c r="G84" s="17"/>
      <c r="H84" s="338" t="s">
        <v>250</v>
      </c>
      <c r="I84" s="360" t="s">
        <v>251</v>
      </c>
      <c r="J84" s="360" t="s">
        <v>252</v>
      </c>
      <c r="K84" s="361" t="s">
        <v>253</v>
      </c>
      <c r="L84" s="9"/>
    </row>
    <row r="85" spans="2:16">
      <c r="B85" s="42" t="s">
        <v>915</v>
      </c>
      <c r="C85" s="8">
        <f>D42</f>
        <v>-1389.8600750478388</v>
      </c>
      <c r="D85" s="6">
        <f>E67</f>
        <v>12374</v>
      </c>
      <c r="E85" s="313">
        <f>ABS(C85)*(D85/'Constants &amp; Conversions'!H23)*'Constants &amp; Conversions'!D28/'Constants &amp; Conversions'!D22/'Constants &amp; Conversions'!D28</f>
        <v>51.774769001125804</v>
      </c>
      <c r="F85" s="137"/>
      <c r="G85" s="137"/>
      <c r="H85" s="42" t="s">
        <v>915</v>
      </c>
      <c r="I85" s="8">
        <f>D42</f>
        <v>-1389.8600750478388</v>
      </c>
      <c r="J85" s="5">
        <f>L67</f>
        <v>0</v>
      </c>
      <c r="K85" s="28">
        <f>ABS(I85)*(J85/'Constants &amp; Conversions'!H23)*'Constants &amp; Conversions'!D28/'Constants &amp; Conversions'!D22/'Constants &amp; Conversions'!D28</f>
        <v>0</v>
      </c>
      <c r="L85" s="5"/>
    </row>
    <row r="86" spans="2:16">
      <c r="B86" s="336" t="s">
        <v>916</v>
      </c>
      <c r="C86" s="363">
        <f>J42</f>
        <v>-1787.626709390466</v>
      </c>
      <c r="D86" s="119">
        <f>E66</f>
        <v>0</v>
      </c>
      <c r="E86" s="362">
        <f>ABS(C86)*(D86/'Constants &amp; Conversions'!H24)*'Constants &amp; Conversions'!D28/'Constants &amp; Conversions'!D22/'Constants &amp; Conversions'!D28</f>
        <v>0</v>
      </c>
      <c r="F86" s="6"/>
      <c r="G86" s="137"/>
      <c r="H86" s="336" t="s">
        <v>916</v>
      </c>
      <c r="I86" s="363">
        <f>J42</f>
        <v>-1787.626709390466</v>
      </c>
      <c r="J86" s="119">
        <f>K66</f>
        <v>12374</v>
      </c>
      <c r="K86" s="362">
        <f>ABS(I86)*(J86/'Constants &amp; Conversions'!H24)*'Constants &amp; Conversions'!D28/'Constants &amp; Conversions'!D22/'Constants &amp; Conversions'!D28</f>
        <v>71.37263620112553</v>
      </c>
      <c r="L86" s="5"/>
    </row>
    <row r="87" spans="2:16">
      <c r="B87" s="42" t="s">
        <v>917</v>
      </c>
      <c r="C87" s="5">
        <f>-2045</f>
        <v>-2045</v>
      </c>
      <c r="D87" s="6">
        <f>E74</f>
        <v>0</v>
      </c>
      <c r="E87" s="313">
        <f>ABS(C87)*(D87/'Constants &amp; Conversions'!H23)*'Constants &amp; Conversions'!D28/'Constants &amp; Conversions'!D22/'Constants &amp; Conversions'!D28</f>
        <v>0</v>
      </c>
      <c r="F87" s="6"/>
      <c r="G87" s="137"/>
      <c r="H87" s="42" t="s">
        <v>917</v>
      </c>
      <c r="I87" s="5">
        <f>-2045</f>
        <v>-2045</v>
      </c>
      <c r="J87" s="6">
        <f>K74</f>
        <v>12374</v>
      </c>
      <c r="K87" s="313">
        <f>ABS(I87)*(J87/'Constants &amp; Conversions'!H23)*'Constants &amp; Conversions'!D28/'Constants &amp; Conversions'!D22/'Constants &amp; Conversions'!D28</f>
        <v>76.179900774297664</v>
      </c>
      <c r="L87" s="5"/>
    </row>
    <row r="88" spans="2:16" ht="17" thickBot="1">
      <c r="B88" s="337" t="s">
        <v>684</v>
      </c>
      <c r="C88" s="130"/>
      <c r="D88" s="130"/>
      <c r="E88" s="364">
        <f>SUM(E85:E87)</f>
        <v>51.774769001125804</v>
      </c>
      <c r="F88" s="6"/>
      <c r="G88" s="137"/>
      <c r="H88" s="337" t="s">
        <v>684</v>
      </c>
      <c r="I88" s="130"/>
      <c r="J88" s="130"/>
      <c r="K88" s="364">
        <f>SUM(K85:K87)</f>
        <v>147.55253697542321</v>
      </c>
      <c r="L88" s="5"/>
    </row>
    <row r="89" spans="2:16">
      <c r="B89" s="17"/>
      <c r="C89" s="9"/>
      <c r="D89" s="9"/>
      <c r="E89" s="174"/>
      <c r="F89" s="137"/>
      <c r="G89" s="137"/>
      <c r="H89" s="17"/>
      <c r="I89" s="9"/>
      <c r="J89" s="9"/>
      <c r="K89" s="174"/>
      <c r="L89" s="9"/>
    </row>
    <row r="91" spans="2:16" ht="26">
      <c r="B91" s="418" t="s">
        <v>182</v>
      </c>
    </row>
    <row r="92" spans="2:16" ht="17" thickBot="1"/>
    <row r="93" spans="2:16" ht="17" thickBot="1">
      <c r="B93" s="341" t="s">
        <v>76</v>
      </c>
      <c r="C93" s="355" t="s">
        <v>218</v>
      </c>
      <c r="D93" s="356" t="s">
        <v>217</v>
      </c>
    </row>
    <row r="94" spans="2:16">
      <c r="B94" s="26" t="s">
        <v>184</v>
      </c>
      <c r="C94" s="365">
        <v>800</v>
      </c>
      <c r="D94" s="33" t="s">
        <v>43</v>
      </c>
    </row>
    <row r="95" spans="2:16">
      <c r="B95" s="132" t="s">
        <v>186</v>
      </c>
      <c r="C95" s="350">
        <f>C69/(C70/'Constants &amp; Conversions'!R25+C68/'Constants &amp; Conversions'!R24+C75/'Constants &amp; Conversions'!R23)*D23+C68/(C70/'Constants &amp; Conversions'!R25+C68/'Constants &amp; Conversions'!R24+C75/'Constants &amp; Conversions'!R23)*D22</f>
        <v>10.107161553207238</v>
      </c>
      <c r="D95" s="55" t="s">
        <v>185</v>
      </c>
    </row>
    <row r="96" spans="2:16">
      <c r="B96" s="27" t="s">
        <v>187</v>
      </c>
      <c r="C96" s="159">
        <f>I69/(I70/'Constants &amp; Conversions'!R25+I68/'Constants &amp; Conversions'!R24+I75/'Constants &amp; Conversions'!R23)*D25+I68/(I70/'Constants &amp; Conversions'!R25+I68/'Constants &amp; Conversions'!R24+I75/'Constants &amp; Conversions'!R23)*D24+I67/(I70/'Constants &amp; Conversions'!R25+I68/'Constants &amp; Conversions'!R24+I75/'Constants &amp; Conversions'!R23)</f>
        <v>9.552856754303118</v>
      </c>
      <c r="D96" s="28" t="s">
        <v>185</v>
      </c>
    </row>
    <row r="97" spans="1:9">
      <c r="B97" s="132" t="s">
        <v>1134</v>
      </c>
      <c r="C97" s="345">
        <f>'Summary Table'!H36</f>
        <v>0.2</v>
      </c>
      <c r="D97" s="55" t="s">
        <v>188</v>
      </c>
    </row>
    <row r="98" spans="1:9">
      <c r="B98" s="27" t="s">
        <v>190</v>
      </c>
      <c r="C98" s="607">
        <v>5</v>
      </c>
      <c r="D98" s="28" t="s">
        <v>189</v>
      </c>
    </row>
    <row r="99" spans="1:9">
      <c r="B99" s="132" t="s">
        <v>1132</v>
      </c>
      <c r="C99" s="367">
        <f>2/3</f>
        <v>0.66666666666666663</v>
      </c>
      <c r="D99" s="55" t="s">
        <v>189</v>
      </c>
    </row>
    <row r="100" spans="1:9" ht="17" thickBot="1">
      <c r="B100" s="29" t="s">
        <v>191</v>
      </c>
      <c r="C100" s="612">
        <f>C98</f>
        <v>5</v>
      </c>
      <c r="D100" s="31" t="s">
        <v>189</v>
      </c>
    </row>
    <row r="101" spans="1:9">
      <c r="B101" s="5"/>
      <c r="C101" s="366"/>
      <c r="D101" s="5"/>
    </row>
    <row r="103" spans="1:9" ht="21">
      <c r="B103" s="316" t="s">
        <v>192</v>
      </c>
      <c r="C103" s="5"/>
      <c r="D103" s="5"/>
      <c r="E103" s="5"/>
      <c r="F103" s="5"/>
    </row>
    <row r="104" spans="1:9" ht="17" thickBot="1">
      <c r="B104" s="14"/>
      <c r="C104" s="11"/>
      <c r="D104" s="5"/>
      <c r="E104" s="5"/>
      <c r="F104" s="5"/>
    </row>
    <row r="105" spans="1:9" s="10" customFormat="1" ht="22" thickBot="1">
      <c r="B105" s="723" t="s">
        <v>193</v>
      </c>
      <c r="C105" s="724"/>
      <c r="D105" s="11"/>
      <c r="E105" s="11"/>
      <c r="F105" s="11"/>
      <c r="H105" s="723" t="s">
        <v>199</v>
      </c>
      <c r="I105" s="724"/>
    </row>
    <row r="106" spans="1:9">
      <c r="B106" s="728" t="s">
        <v>691</v>
      </c>
      <c r="C106" s="729"/>
      <c r="D106" s="328"/>
      <c r="E106" s="328"/>
      <c r="F106" s="328"/>
      <c r="G106" s="11"/>
      <c r="H106" s="728" t="s">
        <v>691</v>
      </c>
      <c r="I106" s="729"/>
    </row>
    <row r="107" spans="1:9">
      <c r="B107" s="731" t="s">
        <v>194</v>
      </c>
      <c r="C107" s="732"/>
      <c r="D107" s="329"/>
      <c r="E107" s="329"/>
      <c r="F107" s="329"/>
      <c r="G107" s="12"/>
      <c r="H107" s="726" t="s">
        <v>194</v>
      </c>
      <c r="I107" s="727"/>
    </row>
    <row r="108" spans="1:9">
      <c r="A108" s="5"/>
      <c r="B108" s="733" t="s">
        <v>692</v>
      </c>
      <c r="C108" s="714"/>
      <c r="D108" s="327"/>
      <c r="E108" s="327"/>
      <c r="F108" s="327"/>
      <c r="G108" s="11"/>
      <c r="H108" s="725" t="s">
        <v>200</v>
      </c>
      <c r="I108" s="712"/>
    </row>
    <row r="109" spans="1:9" ht="17" thickBot="1">
      <c r="A109" s="5"/>
      <c r="B109" s="370"/>
      <c r="C109" s="371"/>
      <c r="D109" s="327"/>
      <c r="E109" s="327"/>
      <c r="F109" s="327"/>
      <c r="G109" s="11"/>
      <c r="H109" s="375"/>
      <c r="I109" s="376"/>
    </row>
    <row r="110" spans="1:9">
      <c r="A110" s="5"/>
      <c r="B110" s="153" t="s">
        <v>142</v>
      </c>
      <c r="C110" s="263"/>
      <c r="D110" s="9"/>
      <c r="E110" s="9"/>
      <c r="F110" s="9"/>
      <c r="G110" s="5"/>
      <c r="H110" s="42" t="s">
        <v>1136</v>
      </c>
      <c r="I110" s="28"/>
    </row>
    <row r="111" spans="1:9">
      <c r="A111" s="5"/>
      <c r="B111" s="132" t="s">
        <v>693</v>
      </c>
      <c r="C111" s="384">
        <f>(E67+E71+E72)*C98/C99</f>
        <v>86308.650000000009</v>
      </c>
      <c r="D111" s="137"/>
      <c r="E111" s="137"/>
      <c r="F111" s="137"/>
      <c r="G111" s="5"/>
      <c r="H111" s="132" t="s">
        <v>198</v>
      </c>
      <c r="I111" s="384">
        <f>MIN((K66+K74)*C100,2*(C98)*E67)</f>
        <v>123740</v>
      </c>
    </row>
    <row r="112" spans="1:9">
      <c r="A112" s="5"/>
      <c r="B112" s="308" t="s">
        <v>195</v>
      </c>
      <c r="C112" s="385">
        <f>(C111/C97)/((1/(EXP((C98-C99)*C97)-1))-(EXP(C98*C97)/(EXP((C98-C99)*C97)-EXP(C98*C97))))</f>
        <v>49396.637607336561</v>
      </c>
      <c r="D112" s="9"/>
      <c r="E112" s="9"/>
      <c r="F112" s="9"/>
      <c r="G112" s="5"/>
      <c r="H112" s="153" t="s">
        <v>703</v>
      </c>
      <c r="I112" s="387">
        <f>I111/C96</f>
        <v>12953.193288935363</v>
      </c>
    </row>
    <row r="113" spans="1:10" ht="17" thickBot="1">
      <c r="A113" s="5"/>
      <c r="B113" s="132" t="s">
        <v>196</v>
      </c>
      <c r="C113" s="384">
        <f>C112/(EXP((C98-C99)*C97)-EXP(C98*C97))</f>
        <v>-145577.91090341841</v>
      </c>
      <c r="D113" s="9"/>
      <c r="E113" s="9"/>
      <c r="F113" s="9"/>
      <c r="G113" s="5"/>
      <c r="H113" s="337" t="s">
        <v>246</v>
      </c>
      <c r="I113" s="374">
        <f>ROUNDUP(I112/C94,0)</f>
        <v>17</v>
      </c>
    </row>
    <row r="114" spans="1:10">
      <c r="A114" s="5"/>
      <c r="B114" s="308" t="s">
        <v>197</v>
      </c>
      <c r="C114" s="385">
        <f>C112/(EXP((C98-C99)*C97)-1)</f>
        <v>35821.460166207842</v>
      </c>
      <c r="D114" s="9"/>
      <c r="E114" s="9"/>
      <c r="F114" s="9"/>
      <c r="G114" s="5"/>
      <c r="H114" s="5"/>
      <c r="I114" s="5"/>
    </row>
    <row r="115" spans="1:10">
      <c r="B115" s="132"/>
      <c r="C115" s="384"/>
      <c r="D115" s="9"/>
      <c r="E115" s="9"/>
      <c r="F115" s="9"/>
      <c r="G115" s="5"/>
      <c r="H115" s="5"/>
      <c r="I115" s="5"/>
    </row>
    <row r="116" spans="1:10">
      <c r="B116" s="153" t="s">
        <v>1135</v>
      </c>
      <c r="C116" s="385"/>
      <c r="D116" s="9"/>
      <c r="E116" s="9"/>
      <c r="F116" s="9"/>
      <c r="G116" s="5"/>
      <c r="H116" s="5"/>
      <c r="I116" s="5"/>
    </row>
    <row r="117" spans="1:10">
      <c r="B117" s="132" t="s">
        <v>198</v>
      </c>
      <c r="C117" s="386">
        <f>C114*EXP((C98-C99)*C97)</f>
        <v>85218.097773544403</v>
      </c>
      <c r="D117" s="9"/>
      <c r="E117" s="9"/>
      <c r="F117" s="9"/>
      <c r="G117" s="5"/>
      <c r="H117" s="5"/>
      <c r="I117" s="5"/>
    </row>
    <row r="118" spans="1:10">
      <c r="B118" s="153" t="s">
        <v>703</v>
      </c>
      <c r="C118" s="387">
        <f>C117/C95</f>
        <v>8431.4569748321392</v>
      </c>
      <c r="D118" s="9"/>
      <c r="E118" s="9"/>
      <c r="F118" s="9"/>
      <c r="G118" s="5"/>
      <c r="H118" s="5"/>
      <c r="I118" s="5"/>
    </row>
    <row r="119" spans="1:10" ht="17" thickBot="1">
      <c r="B119" s="337" t="s">
        <v>246</v>
      </c>
      <c r="C119" s="374">
        <f>ROUNDUP(C118/C94,0)</f>
        <v>11</v>
      </c>
      <c r="D119" s="9"/>
      <c r="E119" s="9"/>
      <c r="F119" s="9"/>
      <c r="G119" s="5"/>
      <c r="H119" s="5"/>
      <c r="I119" s="5"/>
    </row>
    <row r="120" spans="1:10">
      <c r="B120" s="5"/>
      <c r="C120" s="5"/>
      <c r="D120" s="5"/>
      <c r="E120" s="5"/>
      <c r="F120" s="5"/>
    </row>
    <row r="121" spans="1:10">
      <c r="B121" s="5"/>
      <c r="C121" s="5"/>
    </row>
    <row r="122" spans="1:10" ht="21">
      <c r="B122" s="231" t="s">
        <v>1137</v>
      </c>
      <c r="C122" s="5"/>
      <c r="D122" s="5"/>
      <c r="E122" s="5"/>
      <c r="F122" s="5"/>
      <c r="G122" s="5"/>
      <c r="H122" s="5"/>
    </row>
    <row r="123" spans="1:10" s="10" customFormat="1" ht="17" thickBot="1">
      <c r="B123" s="17"/>
      <c r="C123" s="11"/>
      <c r="D123" s="11"/>
      <c r="E123" s="11"/>
      <c r="F123" s="11"/>
      <c r="G123" s="11"/>
      <c r="H123" s="11"/>
    </row>
    <row r="124" spans="1:10" ht="22" thickBot="1">
      <c r="B124" s="721" t="s">
        <v>1138</v>
      </c>
      <c r="C124" s="697"/>
      <c r="D124" s="699"/>
      <c r="E124" s="5"/>
      <c r="F124" s="5"/>
      <c r="G124" s="5"/>
      <c r="H124" s="721" t="s">
        <v>1139</v>
      </c>
      <c r="I124" s="697"/>
      <c r="J124" s="699"/>
    </row>
    <row r="125" spans="1:10" s="10" customFormat="1" ht="17" thickBot="1">
      <c r="B125" s="402" t="s">
        <v>216</v>
      </c>
      <c r="C125" s="106" t="s">
        <v>218</v>
      </c>
      <c r="D125" s="107" t="s">
        <v>217</v>
      </c>
      <c r="E125" s="11"/>
      <c r="F125" s="11"/>
      <c r="G125" s="11"/>
      <c r="H125" s="402" t="s">
        <v>216</v>
      </c>
      <c r="I125" s="106" t="s">
        <v>218</v>
      </c>
      <c r="J125" s="107" t="s">
        <v>217</v>
      </c>
    </row>
    <row r="126" spans="1:10">
      <c r="B126" s="310" t="s">
        <v>1142</v>
      </c>
      <c r="C126" s="32">
        <f>'Constants &amp; Conversions'!R23</f>
        <v>993</v>
      </c>
      <c r="D126" s="33" t="s">
        <v>202</v>
      </c>
      <c r="E126" s="5"/>
      <c r="F126" s="5"/>
      <c r="G126" s="5"/>
      <c r="H126" s="310" t="s">
        <v>1142</v>
      </c>
      <c r="I126" s="32">
        <f>'Constants &amp; Conversions'!R23</f>
        <v>993</v>
      </c>
      <c r="J126" s="33" t="s">
        <v>202</v>
      </c>
    </row>
    <row r="127" spans="1:10">
      <c r="B127" s="132" t="s">
        <v>1141</v>
      </c>
      <c r="C127" s="54">
        <f>'Constants &amp; Conversions'!R24</f>
        <v>773.8</v>
      </c>
      <c r="D127" s="55" t="s">
        <v>202</v>
      </c>
      <c r="E127" s="5"/>
      <c r="F127" s="5"/>
      <c r="G127" s="5"/>
      <c r="H127" s="132" t="s">
        <v>1141</v>
      </c>
      <c r="I127" s="54">
        <f>'Constants &amp; Conversions'!R24</f>
        <v>773.8</v>
      </c>
      <c r="J127" s="55" t="s">
        <v>202</v>
      </c>
    </row>
    <row r="128" spans="1:10">
      <c r="B128" s="308" t="s">
        <v>1140</v>
      </c>
      <c r="C128" s="5">
        <f>'Constants &amp; Conversions'!R25</f>
        <v>1920</v>
      </c>
      <c r="D128" s="28" t="s">
        <v>202</v>
      </c>
      <c r="E128" s="5"/>
      <c r="F128" s="5"/>
      <c r="G128" s="5"/>
      <c r="H128" s="308" t="s">
        <v>1140</v>
      </c>
      <c r="I128" s="5">
        <f>'Constants &amp; Conversions'!R25</f>
        <v>1920</v>
      </c>
      <c r="J128" s="28" t="s">
        <v>202</v>
      </c>
    </row>
    <row r="129" spans="2:18">
      <c r="B129" s="132" t="s">
        <v>203</v>
      </c>
      <c r="C129" s="383">
        <f>(C75/C126)+(C68/C127)+(C70/C128)</f>
        <v>1224.2804208540074</v>
      </c>
      <c r="D129" s="55" t="s">
        <v>45</v>
      </c>
      <c r="E129" s="5"/>
      <c r="F129" s="5"/>
      <c r="G129" s="5"/>
      <c r="H129" s="132" t="s">
        <v>205</v>
      </c>
      <c r="I129" s="363">
        <f>(I75/C126)+(I68/C127)+(I70/I128)</f>
        <v>2590.6386577870726</v>
      </c>
      <c r="J129" s="55" t="s">
        <v>45</v>
      </c>
    </row>
    <row r="130" spans="2:18">
      <c r="B130" s="153" t="s">
        <v>204</v>
      </c>
      <c r="C130" s="401">
        <f>C129*C98</f>
        <v>6121.4021042700369</v>
      </c>
      <c r="D130" s="28" t="s">
        <v>43</v>
      </c>
      <c r="E130" s="5"/>
      <c r="F130" s="5"/>
      <c r="G130" s="5"/>
      <c r="H130" s="153" t="s">
        <v>206</v>
      </c>
      <c r="I130" s="401">
        <f>I129*C100</f>
        <v>12953.193288935363</v>
      </c>
      <c r="J130" s="28" t="s">
        <v>43</v>
      </c>
    </row>
    <row r="131" spans="2:18" ht="17" thickBot="1">
      <c r="B131" s="337" t="s">
        <v>246</v>
      </c>
      <c r="C131" s="403">
        <f>ROUNDUP(C130/C94,0)</f>
        <v>8</v>
      </c>
      <c r="D131" s="260"/>
      <c r="E131" s="5"/>
      <c r="F131" s="5"/>
      <c r="G131" s="5"/>
      <c r="H131" s="337" t="s">
        <v>246</v>
      </c>
      <c r="I131" s="403">
        <f>ROUNDUP(I130/C94,0)</f>
        <v>17</v>
      </c>
      <c r="J131" s="260"/>
    </row>
    <row r="134" spans="2:18" ht="21">
      <c r="B134" s="316" t="s">
        <v>207</v>
      </c>
      <c r="C134" s="5"/>
      <c r="D134" s="5"/>
      <c r="E134" s="5"/>
      <c r="F134" s="5"/>
      <c r="G134" s="5"/>
      <c r="H134" s="5"/>
      <c r="I134" s="5"/>
      <c r="J134" s="5"/>
      <c r="K134" s="5"/>
      <c r="L134" s="5"/>
      <c r="M134" s="5"/>
    </row>
    <row r="135" spans="2:18" ht="22" thickBot="1">
      <c r="B135" s="316"/>
      <c r="C135" s="5"/>
      <c r="D135" s="5"/>
      <c r="E135" s="5"/>
      <c r="F135" s="5"/>
      <c r="G135" s="5"/>
      <c r="H135" s="5"/>
      <c r="I135" s="5"/>
      <c r="J135" s="5"/>
      <c r="K135" s="5"/>
      <c r="L135" s="5"/>
      <c r="M135" s="5"/>
    </row>
    <row r="136" spans="2:18" ht="22" thickBot="1">
      <c r="B136" s="721" t="s">
        <v>695</v>
      </c>
      <c r="C136" s="697"/>
      <c r="D136" s="697"/>
      <c r="E136" s="699"/>
      <c r="F136" s="5"/>
      <c r="G136" s="5"/>
      <c r="H136" s="721" t="s">
        <v>696</v>
      </c>
      <c r="I136" s="697"/>
      <c r="J136" s="697"/>
      <c r="K136" s="699"/>
      <c r="L136" s="5"/>
      <c r="M136" s="5"/>
      <c r="N136" s="730" t="s">
        <v>704</v>
      </c>
      <c r="O136" s="730"/>
      <c r="P136" s="730"/>
    </row>
    <row r="137" spans="2:18" ht="17" thickBot="1">
      <c r="B137" s="338" t="s">
        <v>76</v>
      </c>
      <c r="C137" s="339" t="s">
        <v>643</v>
      </c>
      <c r="D137" s="339" t="s">
        <v>218</v>
      </c>
      <c r="E137" s="340" t="s">
        <v>217</v>
      </c>
      <c r="F137" s="11"/>
      <c r="G137" s="11"/>
      <c r="H137" s="338" t="s">
        <v>76</v>
      </c>
      <c r="I137" s="339" t="s">
        <v>643</v>
      </c>
      <c r="J137" s="339" t="s">
        <v>218</v>
      </c>
      <c r="K137" s="340" t="s">
        <v>217</v>
      </c>
      <c r="L137" s="5"/>
      <c r="M137" s="5"/>
      <c r="N137" s="187"/>
      <c r="O137" s="187"/>
      <c r="P137" s="187"/>
      <c r="R137" s="5"/>
    </row>
    <row r="138" spans="2:18" ht="17" thickBot="1">
      <c r="B138" s="308" t="s">
        <v>230</v>
      </c>
      <c r="C138" s="9" t="s">
        <v>921</v>
      </c>
      <c r="D138" s="344">
        <v>400000</v>
      </c>
      <c r="E138" s="263" t="s">
        <v>227</v>
      </c>
      <c r="F138" s="9"/>
      <c r="G138" s="9"/>
      <c r="H138" s="308" t="s">
        <v>230</v>
      </c>
      <c r="I138" s="9" t="s">
        <v>921</v>
      </c>
      <c r="J138" s="344">
        <v>400000</v>
      </c>
      <c r="K138" s="263" t="s">
        <v>227</v>
      </c>
      <c r="L138" s="9"/>
      <c r="M138" s="9"/>
      <c r="N138" s="114" t="s">
        <v>216</v>
      </c>
      <c r="O138" s="115" t="s">
        <v>218</v>
      </c>
      <c r="P138" s="116" t="s">
        <v>217</v>
      </c>
      <c r="Q138" s="5"/>
    </row>
    <row r="139" spans="2:18">
      <c r="B139" s="132" t="s">
        <v>231</v>
      </c>
      <c r="C139" s="54" t="s">
        <v>922</v>
      </c>
      <c r="D139" s="345">
        <v>313.14999999999998</v>
      </c>
      <c r="E139" s="55" t="s">
        <v>228</v>
      </c>
      <c r="F139" s="9"/>
      <c r="G139" s="9"/>
      <c r="H139" s="132" t="s">
        <v>231</v>
      </c>
      <c r="I139" s="54" t="s">
        <v>922</v>
      </c>
      <c r="J139" s="345">
        <v>313.14999999999998</v>
      </c>
      <c r="K139" s="55" t="s">
        <v>228</v>
      </c>
      <c r="L139" s="9"/>
      <c r="M139" s="9"/>
      <c r="N139" s="308" t="s">
        <v>208</v>
      </c>
      <c r="O139" s="344">
        <v>0.1</v>
      </c>
      <c r="P139" s="372" t="s">
        <v>219</v>
      </c>
      <c r="Q139" s="5"/>
    </row>
    <row r="140" spans="2:18">
      <c r="B140" s="308" t="s">
        <v>232</v>
      </c>
      <c r="C140" s="9" t="s">
        <v>923</v>
      </c>
      <c r="D140" s="137">
        <f>D138/'Constants &amp; Conversions'!M15/D139</f>
        <v>153.63761442113324</v>
      </c>
      <c r="E140" s="263" t="s">
        <v>229</v>
      </c>
      <c r="F140" s="9"/>
      <c r="G140" s="9"/>
      <c r="H140" s="308" t="s">
        <v>232</v>
      </c>
      <c r="I140" s="9" t="s">
        <v>923</v>
      </c>
      <c r="J140" s="137">
        <f>J138/'Constants &amp; Conversions'!M15/J139</f>
        <v>153.63761442113324</v>
      </c>
      <c r="K140" s="263" t="s">
        <v>229</v>
      </c>
      <c r="L140" s="9"/>
      <c r="M140" s="9"/>
      <c r="N140" s="132" t="s">
        <v>221</v>
      </c>
      <c r="O140" s="378">
        <f>3.113*10^-9</f>
        <v>3.1130000000000003E-9</v>
      </c>
      <c r="P140" s="373" t="s">
        <v>220</v>
      </c>
      <c r="Q140" s="5"/>
    </row>
    <row r="141" spans="2:18">
      <c r="B141" s="132" t="s">
        <v>234</v>
      </c>
      <c r="C141" s="54" t="s">
        <v>924</v>
      </c>
      <c r="D141" s="54">
        <v>0.21</v>
      </c>
      <c r="E141" s="55" t="s">
        <v>235</v>
      </c>
      <c r="F141" s="9"/>
      <c r="G141" s="9"/>
      <c r="H141" s="132" t="s">
        <v>234</v>
      </c>
      <c r="I141" s="54" t="s">
        <v>924</v>
      </c>
      <c r="J141" s="54">
        <v>0.21</v>
      </c>
      <c r="K141" s="55" t="s">
        <v>235</v>
      </c>
      <c r="L141" s="9"/>
      <c r="M141" s="9"/>
      <c r="N141" s="308" t="s">
        <v>209</v>
      </c>
      <c r="O141" s="327">
        <v>1.5</v>
      </c>
      <c r="P141" s="372" t="s">
        <v>222</v>
      </c>
      <c r="Q141" s="5"/>
    </row>
    <row r="142" spans="2:18">
      <c r="B142" s="308" t="s">
        <v>233</v>
      </c>
      <c r="C142" s="9" t="s">
        <v>925</v>
      </c>
      <c r="D142" s="137">
        <f>D141*D140</f>
        <v>32.263899028437976</v>
      </c>
      <c r="E142" s="263" t="s">
        <v>229</v>
      </c>
      <c r="F142" s="9"/>
      <c r="G142" s="9"/>
      <c r="H142" s="308" t="s">
        <v>233</v>
      </c>
      <c r="I142" s="9" t="s">
        <v>925</v>
      </c>
      <c r="J142" s="137">
        <f>J141*J140</f>
        <v>32.263899028437976</v>
      </c>
      <c r="K142" s="263" t="s">
        <v>229</v>
      </c>
      <c r="L142" s="9"/>
      <c r="M142" s="9"/>
      <c r="N142" s="132" t="s">
        <v>215</v>
      </c>
      <c r="O142" s="378">
        <f>6.839*10^-7</f>
        <v>6.8390000000000003E-7</v>
      </c>
      <c r="P142" s="373" t="s">
        <v>220</v>
      </c>
      <c r="Q142" s="5"/>
    </row>
    <row r="143" spans="2:18">
      <c r="B143" s="132" t="s">
        <v>233</v>
      </c>
      <c r="C143" s="54" t="s">
        <v>926</v>
      </c>
      <c r="D143" s="119">
        <f>D142*'Constants &amp; Conversions'!H17/'Constants &amp; Conversions'!D28</f>
        <v>1.0324125050109867</v>
      </c>
      <c r="E143" s="55" t="s">
        <v>185</v>
      </c>
      <c r="F143" s="9"/>
      <c r="G143" s="9"/>
      <c r="H143" s="132" t="s">
        <v>233</v>
      </c>
      <c r="I143" s="54" t="s">
        <v>926</v>
      </c>
      <c r="J143" s="119">
        <f>J142*'Constants &amp; Conversions'!H17/'Constants &amp; Conversions'!D28</f>
        <v>1.0324125050109867</v>
      </c>
      <c r="K143" s="55" t="s">
        <v>185</v>
      </c>
      <c r="L143" s="9"/>
      <c r="M143" s="9"/>
      <c r="N143" s="308" t="s">
        <v>256</v>
      </c>
      <c r="O143" s="351">
        <f>(C75/(C75+C68))*C126+(C68/(C75+C68))+C95</f>
        <v>996.82801320525539</v>
      </c>
      <c r="P143" s="372" t="s">
        <v>202</v>
      </c>
      <c r="Q143" s="5"/>
    </row>
    <row r="144" spans="2:18">
      <c r="B144" s="308"/>
      <c r="C144" s="9"/>
      <c r="D144" s="9"/>
      <c r="E144" s="263"/>
      <c r="F144" s="9"/>
      <c r="G144" s="9"/>
      <c r="H144" s="308"/>
      <c r="I144" s="9"/>
      <c r="J144" s="9"/>
      <c r="K144" s="263"/>
      <c r="L144" s="9"/>
      <c r="M144" s="9"/>
      <c r="N144" s="223" t="s">
        <v>257</v>
      </c>
      <c r="O144" s="382">
        <f>(C75/(C75+C68))*C126+(C68/(C75+C68))+C96</f>
        <v>996.27370840635126</v>
      </c>
      <c r="P144" s="373" t="s">
        <v>202</v>
      </c>
      <c r="Q144" s="5"/>
    </row>
    <row r="145" spans="2:21">
      <c r="B145" s="132" t="s">
        <v>236</v>
      </c>
      <c r="C145" s="54" t="s">
        <v>927</v>
      </c>
      <c r="D145" s="54">
        <f>D138</f>
        <v>400000</v>
      </c>
      <c r="E145" s="55" t="s">
        <v>227</v>
      </c>
      <c r="F145" s="9"/>
      <c r="G145" s="9"/>
      <c r="H145" s="132" t="s">
        <v>236</v>
      </c>
      <c r="I145" s="54" t="s">
        <v>927</v>
      </c>
      <c r="J145" s="54">
        <f>J138</f>
        <v>400000</v>
      </c>
      <c r="K145" s="55" t="s">
        <v>227</v>
      </c>
      <c r="L145" s="9"/>
      <c r="M145" s="9"/>
      <c r="N145" s="308" t="s">
        <v>212</v>
      </c>
      <c r="O145" s="327">
        <f>0.07164</f>
        <v>7.1639999999999995E-2</v>
      </c>
      <c r="P145" s="372" t="s">
        <v>223</v>
      </c>
      <c r="Q145" s="5"/>
    </row>
    <row r="146" spans="2:21">
      <c r="B146" s="308" t="s">
        <v>237</v>
      </c>
      <c r="C146" s="9" t="s">
        <v>928</v>
      </c>
      <c r="D146" s="9">
        <v>311.14999999999998</v>
      </c>
      <c r="E146" s="263" t="s">
        <v>228</v>
      </c>
      <c r="F146" s="9"/>
      <c r="G146" s="9"/>
      <c r="H146" s="308" t="s">
        <v>237</v>
      </c>
      <c r="I146" s="9" t="s">
        <v>928</v>
      </c>
      <c r="J146" s="9">
        <v>311.14999999999998</v>
      </c>
      <c r="K146" s="263" t="s">
        <v>228</v>
      </c>
      <c r="L146" s="9"/>
      <c r="M146" s="9"/>
      <c r="N146" s="132" t="s">
        <v>258</v>
      </c>
      <c r="O146" s="381">
        <f>0.6*(O140^0.5)*(O142^-0.12)*((O145/O143)^-0.62)*(O141^0.17)*('Constants &amp; Conversions'!M16^0.93)*(O139^1.1)</f>
        <v>4.8492824038851516E-2</v>
      </c>
      <c r="P146" s="373" t="s">
        <v>224</v>
      </c>
      <c r="Q146" s="5"/>
    </row>
    <row r="147" spans="2:21" ht="17" thickBot="1">
      <c r="B147" s="132" t="s">
        <v>238</v>
      </c>
      <c r="C147" s="54" t="s">
        <v>929</v>
      </c>
      <c r="D147" s="120">
        <f>D145/'Constants &amp; Conversions'!M15/D146</f>
        <v>154.6251613561879</v>
      </c>
      <c r="E147" s="55" t="s">
        <v>229</v>
      </c>
      <c r="F147" s="9"/>
      <c r="G147" s="9"/>
      <c r="H147" s="132" t="s">
        <v>238</v>
      </c>
      <c r="I147" s="54" t="s">
        <v>929</v>
      </c>
      <c r="J147" s="120">
        <f>J145/'Constants &amp; Conversions'!M15/J146</f>
        <v>154.6251613561879</v>
      </c>
      <c r="K147" s="55" t="s">
        <v>229</v>
      </c>
      <c r="L147" s="9"/>
      <c r="M147" s="9"/>
      <c r="N147" s="312" t="s">
        <v>259</v>
      </c>
      <c r="O147" s="393">
        <f>0.6*(O140^0.5)*(O142^-0.12)*((O145/O144)^-0.62)*(O141^0.17)*('Constants &amp; Conversions'!M16^0.93)*(O139^1.1)</f>
        <v>4.8476103761997187E-2</v>
      </c>
      <c r="P147" s="394" t="s">
        <v>224</v>
      </c>
      <c r="Q147" s="5"/>
      <c r="R147" s="5"/>
    </row>
    <row r="148" spans="2:21">
      <c r="B148" s="308" t="s">
        <v>239</v>
      </c>
      <c r="C148" s="9" t="s">
        <v>930</v>
      </c>
      <c r="D148" s="143">
        <f>(D76/'Constants &amp; Conversions'!H17)/((D76/'Constants &amp; Conversions'!H17)+(D77/'Constants &amp; Conversions'!H21))</f>
        <v>2.401966075900883E-2</v>
      </c>
      <c r="E148" s="263" t="s">
        <v>235</v>
      </c>
      <c r="F148" s="9"/>
      <c r="G148" s="9"/>
      <c r="H148" s="308" t="s">
        <v>239</v>
      </c>
      <c r="I148" s="9" t="s">
        <v>930</v>
      </c>
      <c r="J148" s="143">
        <f>(J76/'Constants &amp; Conversions'!H17)/((J76/'Constants &amp; Conversions'!H17)+(J77/'Constants &amp; Conversions'!H21))</f>
        <v>1.4332620297100793E-2</v>
      </c>
      <c r="K148" s="263" t="s">
        <v>235</v>
      </c>
      <c r="L148" s="9"/>
      <c r="M148" s="9"/>
      <c r="N148" s="9"/>
      <c r="O148" s="9"/>
      <c r="P148" s="9"/>
      <c r="Q148" s="5"/>
      <c r="R148" s="5"/>
    </row>
    <row r="149" spans="2:21">
      <c r="B149" s="132" t="s">
        <v>240</v>
      </c>
      <c r="C149" s="54" t="s">
        <v>931</v>
      </c>
      <c r="D149" s="120">
        <f>D148*D147</f>
        <v>3.7140439205826352</v>
      </c>
      <c r="E149" s="55" t="s">
        <v>229</v>
      </c>
      <c r="F149" s="9"/>
      <c r="G149" s="9"/>
      <c r="H149" s="132" t="s">
        <v>240</v>
      </c>
      <c r="I149" s="54" t="s">
        <v>931</v>
      </c>
      <c r="J149" s="120">
        <f>J148*J147</f>
        <v>2.2161837260961841</v>
      </c>
      <c r="K149" s="55" t="s">
        <v>229</v>
      </c>
      <c r="L149" s="9"/>
      <c r="M149" s="9"/>
      <c r="N149" s="9"/>
      <c r="O149" s="9"/>
      <c r="P149" s="9"/>
      <c r="Q149" s="5"/>
      <c r="R149" s="5"/>
    </row>
    <row r="150" spans="2:21">
      <c r="B150" s="308" t="s">
        <v>240</v>
      </c>
      <c r="C150" s="9" t="s">
        <v>932</v>
      </c>
      <c r="D150" s="143">
        <f>D149*'Constants &amp; Conversions'!H17/'Constants &amp; Conversions'!D28</f>
        <v>0.11884569141472374</v>
      </c>
      <c r="E150" s="263" t="s">
        <v>185</v>
      </c>
      <c r="F150" s="9"/>
      <c r="G150" s="9"/>
      <c r="H150" s="308" t="s">
        <v>240</v>
      </c>
      <c r="I150" s="9" t="s">
        <v>932</v>
      </c>
      <c r="J150" s="143">
        <f>J149*'Constants &amp; Conversions'!H17/'Constants &amp; Conversions'!D28</f>
        <v>7.0915663051351788E-2</v>
      </c>
      <c r="K150" s="263" t="s">
        <v>185</v>
      </c>
      <c r="L150" s="9"/>
      <c r="M150" s="9"/>
      <c r="N150" s="9"/>
      <c r="O150" s="9"/>
      <c r="P150" s="9"/>
      <c r="Q150" s="5"/>
      <c r="R150" s="5"/>
      <c r="S150" s="5"/>
    </row>
    <row r="151" spans="2:21" ht="21">
      <c r="B151" s="132"/>
      <c r="C151" s="54"/>
      <c r="D151" s="54"/>
      <c r="E151" s="55"/>
      <c r="F151" s="9"/>
      <c r="G151" s="9"/>
      <c r="H151" s="132"/>
      <c r="I151" s="54"/>
      <c r="J151" s="54"/>
      <c r="K151" s="55"/>
      <c r="L151" s="9"/>
      <c r="M151" s="9"/>
      <c r="N151" s="404" t="s">
        <v>225</v>
      </c>
      <c r="O151" s="404"/>
      <c r="P151" s="404"/>
      <c r="Q151" s="404"/>
      <c r="R151" s="5"/>
      <c r="S151" s="5"/>
    </row>
    <row r="152" spans="2:21" ht="17" thickBot="1">
      <c r="B152" s="308" t="s">
        <v>919</v>
      </c>
      <c r="C152" s="9" t="s">
        <v>933</v>
      </c>
      <c r="D152" s="135">
        <f>0.15*P157*D150</f>
        <v>4.8588548029258091E-4</v>
      </c>
      <c r="E152" s="263" t="s">
        <v>185</v>
      </c>
      <c r="F152" s="9"/>
      <c r="G152" s="9"/>
      <c r="H152" s="308" t="s">
        <v>919</v>
      </c>
      <c r="I152" s="9" t="s">
        <v>933</v>
      </c>
      <c r="J152" s="395">
        <f>0.15*P157*J150</f>
        <v>2.8992966082154535E-4</v>
      </c>
      <c r="K152" s="263" t="s">
        <v>185</v>
      </c>
      <c r="L152" s="9"/>
      <c r="M152" s="9"/>
      <c r="N152" s="187"/>
      <c r="O152" s="187"/>
      <c r="P152" s="187"/>
      <c r="Q152" s="187"/>
      <c r="R152" s="5"/>
      <c r="S152" s="5"/>
    </row>
    <row r="153" spans="2:21" ht="17" thickBot="1">
      <c r="B153" s="132" t="s">
        <v>243</v>
      </c>
      <c r="C153" s="54" t="s">
        <v>934</v>
      </c>
      <c r="D153" s="142">
        <f>P157*O146</f>
        <v>1.3217115863089618E-3</v>
      </c>
      <c r="E153" s="55" t="s">
        <v>224</v>
      </c>
      <c r="F153" s="9"/>
      <c r="G153" s="9"/>
      <c r="H153" s="132" t="s">
        <v>243</v>
      </c>
      <c r="I153" s="54" t="s">
        <v>934</v>
      </c>
      <c r="J153" s="396">
        <f>P157*O147</f>
        <v>1.3212558614861107E-3</v>
      </c>
      <c r="K153" s="55" t="s">
        <v>224</v>
      </c>
      <c r="L153" s="9"/>
      <c r="M153" s="9"/>
      <c r="N153" s="114" t="s">
        <v>76</v>
      </c>
      <c r="O153" s="115" t="s">
        <v>216</v>
      </c>
      <c r="P153" s="115" t="s">
        <v>218</v>
      </c>
      <c r="Q153" s="116" t="s">
        <v>217</v>
      </c>
      <c r="R153" s="5"/>
      <c r="S153" s="5"/>
    </row>
    <row r="154" spans="2:21">
      <c r="B154" s="308" t="s">
        <v>920</v>
      </c>
      <c r="C154" s="9" t="s">
        <v>935</v>
      </c>
      <c r="D154" s="135">
        <f>((P157*D143-D152)-(P157*D150-D152))/(LN((P157*D143-D152)/(P157*D150-D152)))</f>
        <v>1.0793576840808233E-2</v>
      </c>
      <c r="E154" s="263" t="s">
        <v>185</v>
      </c>
      <c r="F154" s="9"/>
      <c r="G154" s="9"/>
      <c r="H154" s="308" t="s">
        <v>920</v>
      </c>
      <c r="I154" s="9" t="s">
        <v>935</v>
      </c>
      <c r="J154" s="395">
        <f>((P157*J143-J152)-(P157*J150-J152))/(LN((P157*J143-J152)/(P157*J150-J152)))</f>
        <v>9.259144796526576E-3</v>
      </c>
      <c r="K154" s="263" t="s">
        <v>185</v>
      </c>
      <c r="L154" s="9"/>
      <c r="M154" s="9"/>
      <c r="N154" s="310" t="s">
        <v>960</v>
      </c>
      <c r="O154" s="581" t="s">
        <v>961</v>
      </c>
      <c r="P154" s="582">
        <v>1.2999999999999999E-5</v>
      </c>
      <c r="Q154" s="583" t="s">
        <v>698</v>
      </c>
      <c r="R154" s="5"/>
      <c r="S154" s="5"/>
    </row>
    <row r="155" spans="2:21">
      <c r="B155" s="132"/>
      <c r="C155" s="54"/>
      <c r="D155" s="54"/>
      <c r="E155" s="55"/>
      <c r="F155" s="9"/>
      <c r="G155" s="9"/>
      <c r="H155" s="132"/>
      <c r="I155" s="54"/>
      <c r="J155" s="54"/>
      <c r="K155" s="55"/>
      <c r="L155" s="9"/>
      <c r="M155" s="9"/>
      <c r="N155" s="132" t="s">
        <v>699</v>
      </c>
      <c r="O155" s="124" t="s">
        <v>226</v>
      </c>
      <c r="P155" s="124">
        <v>1500</v>
      </c>
      <c r="Q155" s="125" t="s">
        <v>228</v>
      </c>
      <c r="R155" s="5"/>
      <c r="S155" s="5"/>
    </row>
    <row r="156" spans="2:21">
      <c r="B156" s="308" t="s">
        <v>241</v>
      </c>
      <c r="C156" s="9" t="s">
        <v>936</v>
      </c>
      <c r="D156" s="188">
        <f>O146*D154*'Constants &amp; Conversions'!D22</f>
        <v>1.8842796809680913</v>
      </c>
      <c r="E156" s="263" t="s">
        <v>242</v>
      </c>
      <c r="F156" s="352"/>
      <c r="G156" s="352"/>
      <c r="H156" s="308" t="s">
        <v>241</v>
      </c>
      <c r="I156" s="9" t="s">
        <v>936</v>
      </c>
      <c r="J156" s="188">
        <f>O147*J154*'Constants &amp; Conversions'!D22</f>
        <v>1.6158501500536031</v>
      </c>
      <c r="K156" s="263" t="s">
        <v>242</v>
      </c>
      <c r="L156" s="9"/>
      <c r="M156" s="9"/>
      <c r="N156" s="308" t="s">
        <v>697</v>
      </c>
      <c r="O156" s="326" t="s">
        <v>962</v>
      </c>
      <c r="P156" s="388">
        <v>1.0535499999999999E-5</v>
      </c>
      <c r="Q156" s="391" t="s">
        <v>698</v>
      </c>
      <c r="R156" s="5"/>
      <c r="S156" s="5"/>
    </row>
    <row r="157" spans="2:21" ht="17" thickBot="1">
      <c r="B157" s="336" t="s">
        <v>244</v>
      </c>
      <c r="C157" s="54" t="s">
        <v>245</v>
      </c>
      <c r="D157" s="390">
        <f>F76/D156</f>
        <v>2126.9642504686367</v>
      </c>
      <c r="E157" s="55" t="s">
        <v>43</v>
      </c>
      <c r="F157" s="9"/>
      <c r="G157" s="9"/>
      <c r="H157" s="336" t="s">
        <v>244</v>
      </c>
      <c r="I157" s="54" t="s">
        <v>245</v>
      </c>
      <c r="J157" s="390">
        <f>L76/J156</f>
        <v>1663.6905606937087</v>
      </c>
      <c r="K157" s="55" t="s">
        <v>43</v>
      </c>
      <c r="L157" s="9"/>
      <c r="M157" s="9"/>
      <c r="N157" s="267" t="s">
        <v>697</v>
      </c>
      <c r="O157" s="584" t="s">
        <v>963</v>
      </c>
      <c r="P157" s="584">
        <v>2.7255818000000001E-2</v>
      </c>
      <c r="Q157" s="585" t="s">
        <v>219</v>
      </c>
      <c r="R157" s="5"/>
      <c r="S157" s="5"/>
      <c r="T157" s="5"/>
      <c r="U157" s="5"/>
    </row>
    <row r="158" spans="2:21" ht="17" thickBot="1">
      <c r="B158" s="172" t="s">
        <v>246</v>
      </c>
      <c r="C158" s="139" t="s">
        <v>937</v>
      </c>
      <c r="D158" s="377">
        <f>ROUNDUP(D157/C94,0)</f>
        <v>3</v>
      </c>
      <c r="E158" s="266"/>
      <c r="F158" s="9"/>
      <c r="G158" s="9"/>
      <c r="H158" s="172" t="s">
        <v>246</v>
      </c>
      <c r="I158" s="139" t="s">
        <v>937</v>
      </c>
      <c r="J158" s="377">
        <f>ROUNDUP(J157/C94,0)</f>
        <v>3</v>
      </c>
      <c r="K158" s="266"/>
      <c r="L158" s="9"/>
      <c r="M158" s="9"/>
      <c r="N158" s="9"/>
      <c r="O158" s="9"/>
      <c r="P158" s="9"/>
      <c r="Q158" s="5"/>
      <c r="R158" s="5"/>
      <c r="S158" s="5"/>
      <c r="T158" s="5"/>
      <c r="U158" s="5"/>
    </row>
    <row r="159" spans="2:21">
      <c r="B159" s="5"/>
      <c r="C159" s="5"/>
      <c r="D159" s="5"/>
      <c r="N159" s="9"/>
      <c r="O159" s="9"/>
      <c r="P159" s="9"/>
      <c r="Q159" s="5"/>
    </row>
    <row r="160" spans="2:21">
      <c r="N160" s="9"/>
      <c r="O160" s="9"/>
      <c r="P160" s="9"/>
      <c r="Q160" s="5"/>
    </row>
    <row r="161" spans="2:19" ht="21">
      <c r="B161" s="316" t="s">
        <v>700</v>
      </c>
    </row>
    <row r="162" spans="2:19" s="10" customFormat="1" ht="17" thickBot="1">
      <c r="B162" s="14"/>
    </row>
    <row r="163" spans="2:19" ht="17" thickBot="1">
      <c r="B163" s="114" t="s">
        <v>701</v>
      </c>
      <c r="C163" s="115" t="s">
        <v>702</v>
      </c>
      <c r="D163" s="116" t="s">
        <v>217</v>
      </c>
    </row>
    <row r="164" spans="2:19">
      <c r="B164" s="310" t="s">
        <v>5</v>
      </c>
      <c r="C164" s="399">
        <f>MAX(C118,C130,D157)</f>
        <v>8431.4569748321392</v>
      </c>
      <c r="D164" s="311" t="s">
        <v>43</v>
      </c>
    </row>
    <row r="165" spans="2:19" ht="17" thickBot="1">
      <c r="B165" s="267" t="s">
        <v>6</v>
      </c>
      <c r="C165" s="400">
        <f>MAX(I112,I130,J157)</f>
        <v>12953.193288935363</v>
      </c>
      <c r="D165" s="260" t="s">
        <v>43</v>
      </c>
    </row>
    <row r="169" spans="2:19" ht="26">
      <c r="B169" s="418" t="s">
        <v>249</v>
      </c>
    </row>
    <row r="170" spans="2:19">
      <c r="B170" s="3"/>
    </row>
    <row r="171" spans="2:19" ht="21">
      <c r="B171" s="317" t="s">
        <v>265</v>
      </c>
      <c r="L171" s="317" t="s">
        <v>687</v>
      </c>
      <c r="Q171" s="10"/>
      <c r="R171" s="10"/>
      <c r="S171" s="10"/>
    </row>
    <row r="172" spans="2:19" s="10" customFormat="1" ht="17" thickBot="1">
      <c r="B172" s="3"/>
    </row>
    <row r="173" spans="2:19" s="10" customFormat="1" ht="22" thickBot="1">
      <c r="B173" s="721" t="s">
        <v>5</v>
      </c>
      <c r="C173" s="697"/>
      <c r="D173" s="699"/>
      <c r="E173" s="325"/>
      <c r="F173" s="325"/>
      <c r="H173" s="721" t="s">
        <v>6</v>
      </c>
      <c r="I173" s="697"/>
      <c r="J173" s="699"/>
      <c r="L173" s="114" t="s">
        <v>685</v>
      </c>
      <c r="M173" s="115" t="s">
        <v>5</v>
      </c>
      <c r="N173" s="115" t="s">
        <v>6</v>
      </c>
      <c r="O173" s="116" t="s">
        <v>217</v>
      </c>
      <c r="Q173"/>
      <c r="R173"/>
      <c r="S173"/>
    </row>
    <row r="174" spans="2:19" ht="17" thickBot="1">
      <c r="B174" s="114" t="s">
        <v>5</v>
      </c>
      <c r="C174" s="115" t="s">
        <v>218</v>
      </c>
      <c r="D174" s="116" t="s">
        <v>217</v>
      </c>
      <c r="E174" s="17"/>
      <c r="F174" s="17"/>
      <c r="G174" s="17"/>
      <c r="H174" s="114" t="s">
        <v>6</v>
      </c>
      <c r="I174" s="115" t="s">
        <v>218</v>
      </c>
      <c r="J174" s="116" t="s">
        <v>217</v>
      </c>
      <c r="L174" s="27" t="s">
        <v>210</v>
      </c>
      <c r="M174" s="6">
        <f>O143</f>
        <v>996.82801320525539</v>
      </c>
      <c r="N174" s="18">
        <f>O144</f>
        <v>996.27370840635126</v>
      </c>
      <c r="O174" s="219" t="s">
        <v>202</v>
      </c>
    </row>
    <row r="175" spans="2:19">
      <c r="B175" s="153" t="s">
        <v>938</v>
      </c>
      <c r="C175" s="136">
        <f>C164</f>
        <v>8431.4569748321392</v>
      </c>
      <c r="D175" s="263" t="s">
        <v>43</v>
      </c>
      <c r="E175" s="9"/>
      <c r="F175" s="9"/>
      <c r="G175" s="136"/>
      <c r="H175" s="153" t="s">
        <v>938</v>
      </c>
      <c r="I175" s="136">
        <f>C165</f>
        <v>12953.193288935363</v>
      </c>
      <c r="J175" s="263" t="s">
        <v>43</v>
      </c>
      <c r="L175" s="132" t="s">
        <v>260</v>
      </c>
      <c r="M175" s="54">
        <f>D145</f>
        <v>400000</v>
      </c>
      <c r="N175" s="54">
        <f>J145</f>
        <v>400000</v>
      </c>
      <c r="O175" s="55" t="s">
        <v>227</v>
      </c>
    </row>
    <row r="176" spans="2:19" ht="17" thickBot="1">
      <c r="B176" s="336" t="s">
        <v>208</v>
      </c>
      <c r="C176" s="54">
        <f>O139</f>
        <v>0.1</v>
      </c>
      <c r="D176" s="55" t="s">
        <v>219</v>
      </c>
      <c r="E176" s="9"/>
      <c r="F176" s="9"/>
      <c r="G176" s="9"/>
      <c r="H176" s="336" t="s">
        <v>208</v>
      </c>
      <c r="I176" s="54">
        <f>O139</f>
        <v>0.1</v>
      </c>
      <c r="J176" s="55" t="s">
        <v>219</v>
      </c>
      <c r="L176" s="29" t="s">
        <v>261</v>
      </c>
      <c r="M176" s="109">
        <f>((C76/'Constants &amp; Conversions'!H17)+(C77/'Constants &amp; Conversions'!H21))/C180*'Constants &amp; Conversions'!D28/'Constants &amp; Conversions'!D22</f>
        <v>2.9236116704799411</v>
      </c>
      <c r="N176" s="109">
        <f>((I76/'Constants &amp; Conversions'!H17)+(I77/'Constants &amp; Conversions'!H21))/I180*'Constants &amp; Conversions'!D28/'Constants &amp; Conversions'!D22</f>
        <v>1.3727321555083791</v>
      </c>
      <c r="O176" s="31" t="s">
        <v>262</v>
      </c>
    </row>
    <row r="177" spans="1:10">
      <c r="B177" s="153" t="s">
        <v>939</v>
      </c>
      <c r="C177" s="318">
        <f>C175*(1+C176)</f>
        <v>9274.6026723153536</v>
      </c>
      <c r="D177" s="391" t="s">
        <v>43</v>
      </c>
      <c r="E177" s="326"/>
      <c r="F177" s="326"/>
      <c r="G177" s="318"/>
      <c r="H177" s="153" t="s">
        <v>939</v>
      </c>
      <c r="I177" s="318">
        <f>I175*(1+I176)</f>
        <v>14248.512617828901</v>
      </c>
      <c r="J177" s="391" t="s">
        <v>43</v>
      </c>
    </row>
    <row r="178" spans="1:10">
      <c r="B178" s="336" t="s">
        <v>940</v>
      </c>
      <c r="C178" s="345">
        <v>0.1</v>
      </c>
      <c r="D178" s="55" t="s">
        <v>219</v>
      </c>
      <c r="E178" s="9"/>
      <c r="F178" s="9"/>
      <c r="G178" s="9"/>
      <c r="H178" s="336" t="s">
        <v>940</v>
      </c>
      <c r="I178" s="345">
        <v>0.1</v>
      </c>
      <c r="J178" s="55" t="s">
        <v>219</v>
      </c>
    </row>
    <row r="179" spans="1:10">
      <c r="B179" s="153" t="s">
        <v>941</v>
      </c>
      <c r="C179" s="318">
        <f>C177*(1+C178)</f>
        <v>10202.06293954689</v>
      </c>
      <c r="D179" s="391" t="s">
        <v>43</v>
      </c>
      <c r="E179" s="326"/>
      <c r="F179" s="326"/>
      <c r="G179" s="318"/>
      <c r="H179" s="153" t="s">
        <v>941</v>
      </c>
      <c r="I179" s="318">
        <f>I177*(1+I178)</f>
        <v>15673.363879611792</v>
      </c>
      <c r="J179" s="391" t="s">
        <v>43</v>
      </c>
    </row>
    <row r="180" spans="1:10">
      <c r="B180" s="336" t="s">
        <v>246</v>
      </c>
      <c r="C180" s="118">
        <f>EVEN((C179/C94))</f>
        <v>14</v>
      </c>
      <c r="D180" s="55"/>
      <c r="E180" s="9"/>
      <c r="F180" s="9"/>
      <c r="G180" s="136"/>
      <c r="H180" s="336" t="s">
        <v>246</v>
      </c>
      <c r="I180" s="54">
        <f>EVEN((I179/C94))</f>
        <v>20</v>
      </c>
      <c r="J180" s="55"/>
    </row>
    <row r="181" spans="1:10">
      <c r="B181" s="153" t="s">
        <v>942</v>
      </c>
      <c r="C181" s="318">
        <f>C179/C180</f>
        <v>728.7187813962064</v>
      </c>
      <c r="D181" s="391" t="s">
        <v>43</v>
      </c>
      <c r="E181" s="326"/>
      <c r="F181" s="326"/>
      <c r="G181" s="318"/>
      <c r="H181" s="153" t="s">
        <v>942</v>
      </c>
      <c r="I181" s="318">
        <f>I179/I180</f>
        <v>783.66819398058965</v>
      </c>
      <c r="J181" s="391" t="s">
        <v>43</v>
      </c>
    </row>
    <row r="182" spans="1:10">
      <c r="B182" s="336" t="s">
        <v>943</v>
      </c>
      <c r="C182" s="54">
        <v>6</v>
      </c>
      <c r="D182" s="55"/>
      <c r="E182" s="9"/>
      <c r="F182" s="9"/>
      <c r="G182" s="9"/>
      <c r="H182" s="336" t="s">
        <v>943</v>
      </c>
      <c r="I182" s="54">
        <v>6</v>
      </c>
      <c r="J182" s="55"/>
    </row>
    <row r="183" spans="1:10">
      <c r="B183" s="153" t="s">
        <v>209</v>
      </c>
      <c r="C183" s="188">
        <f>((2/3/PI())*C181)^(1/3)</f>
        <v>5.3675110068085319</v>
      </c>
      <c r="D183" s="391" t="s">
        <v>222</v>
      </c>
      <c r="E183" s="326"/>
      <c r="F183" s="326"/>
      <c r="G183" s="322"/>
      <c r="H183" s="153" t="s">
        <v>209</v>
      </c>
      <c r="I183" s="188">
        <f>((2/3/PI())*I181)^(1/3)</f>
        <v>5.4991685327608497</v>
      </c>
      <c r="J183" s="391" t="s">
        <v>222</v>
      </c>
    </row>
    <row r="184" spans="1:10">
      <c r="B184" s="336" t="s">
        <v>944</v>
      </c>
      <c r="C184" s="389">
        <f>6*C183</f>
        <v>32.205066040851193</v>
      </c>
      <c r="D184" s="55" t="s">
        <v>222</v>
      </c>
      <c r="E184" s="9"/>
      <c r="F184" s="9"/>
      <c r="G184" s="322"/>
      <c r="H184" s="336" t="s">
        <v>944</v>
      </c>
      <c r="I184" s="389">
        <f>6*I183</f>
        <v>32.995011196565102</v>
      </c>
      <c r="J184" s="55" t="s">
        <v>222</v>
      </c>
    </row>
    <row r="185" spans="1:10">
      <c r="B185" s="153" t="s">
        <v>945</v>
      </c>
      <c r="C185" s="143">
        <f>(C177/C180)/(PI()/4*C183^2)</f>
        <v>29.277332764410193</v>
      </c>
      <c r="D185" s="391" t="s">
        <v>222</v>
      </c>
      <c r="E185" s="326"/>
      <c r="F185" s="326"/>
      <c r="G185" s="143"/>
      <c r="H185" s="153" t="s">
        <v>945</v>
      </c>
      <c r="I185" s="143">
        <f>(I177/I180)/(PI()/4*I183^2)</f>
        <v>29.995464724150096</v>
      </c>
      <c r="J185" s="391" t="s">
        <v>222</v>
      </c>
    </row>
    <row r="186" spans="1:10">
      <c r="B186" s="336" t="s">
        <v>946</v>
      </c>
      <c r="C186" s="120">
        <f>2*C185</f>
        <v>58.554665528820387</v>
      </c>
      <c r="D186" s="55" t="s">
        <v>222</v>
      </c>
      <c r="E186" s="9"/>
      <c r="F186" s="9"/>
      <c r="G186" s="143"/>
      <c r="H186" s="336" t="s">
        <v>946</v>
      </c>
      <c r="I186" s="120">
        <f>2*I185</f>
        <v>59.990929448300193</v>
      </c>
      <c r="J186" s="55" t="s">
        <v>222</v>
      </c>
    </row>
    <row r="187" spans="1:10">
      <c r="B187" s="153" t="s">
        <v>947</v>
      </c>
      <c r="C187" s="188">
        <f>'Summary Table'!D54</f>
        <v>0.64605790873024749</v>
      </c>
      <c r="D187" s="391" t="s">
        <v>222</v>
      </c>
      <c r="E187" s="326"/>
      <c r="F187" s="326"/>
      <c r="G187" s="322"/>
      <c r="H187" s="153" t="s">
        <v>947</v>
      </c>
      <c r="I187" s="188">
        <f>'Summary Table'!D55</f>
        <v>0.48493161332091933</v>
      </c>
      <c r="J187" s="391" t="s">
        <v>222</v>
      </c>
    </row>
    <row r="188" spans="1:10">
      <c r="B188" s="336" t="s">
        <v>948</v>
      </c>
      <c r="C188" s="120">
        <f>(PI()/4)*C187^2</f>
        <v>0.32781798457235256</v>
      </c>
      <c r="D188" s="55" t="s">
        <v>128</v>
      </c>
      <c r="E188" s="9"/>
      <c r="F188" s="9"/>
      <c r="G188" s="143"/>
      <c r="H188" s="336" t="s">
        <v>948</v>
      </c>
      <c r="I188" s="120">
        <f>(PI()/4)*I187^2</f>
        <v>0.18469318720927982</v>
      </c>
      <c r="J188" s="55" t="s">
        <v>128</v>
      </c>
    </row>
    <row r="189" spans="1:10">
      <c r="B189" s="153" t="s">
        <v>949</v>
      </c>
      <c r="C189" s="188">
        <f>(M176*'Constants &amp; Conversions'!M15*D146/C188/C186/'Constants &amp; Conversions'!M16/M174)*LN(1+('Constants &amp; Conversions'!M16*M174*C186/M175))</f>
        <v>3.5799512140268192E-2</v>
      </c>
      <c r="D189" s="391" t="s">
        <v>264</v>
      </c>
      <c r="E189" s="326"/>
      <c r="F189" s="326"/>
      <c r="G189" s="143"/>
      <c r="H189" s="153" t="s">
        <v>949</v>
      </c>
      <c r="I189" s="188">
        <f>(N176*'Constants &amp; Conversions'!M15*J146/I188/I186/'Constants &amp; Conversions'!M16/N174)*LN(1+('Constants &amp; Conversions'!M16*N174*I186/N175))</f>
        <v>2.9596175457593254E-2</v>
      </c>
      <c r="J189" s="391" t="s">
        <v>264</v>
      </c>
    </row>
    <row r="190" spans="1:10" ht="17" thickBot="1">
      <c r="B190" s="337" t="s">
        <v>263</v>
      </c>
      <c r="C190" s="397">
        <f>'Summary Table'!C54</f>
        <v>3.8110566862314954E-6</v>
      </c>
      <c r="D190" s="260"/>
      <c r="E190" s="9"/>
      <c r="F190" s="9"/>
      <c r="G190" s="143"/>
      <c r="H190" s="405" t="s">
        <v>255</v>
      </c>
      <c r="I190" s="397">
        <f>'Summary Table'!C55</f>
        <v>5.4535529159238649E-6</v>
      </c>
      <c r="J190" s="260"/>
    </row>
    <row r="191" spans="1:10">
      <c r="B191" s="14"/>
      <c r="C191" s="7"/>
      <c r="D191" s="5"/>
      <c r="E191" s="9"/>
      <c r="F191" s="9"/>
      <c r="G191" s="143"/>
      <c r="H191" s="19"/>
      <c r="I191" s="7"/>
      <c r="J191" s="5"/>
    </row>
    <row r="192" spans="1:10">
      <c r="A192" s="5"/>
      <c r="E192" s="234"/>
      <c r="F192" s="234"/>
    </row>
    <row r="193" spans="1:19" ht="21">
      <c r="A193" s="5"/>
      <c r="B193" s="316" t="s">
        <v>266</v>
      </c>
      <c r="C193" s="5"/>
      <c r="D193" s="5"/>
      <c r="E193" s="9"/>
      <c r="F193" s="9"/>
      <c r="G193" s="5"/>
      <c r="L193" s="10"/>
      <c r="M193" s="10"/>
      <c r="N193" s="10"/>
      <c r="O193" s="10"/>
    </row>
    <row r="194" spans="1:19" s="10" customFormat="1" ht="17" thickBot="1">
      <c r="A194" s="11"/>
      <c r="B194" s="14"/>
      <c r="C194" s="11"/>
      <c r="D194" s="11"/>
      <c r="E194" s="327"/>
      <c r="F194" s="327"/>
      <c r="G194" s="11"/>
      <c r="Q194"/>
      <c r="R194"/>
      <c r="S194"/>
    </row>
    <row r="195" spans="1:19" s="10" customFormat="1" ht="22" thickBot="1">
      <c r="A195" s="11"/>
      <c r="B195" s="721" t="s">
        <v>5</v>
      </c>
      <c r="C195" s="697"/>
      <c r="D195" s="699"/>
      <c r="E195" s="325"/>
      <c r="F195" s="325"/>
      <c r="G195" s="11"/>
      <c r="H195" s="721" t="s">
        <v>6</v>
      </c>
      <c r="I195" s="697"/>
      <c r="J195" s="699"/>
      <c r="L195"/>
      <c r="M195"/>
      <c r="N195"/>
      <c r="O195"/>
      <c r="Q195"/>
      <c r="R195"/>
      <c r="S195"/>
    </row>
    <row r="196" spans="1:19" ht="17" thickBot="1">
      <c r="A196" s="5"/>
      <c r="B196" s="114" t="s">
        <v>5</v>
      </c>
      <c r="C196" s="406" t="s">
        <v>218</v>
      </c>
      <c r="D196" s="116" t="s">
        <v>217</v>
      </c>
      <c r="E196" s="17"/>
      <c r="F196" s="17"/>
      <c r="G196" s="321"/>
      <c r="H196" s="114" t="s">
        <v>6</v>
      </c>
      <c r="I196" s="406" t="s">
        <v>218</v>
      </c>
      <c r="J196" s="116" t="s">
        <v>217</v>
      </c>
    </row>
    <row r="197" spans="1:19">
      <c r="A197" s="5"/>
      <c r="B197" s="407" t="s">
        <v>705</v>
      </c>
      <c r="C197" s="319">
        <f>E88/C180</f>
        <v>3.6981977857947004</v>
      </c>
      <c r="D197" s="263" t="s">
        <v>254</v>
      </c>
      <c r="E197" s="9"/>
      <c r="F197" s="9"/>
      <c r="G197" s="319"/>
      <c r="H197" s="407" t="s">
        <v>705</v>
      </c>
      <c r="I197" s="319">
        <f>K88/I180</f>
        <v>7.3776268487711603</v>
      </c>
      <c r="J197" s="263" t="s">
        <v>254</v>
      </c>
    </row>
    <row r="198" spans="1:19">
      <c r="A198" s="5"/>
      <c r="B198" s="410" t="s">
        <v>952</v>
      </c>
      <c r="C198" s="413">
        <v>454</v>
      </c>
      <c r="D198" s="55" t="s">
        <v>278</v>
      </c>
      <c r="E198" s="9"/>
      <c r="F198" s="9"/>
      <c r="G198" s="319"/>
      <c r="H198" s="410" t="s">
        <v>952</v>
      </c>
      <c r="I198" s="413">
        <v>454</v>
      </c>
      <c r="J198" s="55" t="s">
        <v>278</v>
      </c>
    </row>
    <row r="199" spans="1:19">
      <c r="A199" s="5"/>
      <c r="B199" s="407" t="s">
        <v>268</v>
      </c>
      <c r="C199" s="137">
        <f>C185*PI()*C183+PI()/4*C183^2</f>
        <v>516.31745226450846</v>
      </c>
      <c r="D199" s="263" t="s">
        <v>128</v>
      </c>
      <c r="E199" s="5"/>
      <c r="F199" s="5"/>
      <c r="G199" s="137"/>
      <c r="H199" s="407" t="s">
        <v>268</v>
      </c>
      <c r="I199" s="137">
        <f>I185*PI()*I183+PI()/4*I183^2</f>
        <v>541.95718343131955</v>
      </c>
      <c r="J199" s="263" t="s">
        <v>128</v>
      </c>
      <c r="Q199" s="10"/>
      <c r="R199" s="10"/>
      <c r="S199" s="10"/>
    </row>
    <row r="200" spans="1:19">
      <c r="A200" s="5"/>
      <c r="B200" s="410" t="s">
        <v>950</v>
      </c>
      <c r="C200" s="119">
        <f>((38-5)-(38-20))/LN((38-5)/(38-20))</f>
        <v>24.746929502671932</v>
      </c>
      <c r="D200" s="55" t="s">
        <v>228</v>
      </c>
      <c r="E200" s="5"/>
      <c r="F200" s="5"/>
      <c r="G200" s="137"/>
      <c r="H200" s="410" t="s">
        <v>950</v>
      </c>
      <c r="I200" s="119">
        <f>((38-5)-(38-20))/LN((38-5)/(38-20))</f>
        <v>24.746929502671932</v>
      </c>
      <c r="J200" s="55" t="s">
        <v>228</v>
      </c>
    </row>
    <row r="201" spans="1:19">
      <c r="A201" s="5"/>
      <c r="B201" s="407" t="s">
        <v>951</v>
      </c>
      <c r="C201" s="137">
        <f>C198*C199*C200/'Constants &amp; Conversions'!D28/'Constants &amp; Conversions'!D28</f>
        <v>5.8008813028537922</v>
      </c>
      <c r="D201" s="263" t="s">
        <v>254</v>
      </c>
      <c r="E201" s="5"/>
      <c r="F201" s="5"/>
      <c r="G201" s="137"/>
      <c r="H201" s="407" t="s">
        <v>951</v>
      </c>
      <c r="I201" s="137">
        <f>I198*I199*I200/'Constants &amp; Conversions'!D28/'Constants &amp; Conversions'!D28</f>
        <v>6.0889464001760434</v>
      </c>
      <c r="J201" s="263" t="s">
        <v>254</v>
      </c>
    </row>
    <row r="202" spans="1:19">
      <c r="A202" s="5"/>
      <c r="B202" s="410" t="s">
        <v>269</v>
      </c>
      <c r="C202" s="119">
        <f>0.66*C185</f>
        <v>19.323039624510727</v>
      </c>
      <c r="D202" s="55" t="s">
        <v>222</v>
      </c>
      <c r="E202" s="5"/>
      <c r="F202" s="5"/>
      <c r="G202" s="137"/>
      <c r="H202" s="410" t="s">
        <v>269</v>
      </c>
      <c r="I202" s="119">
        <f>0.66*I185</f>
        <v>19.797006717939066</v>
      </c>
      <c r="J202" s="55" t="s">
        <v>222</v>
      </c>
    </row>
    <row r="203" spans="1:19">
      <c r="A203" s="5"/>
      <c r="B203" s="407" t="s">
        <v>270</v>
      </c>
      <c r="C203" s="137">
        <f>C202*PI()*C187</f>
        <v>39.219022443164128</v>
      </c>
      <c r="D203" s="263" t="s">
        <v>128</v>
      </c>
      <c r="E203" s="5"/>
      <c r="F203" s="5"/>
      <c r="G203" s="137"/>
      <c r="H203" s="407" t="s">
        <v>270</v>
      </c>
      <c r="I203" s="137">
        <f>I202*PI()*I187</f>
        <v>30.159900220982017</v>
      </c>
      <c r="J203" s="263" t="s">
        <v>128</v>
      </c>
    </row>
    <row r="204" spans="1:19">
      <c r="A204" s="5"/>
      <c r="B204" s="410" t="s">
        <v>953</v>
      </c>
      <c r="C204" s="119">
        <f>C198*C203*C200/'Constants &amp; Conversions'!D28/'Constants &amp; Conversions'!D28</f>
        <v>0.44062987413836968</v>
      </c>
      <c r="D204" s="55" t="s">
        <v>254</v>
      </c>
      <c r="E204" s="5"/>
      <c r="F204" s="5"/>
      <c r="G204" s="137"/>
      <c r="H204" s="410" t="s">
        <v>953</v>
      </c>
      <c r="I204" s="119">
        <f>I198*I203*I200/'Constants &amp; Conversions'!D28/'Constants &amp; Conversions'!D28</f>
        <v>0.33884967575762276</v>
      </c>
      <c r="J204" s="55" t="s">
        <v>254</v>
      </c>
    </row>
    <row r="205" spans="1:19">
      <c r="A205" s="5"/>
      <c r="B205" s="407" t="s">
        <v>271</v>
      </c>
      <c r="C205" s="137">
        <v>0.3</v>
      </c>
      <c r="D205" s="263" t="s">
        <v>222</v>
      </c>
      <c r="E205" s="5"/>
      <c r="F205" s="5"/>
      <c r="G205" s="137"/>
      <c r="H205" s="407" t="s">
        <v>271</v>
      </c>
      <c r="I205" s="9">
        <v>0.3</v>
      </c>
      <c r="J205" s="263" t="s">
        <v>222</v>
      </c>
    </row>
    <row r="206" spans="1:19">
      <c r="A206" s="5"/>
      <c r="B206" s="410" t="s">
        <v>272</v>
      </c>
      <c r="C206" s="119">
        <f>C183-2*C205</f>
        <v>4.7675110068085322</v>
      </c>
      <c r="D206" s="55" t="s">
        <v>222</v>
      </c>
      <c r="E206" s="5"/>
      <c r="F206" s="5"/>
      <c r="G206" s="137"/>
      <c r="H206" s="410" t="s">
        <v>272</v>
      </c>
      <c r="I206" s="119">
        <f>I183-2*I205</f>
        <v>4.8991685327608501</v>
      </c>
      <c r="J206" s="55" t="s">
        <v>222</v>
      </c>
    </row>
    <row r="207" spans="1:19">
      <c r="A207" s="5"/>
      <c r="B207" s="407" t="s">
        <v>273</v>
      </c>
      <c r="C207" s="137">
        <v>0.13900000000000001</v>
      </c>
      <c r="D207" s="263" t="s">
        <v>222</v>
      </c>
      <c r="E207" s="5"/>
      <c r="F207" s="5"/>
      <c r="G207" s="137"/>
      <c r="H207" s="407" t="s">
        <v>273</v>
      </c>
      <c r="I207" s="137">
        <v>0.13900000000000001</v>
      </c>
      <c r="J207" s="263" t="s">
        <v>222</v>
      </c>
    </row>
    <row r="208" spans="1:19">
      <c r="A208" s="5"/>
      <c r="B208" s="410" t="s">
        <v>274</v>
      </c>
      <c r="C208" s="119">
        <v>0.28299999999999997</v>
      </c>
      <c r="D208" s="55" t="s">
        <v>222</v>
      </c>
      <c r="E208" s="5"/>
      <c r="F208" s="5"/>
      <c r="G208" s="137"/>
      <c r="H208" s="410" t="s">
        <v>274</v>
      </c>
      <c r="I208" s="119">
        <v>0.28299999999999997</v>
      </c>
      <c r="J208" s="55" t="s">
        <v>222</v>
      </c>
    </row>
    <row r="209" spans="1:19">
      <c r="A209" s="5"/>
      <c r="B209" s="407" t="s">
        <v>954</v>
      </c>
      <c r="C209" s="137">
        <f>C197-C201-C204</f>
        <v>-2.5433133911974615</v>
      </c>
      <c r="D209" s="263" t="s">
        <v>254</v>
      </c>
      <c r="E209" s="5"/>
      <c r="F209" s="5"/>
      <c r="G209" s="137"/>
      <c r="H209" s="407" t="s">
        <v>954</v>
      </c>
      <c r="I209" s="137">
        <f>I197-I201-I204</f>
        <v>0.94983077283749417</v>
      </c>
      <c r="J209" s="263" t="s">
        <v>254</v>
      </c>
    </row>
    <row r="210" spans="1:19">
      <c r="A210" s="5"/>
      <c r="B210" s="410" t="s">
        <v>267</v>
      </c>
      <c r="C210" s="412">
        <v>681</v>
      </c>
      <c r="D210" s="55" t="s">
        <v>278</v>
      </c>
      <c r="E210" s="5"/>
      <c r="F210" s="5"/>
      <c r="G210" s="137"/>
      <c r="H210" s="410" t="s">
        <v>267</v>
      </c>
      <c r="I210" s="345">
        <v>681</v>
      </c>
      <c r="J210" s="55" t="s">
        <v>278</v>
      </c>
    </row>
    <row r="211" spans="1:19">
      <c r="A211" s="5"/>
      <c r="B211" s="407" t="s">
        <v>275</v>
      </c>
      <c r="C211" s="137">
        <f>PI()*C207*PI()*C206</f>
        <v>6.540429218490484</v>
      </c>
      <c r="D211" s="263" t="s">
        <v>128</v>
      </c>
      <c r="E211" s="5"/>
      <c r="F211" s="5"/>
      <c r="G211" s="137"/>
      <c r="H211" s="407" t="s">
        <v>275</v>
      </c>
      <c r="I211" s="137">
        <f>PI()*I207*PI()*I206</f>
        <v>6.7210468884534826</v>
      </c>
      <c r="J211" s="263" t="s">
        <v>128</v>
      </c>
    </row>
    <row r="212" spans="1:19">
      <c r="A212" s="5"/>
      <c r="B212" s="410" t="s">
        <v>276</v>
      </c>
      <c r="C212" s="119">
        <f>ROUNDUP(C209*'Constants &amp; Conversions'!D28*'Constants &amp; Conversions'!D28/C210/C211/C200,0)</f>
        <v>-24</v>
      </c>
      <c r="D212" s="55"/>
      <c r="E212" s="5"/>
      <c r="F212" s="5"/>
      <c r="G212" s="137"/>
      <c r="H212" s="410" t="s">
        <v>276</v>
      </c>
      <c r="I212" s="119">
        <f>ROUNDUP(I209*'Constants &amp; Conversions'!D28*'Constants &amp; Conversions'!D28/I210/I211/I200,0)</f>
        <v>9</v>
      </c>
      <c r="J212" s="55"/>
    </row>
    <row r="213" spans="1:19" ht="17" thickBot="1">
      <c r="A213" s="5"/>
      <c r="B213" s="408" t="s">
        <v>277</v>
      </c>
      <c r="C213" s="409">
        <f>C212*C208</f>
        <v>-6.7919999999999998</v>
      </c>
      <c r="D213" s="266" t="s">
        <v>222</v>
      </c>
      <c r="E213" s="5"/>
      <c r="F213" s="5"/>
      <c r="G213" s="137"/>
      <c r="H213" s="408" t="s">
        <v>277</v>
      </c>
      <c r="I213" s="409">
        <f>I212*I208</f>
        <v>2.5469999999999997</v>
      </c>
      <c r="J213" s="266" t="s">
        <v>222</v>
      </c>
    </row>
    <row r="214" spans="1:19">
      <c r="A214" s="5"/>
      <c r="B214" s="5"/>
      <c r="C214" s="5"/>
      <c r="D214" s="5"/>
      <c r="E214" s="5"/>
    </row>
    <row r="215" spans="1:19">
      <c r="B215" s="5"/>
      <c r="C215" s="5"/>
      <c r="D215" s="5"/>
      <c r="E215" s="5"/>
    </row>
    <row r="218" spans="1:19" ht="17" thickBot="1"/>
    <row r="219" spans="1:19" ht="38" thickBot="1">
      <c r="B219" s="416" t="s">
        <v>279</v>
      </c>
      <c r="C219" s="417"/>
    </row>
    <row r="220" spans="1:19" s="288" customFormat="1">
      <c r="B220" s="17"/>
      <c r="C220" s="327"/>
    </row>
    <row r="222" spans="1:19" ht="26">
      <c r="B222" s="418" t="s">
        <v>282</v>
      </c>
      <c r="C222" s="421"/>
      <c r="J222" s="10"/>
      <c r="K222" s="10"/>
      <c r="L222" s="10"/>
      <c r="M222" s="10"/>
    </row>
    <row r="223" spans="1:19" s="10" customFormat="1" ht="17" thickBot="1">
      <c r="B223" s="3"/>
      <c r="J223"/>
      <c r="K223"/>
      <c r="L223"/>
      <c r="M223"/>
      <c r="Q223"/>
      <c r="R223"/>
      <c r="S223"/>
    </row>
    <row r="224" spans="1:19" ht="22" thickBot="1">
      <c r="B224" s="721" t="s">
        <v>0</v>
      </c>
      <c r="C224" s="697"/>
      <c r="D224" s="699"/>
      <c r="E224" s="325"/>
      <c r="F224" s="325"/>
      <c r="H224" s="721" t="s">
        <v>1</v>
      </c>
      <c r="I224" s="697"/>
      <c r="J224" s="699"/>
    </row>
    <row r="225" spans="2:17" ht="17" thickBot="1">
      <c r="B225" s="114" t="s">
        <v>216</v>
      </c>
      <c r="C225" s="115" t="s">
        <v>218</v>
      </c>
      <c r="D225" s="116" t="s">
        <v>217</v>
      </c>
      <c r="E225" s="17"/>
      <c r="F225" s="17"/>
      <c r="G225" s="17"/>
      <c r="H225" s="114" t="s">
        <v>216</v>
      </c>
      <c r="I225" s="115" t="s">
        <v>218</v>
      </c>
      <c r="J225" s="116" t="s">
        <v>217</v>
      </c>
      <c r="Q225" s="1"/>
    </row>
    <row r="226" spans="2:17">
      <c r="B226" s="153" t="s">
        <v>283</v>
      </c>
      <c r="C226" s="137">
        <f>O68</f>
        <v>15938.558709664947</v>
      </c>
      <c r="D226" s="263" t="s">
        <v>44</v>
      </c>
      <c r="E226" s="9"/>
      <c r="F226" s="9"/>
      <c r="G226" s="137"/>
      <c r="H226" s="153" t="s">
        <v>283</v>
      </c>
      <c r="I226" s="137">
        <f>O69</f>
        <v>111970.36476794428</v>
      </c>
      <c r="J226" s="263" t="s">
        <v>44</v>
      </c>
      <c r="Q226" s="1"/>
    </row>
    <row r="227" spans="2:17">
      <c r="B227" s="336" t="s">
        <v>284</v>
      </c>
      <c r="C227" s="414">
        <f>VLOOKUP('Summary Table'!C23,'Scenarios Data'!B14:AR22,4,FALSE)</f>
        <v>0.77600000000000002</v>
      </c>
      <c r="D227" s="55"/>
      <c r="E227" s="9"/>
      <c r="F227" s="9"/>
      <c r="G227" s="262"/>
      <c r="H227" s="336" t="s">
        <v>284</v>
      </c>
      <c r="I227" s="414">
        <f>VLOOKUP('Summary Table'!C23,'Scenarios Data'!B14:AR22,5,FALSE)</f>
        <v>0.97</v>
      </c>
      <c r="J227" s="55"/>
      <c r="Q227" s="1"/>
    </row>
    <row r="228" spans="2:17">
      <c r="B228" s="153" t="s">
        <v>289</v>
      </c>
      <c r="C228" s="9">
        <v>6</v>
      </c>
      <c r="D228" s="263"/>
      <c r="E228" s="9"/>
      <c r="F228" s="9"/>
      <c r="G228" s="9"/>
      <c r="H228" s="153" t="s">
        <v>289</v>
      </c>
      <c r="I228" s="9">
        <v>2</v>
      </c>
      <c r="J228" s="263"/>
      <c r="Q228" s="1"/>
    </row>
    <row r="229" spans="2:17">
      <c r="B229" s="336" t="s">
        <v>288</v>
      </c>
      <c r="C229" s="54">
        <v>2.5</v>
      </c>
      <c r="D229" s="55" t="s">
        <v>245</v>
      </c>
      <c r="E229" s="9"/>
      <c r="F229" s="9"/>
      <c r="G229" s="9"/>
      <c r="H229" s="336" t="s">
        <v>288</v>
      </c>
      <c r="I229" s="54">
        <v>2.5</v>
      </c>
      <c r="J229" s="55" t="s">
        <v>245</v>
      </c>
    </row>
    <row r="230" spans="2:17">
      <c r="B230" s="153" t="s">
        <v>290</v>
      </c>
      <c r="C230" s="344">
        <f>VLOOKUP('Summary Table'!C23,'Scenarios Data'!B14:AR22,6,FALSE)</f>
        <v>0.5</v>
      </c>
      <c r="D230" s="263" t="s">
        <v>293</v>
      </c>
      <c r="E230" s="9"/>
      <c r="F230" s="9"/>
      <c r="G230" s="9"/>
      <c r="H230" s="153" t="s">
        <v>290</v>
      </c>
      <c r="I230" s="344">
        <f>VLOOKUP('Summary Table'!C23,'Scenarios Data'!B14:AR22,6,FALSE)</f>
        <v>0.5</v>
      </c>
      <c r="J230" s="263" t="s">
        <v>293</v>
      </c>
    </row>
    <row r="231" spans="2:17">
      <c r="B231" s="336" t="s">
        <v>291</v>
      </c>
      <c r="C231" s="390">
        <f>(C226/'Constants &amp; Conversions'!H20/C227)*C228/'Constants &amp; Conversions'!D22*'Constants &amp; Conversions'!M17*C229</f>
        <v>257717.18400452076</v>
      </c>
      <c r="D231" s="55" t="s">
        <v>124</v>
      </c>
      <c r="E231" s="9"/>
      <c r="F231" s="9"/>
      <c r="G231" s="318"/>
      <c r="H231" s="336" t="s">
        <v>291</v>
      </c>
      <c r="I231" s="390">
        <f>(I226/'Constants &amp; Conversions'!H15/I227)*I228/'Constants &amp; Conversions'!D22*'Constants &amp; Conversions'!M17*I229</f>
        <v>343622.91200602771</v>
      </c>
      <c r="J231" s="55" t="s">
        <v>124</v>
      </c>
    </row>
    <row r="232" spans="2:17">
      <c r="B232" s="153" t="s">
        <v>292</v>
      </c>
      <c r="C232" s="401">
        <f>(C226/'Constants &amp; Conversions'!H20/C227)*C228*'Constants &amp; Conversions'!D28/'Constants &amp; Conversions'!D22*'Constants &amp; Conversions'!M17/C230*'Constants &amp; Conversions'!D27</f>
        <v>20617.374720361662</v>
      </c>
      <c r="D232" s="263" t="s">
        <v>128</v>
      </c>
      <c r="E232" s="9"/>
      <c r="F232" s="9"/>
      <c r="G232" s="318"/>
      <c r="H232" s="153" t="s">
        <v>292</v>
      </c>
      <c r="I232" s="401">
        <f>(I226/'Constants &amp; Conversions'!H15/I227)*I228*'Constants &amp; Conversions'!D28/'Constants &amp; Conversions'!D22*'Constants &amp; Conversions'!M17/I230*'Constants &amp; Conversions'!D27</f>
        <v>27489.832960482217</v>
      </c>
      <c r="J232" s="263" t="s">
        <v>128</v>
      </c>
    </row>
    <row r="233" spans="2:17">
      <c r="B233" s="336" t="s">
        <v>310</v>
      </c>
      <c r="C233" s="411">
        <f>'Summary Table'!H37</f>
        <v>1</v>
      </c>
      <c r="D233" s="55" t="s">
        <v>311</v>
      </c>
      <c r="E233" s="9"/>
      <c r="F233" s="9"/>
      <c r="G233" s="318"/>
      <c r="H233" s="336" t="s">
        <v>310</v>
      </c>
      <c r="I233" s="411">
        <f>'Summary Table'!H37</f>
        <v>1</v>
      </c>
      <c r="J233" s="55" t="s">
        <v>311</v>
      </c>
    </row>
    <row r="234" spans="2:17">
      <c r="B234" s="153" t="s">
        <v>313</v>
      </c>
      <c r="C234" s="415">
        <f>VLOOKUP('Summary Table'!C23,'Scenarios Data'!B14:AS22,43,FALSE)</f>
        <v>200</v>
      </c>
      <c r="D234" s="263" t="s">
        <v>189</v>
      </c>
      <c r="E234" s="9"/>
      <c r="F234" s="9"/>
      <c r="G234" s="318"/>
      <c r="H234" s="153" t="s">
        <v>313</v>
      </c>
      <c r="I234" s="415">
        <f>VLOOKUP('Summary Table'!C23,'Scenarios Data'!B14:AS22,44,FALSE)</f>
        <v>200</v>
      </c>
      <c r="J234" s="263" t="s">
        <v>189</v>
      </c>
    </row>
    <row r="235" spans="2:17">
      <c r="B235" s="336" t="s">
        <v>315</v>
      </c>
      <c r="C235" s="363">
        <f>C232*C233/'Constants &amp; Conversions'!D27/'Constants &amp; Conversions'!D28/'Constants &amp; Conversions'!D28</f>
        <v>206.17374720361664</v>
      </c>
      <c r="D235" s="55" t="s">
        <v>74</v>
      </c>
      <c r="E235" s="9"/>
      <c r="F235" s="9"/>
      <c r="G235" s="318"/>
      <c r="H235" s="336" t="s">
        <v>315</v>
      </c>
      <c r="I235" s="363">
        <f>I232*I233/'Constants &amp; Conversions'!D27/'Constants &amp; Conversions'!D28/'Constants &amp; Conversions'!D28</f>
        <v>274.89832960482215</v>
      </c>
      <c r="J235" s="55" t="s">
        <v>74</v>
      </c>
    </row>
    <row r="236" spans="2:17" ht="17" thickBot="1">
      <c r="B236" s="172" t="s">
        <v>314</v>
      </c>
      <c r="C236" s="380">
        <f>('Constants &amp; Conversions'!D19/C234)*C235</f>
        <v>8659.2973825518984</v>
      </c>
      <c r="D236" s="266" t="s">
        <v>322</v>
      </c>
      <c r="E236" s="9"/>
      <c r="F236" s="9"/>
      <c r="G236" s="318"/>
      <c r="H236" s="172" t="s">
        <v>314</v>
      </c>
      <c r="I236" s="380">
        <f>('Constants &amp; Conversions'!D19/I234)*I235</f>
        <v>11545.729843402531</v>
      </c>
      <c r="J236" s="266" t="s">
        <v>322</v>
      </c>
    </row>
    <row r="237" spans="2:17">
      <c r="J237" s="1"/>
      <c r="K237" s="1"/>
    </row>
    <row r="238" spans="2:17">
      <c r="H238" s="1"/>
      <c r="I238" s="1"/>
      <c r="J238" s="1"/>
      <c r="K238" s="1"/>
    </row>
    <row r="239" spans="2:17" ht="26">
      <c r="B239" s="418" t="s">
        <v>295</v>
      </c>
      <c r="G239" s="1"/>
      <c r="H239" s="1"/>
      <c r="I239" s="1"/>
      <c r="J239" s="1"/>
      <c r="K239" s="1"/>
    </row>
    <row r="240" spans="2:17" ht="17" thickBot="1">
      <c r="F240" s="1"/>
      <c r="G240" s="1"/>
      <c r="H240" s="1"/>
      <c r="I240" s="1"/>
      <c r="J240" s="1"/>
      <c r="K240" s="1"/>
    </row>
    <row r="241" spans="2:16" ht="22" thickBot="1">
      <c r="B241" s="721" t="s">
        <v>0</v>
      </c>
      <c r="C241" s="697"/>
      <c r="D241" s="697"/>
      <c r="E241" s="697"/>
      <c r="F241" s="699"/>
      <c r="G241" s="1"/>
      <c r="H241" s="721" t="s">
        <v>1</v>
      </c>
      <c r="I241" s="697"/>
      <c r="J241" s="697"/>
      <c r="K241" s="697"/>
      <c r="L241" s="699"/>
    </row>
    <row r="242" spans="2:16" ht="17" thickBot="1">
      <c r="B242" s="422" t="s">
        <v>308</v>
      </c>
      <c r="C242" s="406" t="s">
        <v>680</v>
      </c>
      <c r="D242" s="406" t="s">
        <v>681</v>
      </c>
      <c r="E242" s="406" t="s">
        <v>1004</v>
      </c>
      <c r="F242" s="423" t="s">
        <v>217</v>
      </c>
      <c r="G242" s="1"/>
      <c r="H242" s="422" t="s">
        <v>308</v>
      </c>
      <c r="I242" s="406" t="s">
        <v>680</v>
      </c>
      <c r="J242" s="406" t="s">
        <v>681</v>
      </c>
      <c r="K242" s="406" t="s">
        <v>296</v>
      </c>
      <c r="L242" s="423" t="s">
        <v>217</v>
      </c>
    </row>
    <row r="243" spans="2:16">
      <c r="B243" s="309" t="s">
        <v>297</v>
      </c>
      <c r="C243" s="5">
        <v>40.24</v>
      </c>
      <c r="D243" s="5">
        <v>2</v>
      </c>
      <c r="E243" s="6">
        <f>C243*D243*(607.5/567.3)</f>
        <v>86.182971972501335</v>
      </c>
      <c r="F243" s="108" t="s">
        <v>355</v>
      </c>
      <c r="G243" s="1"/>
      <c r="H243" s="309" t="s">
        <v>297</v>
      </c>
      <c r="I243" s="5">
        <v>40.24</v>
      </c>
      <c r="J243" s="5">
        <v>2</v>
      </c>
      <c r="K243" s="6">
        <f>I243*J243*(607.5/567.3)</f>
        <v>86.182971972501335</v>
      </c>
      <c r="L243" s="108" t="s">
        <v>355</v>
      </c>
    </row>
    <row r="244" spans="2:16">
      <c r="B244" s="392" t="s">
        <v>298</v>
      </c>
      <c r="C244" s="54">
        <v>6.81</v>
      </c>
      <c r="D244" s="54">
        <v>107</v>
      </c>
      <c r="E244" s="119">
        <f>C244*D244*(607.5/567.3)</f>
        <v>780.30499735589638</v>
      </c>
      <c r="F244" s="125" t="s">
        <v>355</v>
      </c>
      <c r="G244" s="1"/>
      <c r="H244" s="392" t="s">
        <v>298</v>
      </c>
      <c r="I244" s="54">
        <v>6.81</v>
      </c>
      <c r="J244" s="54">
        <v>107</v>
      </c>
      <c r="K244" s="119">
        <f>I244*J244*(607.5/567.3)</f>
        <v>780.30499735589638</v>
      </c>
      <c r="L244" s="125" t="s">
        <v>355</v>
      </c>
    </row>
    <row r="245" spans="2:16">
      <c r="B245" s="309" t="s">
        <v>299</v>
      </c>
      <c r="C245" s="5"/>
      <c r="D245" s="5"/>
      <c r="E245" s="6">
        <f>1095.21*(607.5/567.3)</f>
        <v>1172.8187466948705</v>
      </c>
      <c r="F245" s="108" t="s">
        <v>355</v>
      </c>
      <c r="G245" s="1"/>
      <c r="H245" s="309" t="s">
        <v>299</v>
      </c>
      <c r="I245" s="5"/>
      <c r="J245" s="5"/>
      <c r="K245" s="6">
        <f>1095.21*(607.5/567.3)</f>
        <v>1172.8187466948705</v>
      </c>
      <c r="L245" s="108" t="s">
        <v>355</v>
      </c>
    </row>
    <row r="246" spans="2:16">
      <c r="B246" s="392" t="s">
        <v>300</v>
      </c>
      <c r="C246" s="54">
        <v>2.62</v>
      </c>
      <c r="D246" s="54">
        <v>212</v>
      </c>
      <c r="E246" s="119">
        <f>C246*D246*(607.5/567.3)</f>
        <v>594.79957694341624</v>
      </c>
      <c r="F246" s="125" t="s">
        <v>355</v>
      </c>
      <c r="G246" s="1"/>
      <c r="H246" s="392" t="s">
        <v>300</v>
      </c>
      <c r="I246" s="54">
        <v>2.62</v>
      </c>
      <c r="J246" s="54">
        <v>212</v>
      </c>
      <c r="K246" s="119">
        <f>I246*J246*(607.5/567.3)</f>
        <v>594.79957694341624</v>
      </c>
      <c r="L246" s="125" t="s">
        <v>355</v>
      </c>
    </row>
    <row r="247" spans="2:16">
      <c r="B247" s="309" t="s">
        <v>301</v>
      </c>
      <c r="C247" s="5"/>
      <c r="D247" s="5"/>
      <c r="E247" s="6">
        <f>40*(607.5/567.3)</f>
        <v>42.834479111581174</v>
      </c>
      <c r="F247" s="108" t="s">
        <v>355</v>
      </c>
      <c r="G247" s="1"/>
      <c r="H247" s="309" t="s">
        <v>301</v>
      </c>
      <c r="I247" s="5"/>
      <c r="J247" s="5"/>
      <c r="K247" s="6">
        <f>40*(607.5/567.3)</f>
        <v>42.834479111581174</v>
      </c>
      <c r="L247" s="108" t="s">
        <v>355</v>
      </c>
      <c r="M247" s="1"/>
    </row>
    <row r="248" spans="2:16">
      <c r="B248" s="392" t="s">
        <v>302</v>
      </c>
      <c r="C248" s="54">
        <v>3432</v>
      </c>
      <c r="D248" s="54">
        <v>4.24</v>
      </c>
      <c r="E248" s="54">
        <f>C248*D248</f>
        <v>14551.68</v>
      </c>
      <c r="F248" s="125" t="s">
        <v>355</v>
      </c>
      <c r="H248" s="392" t="s">
        <v>302</v>
      </c>
      <c r="I248" s="54">
        <v>600</v>
      </c>
      <c r="J248" s="54">
        <v>4.24</v>
      </c>
      <c r="K248" s="54">
        <f>I248*J248</f>
        <v>2544</v>
      </c>
      <c r="L248" s="125" t="s">
        <v>355</v>
      </c>
      <c r="M248" s="1"/>
      <c r="N248" s="1"/>
      <c r="O248" s="1"/>
      <c r="P248" s="1"/>
    </row>
    <row r="249" spans="2:16">
      <c r="B249" s="309" t="s">
        <v>303</v>
      </c>
      <c r="C249" s="5">
        <v>860</v>
      </c>
      <c r="D249" s="5">
        <v>4.24</v>
      </c>
      <c r="E249" s="5">
        <f>C249*D249</f>
        <v>3646.4</v>
      </c>
      <c r="F249" s="108" t="s">
        <v>355</v>
      </c>
      <c r="H249" s="309" t="s">
        <v>303</v>
      </c>
      <c r="I249" s="5">
        <v>860</v>
      </c>
      <c r="J249" s="5">
        <v>4.24</v>
      </c>
      <c r="K249" s="5">
        <f>I249*J249</f>
        <v>3646.4</v>
      </c>
      <c r="L249" s="108" t="s">
        <v>355</v>
      </c>
      <c r="M249" s="1"/>
      <c r="N249" s="1"/>
      <c r="O249" s="1"/>
      <c r="P249" s="1"/>
    </row>
    <row r="250" spans="2:16" ht="17" thickBot="1">
      <c r="B250" s="392" t="s">
        <v>304</v>
      </c>
      <c r="C250" s="54">
        <v>300</v>
      </c>
      <c r="D250" s="54">
        <v>4.24</v>
      </c>
      <c r="E250" s="54">
        <f>C250*D250</f>
        <v>1272</v>
      </c>
      <c r="F250" s="125" t="s">
        <v>355</v>
      </c>
      <c r="H250" s="392" t="s">
        <v>304</v>
      </c>
      <c r="I250" s="54">
        <v>300</v>
      </c>
      <c r="J250" s="54">
        <v>4.24</v>
      </c>
      <c r="K250" s="54">
        <f>I250*J250</f>
        <v>1272</v>
      </c>
      <c r="L250" s="125" t="s">
        <v>355</v>
      </c>
      <c r="M250" s="1"/>
      <c r="N250" s="1"/>
      <c r="O250" s="1"/>
      <c r="P250" s="1"/>
    </row>
    <row r="251" spans="2:16" ht="17" thickBot="1">
      <c r="B251" s="320" t="s">
        <v>594</v>
      </c>
      <c r="C251" s="323"/>
      <c r="D251" s="323"/>
      <c r="E251" s="424">
        <f>SUM(E243:E250)</f>
        <v>22147.020772078267</v>
      </c>
      <c r="F251" s="324" t="s">
        <v>309</v>
      </c>
      <c r="H251" s="320" t="s">
        <v>307</v>
      </c>
      <c r="I251" s="323"/>
      <c r="J251" s="323"/>
      <c r="K251" s="424">
        <f>SUM(K243:K250)</f>
        <v>10139.340772078265</v>
      </c>
      <c r="L251" s="324" t="s">
        <v>309</v>
      </c>
      <c r="N251" s="1"/>
      <c r="O251" s="1"/>
      <c r="P251" s="1"/>
    </row>
    <row r="252" spans="2:16">
      <c r="B252" s="1"/>
      <c r="C252" s="1"/>
      <c r="D252" s="1"/>
      <c r="E252" s="1"/>
      <c r="G252" s="1"/>
    </row>
    <row r="253" spans="2:16">
      <c r="G253" s="1"/>
    </row>
    <row r="254" spans="2:16">
      <c r="G254" s="16"/>
    </row>
    <row r="255" spans="2:16">
      <c r="G255" s="16"/>
      <c r="M255" s="1"/>
    </row>
    <row r="256" spans="2:16" ht="17" thickBot="1"/>
    <row r="257" spans="2:4" ht="38" thickBot="1">
      <c r="B257" s="416" t="s">
        <v>377</v>
      </c>
      <c r="C257" s="417"/>
    </row>
    <row r="260" spans="2:4" ht="26">
      <c r="B260" s="418" t="s">
        <v>1047</v>
      </c>
      <c r="C260" s="421"/>
    </row>
    <row r="261" spans="2:4" ht="17" thickBot="1"/>
    <row r="262" spans="2:4" ht="17" thickBot="1">
      <c r="B262" s="114" t="s">
        <v>216</v>
      </c>
      <c r="C262" s="115" t="s">
        <v>218</v>
      </c>
      <c r="D262" s="116" t="s">
        <v>217</v>
      </c>
    </row>
    <row r="263" spans="2:4">
      <c r="B263" s="315" t="s">
        <v>956</v>
      </c>
      <c r="C263" s="425">
        <v>800</v>
      </c>
      <c r="D263" s="311" t="s">
        <v>378</v>
      </c>
    </row>
    <row r="264" spans="2:4">
      <c r="B264" s="336" t="s">
        <v>957</v>
      </c>
      <c r="C264" s="54">
        <f>206460</f>
        <v>206460</v>
      </c>
      <c r="D264" s="55" t="s">
        <v>133</v>
      </c>
    </row>
    <row r="265" spans="2:4" ht="17" thickBot="1">
      <c r="B265" s="172" t="s">
        <v>379</v>
      </c>
      <c r="C265" s="377">
        <f>C264/C263</f>
        <v>258.07499999999999</v>
      </c>
      <c r="D265" s="266" t="s">
        <v>128</v>
      </c>
    </row>
    <row r="269" spans="2:4" ht="26">
      <c r="B269" s="418" t="s">
        <v>1048</v>
      </c>
      <c r="C269" s="421"/>
    </row>
    <row r="270" spans="2:4" ht="17" thickBot="1"/>
    <row r="271" spans="2:4" ht="17" thickBot="1">
      <c r="B271" s="114" t="s">
        <v>216</v>
      </c>
      <c r="C271" s="115" t="s">
        <v>218</v>
      </c>
      <c r="D271" s="116" t="s">
        <v>217</v>
      </c>
    </row>
    <row r="272" spans="2:4">
      <c r="B272" s="315" t="s">
        <v>956</v>
      </c>
      <c r="C272" s="425">
        <v>800</v>
      </c>
      <c r="D272" s="311" t="s">
        <v>378</v>
      </c>
    </row>
    <row r="273" spans="2:8">
      <c r="B273" s="336" t="s">
        <v>957</v>
      </c>
      <c r="C273" s="54">
        <v>84460</v>
      </c>
      <c r="D273" s="55" t="s">
        <v>133</v>
      </c>
    </row>
    <row r="274" spans="2:8" ht="17" thickBot="1">
      <c r="B274" s="172" t="s">
        <v>379</v>
      </c>
      <c r="C274" s="377">
        <f>C273/C272</f>
        <v>105.575</v>
      </c>
      <c r="D274" s="266" t="s">
        <v>128</v>
      </c>
    </row>
    <row r="275" spans="2:8">
      <c r="B275" s="17"/>
      <c r="C275" s="17"/>
      <c r="D275" s="9"/>
    </row>
    <row r="276" spans="2:8">
      <c r="B276" s="17"/>
      <c r="C276" s="17"/>
      <c r="D276" s="9"/>
    </row>
    <row r="278" spans="2:8" ht="26">
      <c r="B278" s="418" t="s">
        <v>382</v>
      </c>
      <c r="C278" s="421"/>
    </row>
    <row r="279" spans="2:8" s="10" customFormat="1">
      <c r="B279" s="463"/>
      <c r="C279" s="288"/>
    </row>
    <row r="280" spans="2:8" s="10" customFormat="1" ht="21">
      <c r="B280" s="464" t="s">
        <v>750</v>
      </c>
      <c r="C280" s="288"/>
      <c r="F280" s="464" t="s">
        <v>751</v>
      </c>
    </row>
    <row r="281" spans="2:8" ht="17" thickBot="1"/>
    <row r="282" spans="2:8" ht="17" thickBot="1">
      <c r="B282" s="114" t="s">
        <v>216</v>
      </c>
      <c r="C282" s="115" t="s">
        <v>218</v>
      </c>
      <c r="D282" s="116" t="s">
        <v>217</v>
      </c>
      <c r="F282" s="114" t="s">
        <v>216</v>
      </c>
      <c r="G282" s="115" t="s">
        <v>218</v>
      </c>
      <c r="H282" s="116" t="s">
        <v>217</v>
      </c>
    </row>
    <row r="283" spans="2:8">
      <c r="B283" s="315" t="s">
        <v>383</v>
      </c>
      <c r="C283" s="425">
        <v>561</v>
      </c>
      <c r="D283" s="311" t="s">
        <v>384</v>
      </c>
      <c r="F283" s="315" t="s">
        <v>383</v>
      </c>
      <c r="G283" s="425">
        <v>561</v>
      </c>
      <c r="H283" s="311" t="s">
        <v>384</v>
      </c>
    </row>
    <row r="284" spans="2:8">
      <c r="B284" s="336" t="s">
        <v>955</v>
      </c>
      <c r="C284" s="54">
        <f>VLOOKUP('Summary Table'!C23,'Scenarios Data'!B14:AR22,14,FALSE)*('Summary Table'!H25/'Summary Table'!C111)</f>
        <v>100699</v>
      </c>
      <c r="D284" s="55" t="s">
        <v>44</v>
      </c>
      <c r="F284" s="336" t="s">
        <v>955</v>
      </c>
      <c r="G284" s="54">
        <f>VLOOKUP('Summary Table'!C23,'Scenarios Data'!B29:U37,3,FALSE)*('Summary Table'!H25/'Summary Table'!C111)</f>
        <v>16303</v>
      </c>
      <c r="H284" s="55" t="s">
        <v>44</v>
      </c>
    </row>
    <row r="285" spans="2:8" ht="17" thickBot="1">
      <c r="B285" s="172" t="s">
        <v>385</v>
      </c>
      <c r="C285" s="380">
        <f>C284*C283/'Constants &amp; Conversions'!D22</f>
        <v>15692.260833333334</v>
      </c>
      <c r="D285" s="266" t="s">
        <v>124</v>
      </c>
      <c r="F285" s="172" t="s">
        <v>385</v>
      </c>
      <c r="G285" s="380">
        <f>G284*G283/'Constants &amp; Conversions'!D22</f>
        <v>2540.5508333333332</v>
      </c>
      <c r="H285" s="266" t="s">
        <v>124</v>
      </c>
    </row>
    <row r="289" spans="2:4" ht="26">
      <c r="B289" s="418" t="s">
        <v>387</v>
      </c>
      <c r="C289" s="426"/>
    </row>
    <row r="291" spans="2:4">
      <c r="B291" t="s">
        <v>392</v>
      </c>
    </row>
    <row r="292" spans="2:4" ht="17" thickBot="1"/>
    <row r="293" spans="2:4" ht="17" thickBot="1">
      <c r="B293" s="114" t="s">
        <v>216</v>
      </c>
      <c r="C293" s="115" t="s">
        <v>218</v>
      </c>
      <c r="D293" s="116" t="s">
        <v>217</v>
      </c>
    </row>
    <row r="294" spans="2:4">
      <c r="B294" s="315" t="s">
        <v>388</v>
      </c>
      <c r="C294" s="398">
        <f>Economics!G34/Economics!H34</f>
        <v>418.2525</v>
      </c>
      <c r="D294" s="311" t="s">
        <v>43</v>
      </c>
    </row>
    <row r="295" spans="2:4">
      <c r="B295" s="336" t="s">
        <v>389</v>
      </c>
      <c r="C295" s="119">
        <f>(4/PI()*C294)^(1/3)</f>
        <v>8.1055574455231554</v>
      </c>
      <c r="D295" s="55" t="s">
        <v>222</v>
      </c>
    </row>
    <row r="296" spans="2:4">
      <c r="B296" s="153" t="s">
        <v>292</v>
      </c>
      <c r="C296" s="137">
        <f>PI()/4*C295^2</f>
        <v>51.600707639301021</v>
      </c>
      <c r="D296" s="263" t="s">
        <v>128</v>
      </c>
    </row>
    <row r="297" spans="2:4">
      <c r="B297" s="336" t="s">
        <v>390</v>
      </c>
      <c r="C297" s="345">
        <v>0.13500000000000001</v>
      </c>
      <c r="D297" s="55" t="s">
        <v>264</v>
      </c>
    </row>
    <row r="298" spans="2:4">
      <c r="B298" s="153" t="s">
        <v>391</v>
      </c>
      <c r="C298" s="344">
        <v>0.25</v>
      </c>
      <c r="D298" s="263"/>
    </row>
    <row r="299" spans="2:4">
      <c r="B299" s="336" t="s">
        <v>393</v>
      </c>
      <c r="C299" s="345">
        <v>0.87</v>
      </c>
      <c r="D299" s="55"/>
    </row>
    <row r="300" spans="2:4">
      <c r="B300" s="153" t="s">
        <v>394</v>
      </c>
      <c r="C300" s="137">
        <f>(C296*C297)/(C299*(C298*C295)^3)*'Constants &amp; Conversions'!D23</f>
        <v>57.736803143897227</v>
      </c>
      <c r="D300" s="263" t="s">
        <v>399</v>
      </c>
    </row>
    <row r="301" spans="2:4">
      <c r="B301" s="336"/>
      <c r="C301" s="54"/>
      <c r="D301" s="55"/>
    </row>
    <row r="302" spans="2:4">
      <c r="B302" s="153" t="s">
        <v>395</v>
      </c>
      <c r="C302" s="344">
        <v>1.37</v>
      </c>
      <c r="D302" s="263"/>
    </row>
    <row r="303" spans="2:4">
      <c r="B303" s="336" t="s">
        <v>396</v>
      </c>
      <c r="C303" s="414">
        <v>0.85</v>
      </c>
      <c r="D303" s="55"/>
    </row>
    <row r="304" spans="2:4">
      <c r="B304" s="153" t="s">
        <v>398</v>
      </c>
      <c r="C304" s="9">
        <v>993</v>
      </c>
      <c r="D304" s="263" t="s">
        <v>202</v>
      </c>
    </row>
    <row r="305" spans="2:4">
      <c r="B305" s="336"/>
      <c r="C305" s="54"/>
      <c r="D305" s="55"/>
    </row>
    <row r="306" spans="2:4">
      <c r="B306" s="153" t="s">
        <v>400</v>
      </c>
      <c r="C306" s="137">
        <f>C302*C304*(C300/'Constants &amp; Conversions'!D23)^3*(C298*C295)^5/C303/'Constants &amp; Conversions'!D28</f>
        <v>48.727016752365309</v>
      </c>
      <c r="D306" s="263" t="s">
        <v>124</v>
      </c>
    </row>
    <row r="307" spans="2:4" ht="17" thickBot="1">
      <c r="B307" s="337" t="s">
        <v>401</v>
      </c>
      <c r="C307" s="428">
        <f>C306*Economics!H34</f>
        <v>292.36210051419187</v>
      </c>
      <c r="D307" s="260" t="s">
        <v>124</v>
      </c>
    </row>
    <row r="308" spans="2:4">
      <c r="C308" s="4"/>
    </row>
    <row r="311" spans="2:4" ht="26">
      <c r="B311" s="418" t="s">
        <v>402</v>
      </c>
      <c r="C311" s="426"/>
    </row>
    <row r="313" spans="2:4">
      <c r="B313" t="s">
        <v>392</v>
      </c>
    </row>
    <row r="314" spans="2:4" ht="17" thickBot="1"/>
    <row r="315" spans="2:4" ht="17" thickBot="1">
      <c r="B315" s="114" t="s">
        <v>216</v>
      </c>
      <c r="C315" s="115" t="s">
        <v>218</v>
      </c>
      <c r="D315" s="116" t="s">
        <v>217</v>
      </c>
    </row>
    <row r="316" spans="2:4">
      <c r="B316" s="111" t="s">
        <v>388</v>
      </c>
      <c r="C316" s="162">
        <f>Economics!G40/Economics!H40</f>
        <v>49.772857142857148</v>
      </c>
      <c r="D316" s="33" t="s">
        <v>43</v>
      </c>
    </row>
    <row r="317" spans="2:4">
      <c r="B317" s="336" t="s">
        <v>389</v>
      </c>
      <c r="C317" s="119">
        <f>(4/PI()*C316)^(1/3)</f>
        <v>3.9868897851938869</v>
      </c>
      <c r="D317" s="55" t="s">
        <v>222</v>
      </c>
    </row>
    <row r="318" spans="2:4">
      <c r="B318" s="42" t="s">
        <v>292</v>
      </c>
      <c r="C318" s="6">
        <f>PI()/4*C317^2</f>
        <v>12.484131697770682</v>
      </c>
      <c r="D318" s="28" t="s">
        <v>128</v>
      </c>
    </row>
    <row r="319" spans="2:4">
      <c r="B319" s="336" t="s">
        <v>390</v>
      </c>
      <c r="C319" s="345">
        <v>0.13500000000000001</v>
      </c>
      <c r="D319" s="55" t="s">
        <v>264</v>
      </c>
    </row>
    <row r="320" spans="2:4">
      <c r="B320" s="42" t="s">
        <v>391</v>
      </c>
      <c r="C320" s="366">
        <v>0.25</v>
      </c>
      <c r="D320" s="28"/>
    </row>
    <row r="321" spans="2:4">
      <c r="B321" s="336" t="s">
        <v>393</v>
      </c>
      <c r="C321" s="345">
        <v>0.87</v>
      </c>
      <c r="D321" s="55"/>
    </row>
    <row r="322" spans="2:4">
      <c r="B322" s="42" t="s">
        <v>394</v>
      </c>
      <c r="C322" s="6">
        <f>(C318*C319)/(C321*(C320*C317)^3)*'Constants &amp; Conversions'!D23</f>
        <v>117.38196935909581</v>
      </c>
      <c r="D322" s="28" t="s">
        <v>399</v>
      </c>
    </row>
    <row r="323" spans="2:4">
      <c r="B323" s="336"/>
      <c r="C323" s="54"/>
      <c r="D323" s="55"/>
    </row>
    <row r="324" spans="2:4">
      <c r="B324" s="42" t="s">
        <v>395</v>
      </c>
      <c r="C324" s="366">
        <v>1.37</v>
      </c>
      <c r="D324" s="28"/>
    </row>
    <row r="325" spans="2:4">
      <c r="B325" s="336" t="s">
        <v>396</v>
      </c>
      <c r="C325" s="414">
        <v>0.85</v>
      </c>
      <c r="D325" s="55"/>
    </row>
    <row r="326" spans="2:4">
      <c r="B326" s="42" t="s">
        <v>398</v>
      </c>
      <c r="C326" s="5">
        <v>993</v>
      </c>
      <c r="D326" s="28" t="s">
        <v>202</v>
      </c>
    </row>
    <row r="327" spans="2:4">
      <c r="B327" s="336"/>
      <c r="C327" s="54"/>
      <c r="D327" s="55"/>
    </row>
    <row r="328" spans="2:4">
      <c r="B328" s="42" t="s">
        <v>400</v>
      </c>
      <c r="C328" s="6">
        <f>C324*C326*(C322/'Constants &amp; Conversions'!D23)^3*(C320*C317)^5/C325/'Constants &amp; Conversions'!D28</f>
        <v>11.788878916704853</v>
      </c>
      <c r="D328" s="28" t="s">
        <v>124</v>
      </c>
    </row>
    <row r="329" spans="2:4" ht="17" thickBot="1">
      <c r="B329" s="337" t="s">
        <v>401</v>
      </c>
      <c r="C329" s="428">
        <f>C328*Economics!H40</f>
        <v>165.04430483386795</v>
      </c>
      <c r="D329" s="260" t="s">
        <v>124</v>
      </c>
    </row>
    <row r="333" spans="2:4" ht="26">
      <c r="B333" s="722" t="s">
        <v>1054</v>
      </c>
      <c r="C333" s="722"/>
    </row>
    <row r="334" spans="2:4" ht="17" thickBot="1"/>
    <row r="335" spans="2:4" ht="17" thickBot="1">
      <c r="B335" s="114" t="s">
        <v>216</v>
      </c>
      <c r="C335" s="115" t="s">
        <v>218</v>
      </c>
      <c r="D335" s="116" t="s">
        <v>217</v>
      </c>
    </row>
    <row r="336" spans="2:4">
      <c r="B336" s="315" t="s">
        <v>406</v>
      </c>
      <c r="C336" s="605">
        <v>1</v>
      </c>
      <c r="D336" s="311" t="s">
        <v>405</v>
      </c>
    </row>
    <row r="337" spans="2:4">
      <c r="B337" s="336" t="s">
        <v>283</v>
      </c>
      <c r="C337" s="119">
        <f>Economics!G41</f>
        <v>348.41</v>
      </c>
      <c r="D337" s="55" t="s">
        <v>45</v>
      </c>
    </row>
    <row r="338" spans="2:4" ht="17" thickBot="1">
      <c r="B338" s="172" t="s">
        <v>397</v>
      </c>
      <c r="C338" s="379">
        <f>C336*C337</f>
        <v>348.41</v>
      </c>
      <c r="D338" s="266" t="s">
        <v>124</v>
      </c>
    </row>
    <row r="342" spans="2:4" ht="26">
      <c r="B342" s="722" t="s">
        <v>1053</v>
      </c>
      <c r="C342" s="722"/>
    </row>
    <row r="343" spans="2:4" ht="17" thickBot="1"/>
    <row r="344" spans="2:4" ht="17" thickBot="1">
      <c r="B344" s="114" t="s">
        <v>216</v>
      </c>
      <c r="C344" s="115" t="s">
        <v>218</v>
      </c>
      <c r="D344" s="116" t="s">
        <v>217</v>
      </c>
    </row>
    <row r="345" spans="2:4">
      <c r="B345" s="315" t="s">
        <v>406</v>
      </c>
      <c r="C345" s="605">
        <v>0.7</v>
      </c>
      <c r="D345" s="311" t="s">
        <v>405</v>
      </c>
    </row>
    <row r="346" spans="2:4">
      <c r="B346" s="336" t="s">
        <v>283</v>
      </c>
      <c r="C346" s="119">
        <f>'Design Calculations'!C273/'Constants &amp; Conversions'!D28</f>
        <v>84.46</v>
      </c>
      <c r="D346" s="55" t="s">
        <v>45</v>
      </c>
    </row>
    <row r="347" spans="2:4" ht="17" thickBot="1">
      <c r="B347" s="172" t="s">
        <v>397</v>
      </c>
      <c r="C347" s="379">
        <f>C345*C346</f>
        <v>59.121999999999993</v>
      </c>
      <c r="D347" s="266" t="s">
        <v>124</v>
      </c>
    </row>
    <row r="351" spans="2:4" ht="26">
      <c r="B351" s="418" t="s">
        <v>404</v>
      </c>
    </row>
    <row r="352" spans="2:4" ht="17" thickBot="1"/>
    <row r="353" spans="2:4" ht="17" thickBot="1">
      <c r="B353" s="114" t="s">
        <v>216</v>
      </c>
      <c r="C353" s="115" t="s">
        <v>218</v>
      </c>
      <c r="D353" s="116" t="s">
        <v>217</v>
      </c>
    </row>
    <row r="354" spans="2:4">
      <c r="B354" s="315" t="s">
        <v>406</v>
      </c>
      <c r="C354" s="425">
        <v>2.5</v>
      </c>
      <c r="D354" s="311" t="s">
        <v>405</v>
      </c>
    </row>
    <row r="355" spans="2:4">
      <c r="B355" s="336" t="s">
        <v>283</v>
      </c>
      <c r="C355" s="119">
        <f>Economics!G50</f>
        <v>119.85</v>
      </c>
      <c r="D355" s="55" t="s">
        <v>45</v>
      </c>
    </row>
    <row r="356" spans="2:4" ht="17" thickBot="1">
      <c r="B356" s="172" t="s">
        <v>397</v>
      </c>
      <c r="C356" s="379">
        <f>C354*C355</f>
        <v>299.625</v>
      </c>
      <c r="D356" s="266" t="s">
        <v>124</v>
      </c>
    </row>
    <row r="360" spans="2:4" ht="26">
      <c r="B360" s="418" t="s">
        <v>409</v>
      </c>
    </row>
    <row r="361" spans="2:4" ht="17" thickBot="1"/>
    <row r="362" spans="2:4" ht="17" thickBot="1">
      <c r="B362" s="114" t="s">
        <v>216</v>
      </c>
      <c r="C362" s="115" t="s">
        <v>218</v>
      </c>
      <c r="D362" s="116" t="s">
        <v>217</v>
      </c>
    </row>
    <row r="363" spans="2:4">
      <c r="B363" s="315" t="s">
        <v>406</v>
      </c>
      <c r="C363" s="425">
        <v>1.655</v>
      </c>
      <c r="D363" s="311" t="s">
        <v>405</v>
      </c>
    </row>
    <row r="364" spans="2:4">
      <c r="B364" s="336" t="s">
        <v>283</v>
      </c>
      <c r="C364" s="119">
        <f>Economics!G47</f>
        <v>555.34</v>
      </c>
      <c r="D364" s="55" t="s">
        <v>45</v>
      </c>
    </row>
    <row r="365" spans="2:4" ht="17" thickBot="1">
      <c r="B365" s="172" t="s">
        <v>397</v>
      </c>
      <c r="C365" s="379">
        <f>C363*C364</f>
        <v>919.08770000000004</v>
      </c>
      <c r="D365" s="266" t="s">
        <v>124</v>
      </c>
    </row>
    <row r="369" spans="2:10" ht="26">
      <c r="B369" s="722" t="s">
        <v>792</v>
      </c>
      <c r="C369" s="722"/>
      <c r="D369" s="722"/>
    </row>
    <row r="370" spans="2:10" ht="17" thickBot="1"/>
    <row r="371" spans="2:10" ht="17" thickBot="1">
      <c r="B371" s="114" t="s">
        <v>216</v>
      </c>
      <c r="C371" s="115" t="s">
        <v>218</v>
      </c>
      <c r="D371" s="116" t="s">
        <v>217</v>
      </c>
    </row>
    <row r="372" spans="2:10">
      <c r="B372" s="336" t="s">
        <v>958</v>
      </c>
      <c r="C372" s="54">
        <v>3.8311E-3</v>
      </c>
      <c r="D372" s="55" t="s">
        <v>219</v>
      </c>
    </row>
    <row r="373" spans="2:10">
      <c r="B373" s="153" t="s">
        <v>959</v>
      </c>
      <c r="C373" s="9">
        <v>5.3166999999999999E-2</v>
      </c>
      <c r="D373" s="263" t="s">
        <v>219</v>
      </c>
    </row>
    <row r="374" spans="2:10">
      <c r="B374" s="336" t="s">
        <v>790</v>
      </c>
      <c r="C374" s="54">
        <v>298207</v>
      </c>
      <c r="D374" s="55" t="s">
        <v>39</v>
      </c>
    </row>
    <row r="375" spans="2:10">
      <c r="B375" s="153" t="s">
        <v>791</v>
      </c>
      <c r="C375" s="5">
        <v>42816.4</v>
      </c>
      <c r="D375" s="28" t="s">
        <v>39</v>
      </c>
    </row>
    <row r="376" spans="2:10">
      <c r="B376" s="336" t="s">
        <v>793</v>
      </c>
      <c r="C376" s="411">
        <f>IF('Summary Table'!C41=0,0,IF(((('Design Calculations'!O68/'Scenarios Data'!AM22)-('Design Calculations'!O70/(('Carbon Flow'!J22*'Constants &amp; Conversions'!H21/C373+'Carbon Flow'!D22*'Summary Table'!C31*'Constants &amp; Conversions'!H16)/('Carbon Flow'!J22*'Constants &amp; Conversions'!H21/C373+'Carbon Flow'!D22*'Summary Table'!C31*'Constants &amp; Conversions'!H16+'Carbon Flow'!J22*'Constants &amp; Conversions'!H21/C372))))/'Constants &amp; Conversions'!H19+'Design Calculations'!O68/'Constants &amp; Conversions'!H20)/('Summary Table'!H25/'Summary Table'!C111)&lt;(O68/'Constants &amp; Conversions'!H20),(O68/'Constants &amp; Conversions'!H20),((('Design Calculations'!O68/'Scenarios Data'!AM22)-('Design Calculations'!O70/(('Carbon Flow'!J22*'Constants &amp; Conversions'!H21/C373+'Carbon Flow'!D22*'Summary Table'!C31*'Constants &amp; Conversions'!H16)/('Carbon Flow'!J22*'Constants &amp; Conversions'!H21/C373+'Carbon Flow'!D22*'Summary Table'!C31*'Constants &amp; Conversions'!H16+'Carbon Flow'!J22*'Constants &amp; Conversions'!H21/C372))))/'Constants &amp; Conversions'!H19+'Design Calculations'!O68/'Constants &amp; Conversions'!H20)/('Summary Table'!H25/'Summary Table'!C111)))</f>
        <v>16299.11827743872</v>
      </c>
      <c r="D376" s="55" t="s">
        <v>39</v>
      </c>
    </row>
    <row r="377" spans="2:10" ht="17" thickBot="1">
      <c r="B377" s="172" t="s">
        <v>794</v>
      </c>
      <c r="C377" s="497">
        <f>C374*('Scenarios Data'!P22/'Scenarios Data'!P20)*'Constants &amp; Conversions'!H19*'Constants &amp; Conversions'!R19/1000*50/'Constants &amp; Conversions'!R16/'Constants &amp; Conversions'!H19+C376</f>
        <v>43918.142641708997</v>
      </c>
      <c r="D377" s="266" t="s">
        <v>39</v>
      </c>
    </row>
    <row r="378" spans="2:10">
      <c r="B378" s="17"/>
      <c r="C378" s="401"/>
      <c r="D378" s="9"/>
    </row>
    <row r="379" spans="2:10">
      <c r="B379" s="17"/>
      <c r="C379" s="401"/>
      <c r="D379" s="9"/>
    </row>
    <row r="380" spans="2:10" ht="17" thickBot="1"/>
    <row r="381" spans="2:10" ht="38" thickBot="1">
      <c r="B381" s="427" t="s">
        <v>421</v>
      </c>
    </row>
    <row r="382" spans="2:10" ht="17" thickBot="1"/>
    <row r="383" spans="2:10" ht="17" thickBot="1">
      <c r="B383" s="114" t="s">
        <v>216</v>
      </c>
      <c r="C383" s="709" t="s">
        <v>708</v>
      </c>
      <c r="D383" s="709"/>
      <c r="E383" s="709"/>
      <c r="F383" s="710"/>
    </row>
    <row r="384" spans="2:10">
      <c r="B384" s="27" t="s">
        <v>422</v>
      </c>
      <c r="C384" s="711" t="s">
        <v>997</v>
      </c>
      <c r="D384" s="711"/>
      <c r="E384" s="711"/>
      <c r="F384" s="712"/>
      <c r="I384" s="5"/>
      <c r="J384" s="5"/>
    </row>
    <row r="385" spans="2:10">
      <c r="B385" s="27" t="s">
        <v>1003</v>
      </c>
      <c r="C385" s="711" t="s">
        <v>969</v>
      </c>
      <c r="D385" s="711"/>
      <c r="E385" s="711"/>
      <c r="F385" s="712"/>
      <c r="I385" s="5"/>
      <c r="J385" s="5"/>
    </row>
    <row r="386" spans="2:10">
      <c r="B386" s="27" t="s">
        <v>1134</v>
      </c>
      <c r="C386" s="711" t="s">
        <v>1143</v>
      </c>
      <c r="D386" s="711"/>
      <c r="E386" s="711"/>
      <c r="F386" s="712"/>
      <c r="G386" s="580"/>
      <c r="H386" s="580"/>
      <c r="I386" s="580"/>
      <c r="J386" s="5"/>
    </row>
    <row r="387" spans="2:10">
      <c r="B387" s="27" t="s">
        <v>423</v>
      </c>
      <c r="C387" s="711" t="s">
        <v>1144</v>
      </c>
      <c r="D387" s="711"/>
      <c r="E387" s="711"/>
      <c r="F387" s="712"/>
      <c r="I387" s="5"/>
      <c r="J387" s="5"/>
    </row>
    <row r="388" spans="2:10">
      <c r="B388" s="27" t="s">
        <v>998</v>
      </c>
      <c r="C388" s="711" t="s">
        <v>969</v>
      </c>
      <c r="D388" s="711"/>
      <c r="E388" s="711"/>
      <c r="F388" s="712"/>
      <c r="I388" s="5"/>
      <c r="J388" s="5"/>
    </row>
    <row r="389" spans="2:10">
      <c r="B389" s="27" t="s">
        <v>424</v>
      </c>
      <c r="C389" s="711" t="s">
        <v>969</v>
      </c>
      <c r="D389" s="711"/>
      <c r="E389" s="711"/>
      <c r="F389" s="712"/>
      <c r="I389" s="5"/>
      <c r="J389" s="5"/>
    </row>
    <row r="390" spans="2:10">
      <c r="B390" s="27" t="s">
        <v>425</v>
      </c>
      <c r="C390" s="712" t="s">
        <v>999</v>
      </c>
      <c r="D390" s="712"/>
      <c r="E390" s="712"/>
      <c r="F390" s="712"/>
      <c r="I390" s="5"/>
      <c r="J390" s="5"/>
    </row>
    <row r="391" spans="2:10">
      <c r="B391" s="27" t="s">
        <v>426</v>
      </c>
      <c r="C391" s="712" t="s">
        <v>1000</v>
      </c>
      <c r="D391" s="712"/>
      <c r="E391" s="712"/>
      <c r="F391" s="712"/>
      <c r="G391" s="587"/>
      <c r="H391" s="587"/>
      <c r="I391" s="587"/>
      <c r="J391" s="5"/>
    </row>
    <row r="392" spans="2:10">
      <c r="B392" s="27" t="s">
        <v>433</v>
      </c>
      <c r="C392" s="712" t="s">
        <v>994</v>
      </c>
      <c r="D392" s="712"/>
      <c r="E392" s="712"/>
      <c r="F392" s="712"/>
      <c r="I392" s="5"/>
      <c r="J392" s="5"/>
    </row>
    <row r="393" spans="2:10">
      <c r="B393" s="27" t="s">
        <v>427</v>
      </c>
      <c r="C393" s="712" t="s">
        <v>1005</v>
      </c>
      <c r="D393" s="712"/>
      <c r="E393" s="712"/>
      <c r="F393" s="712"/>
    </row>
    <row r="394" spans="2:10">
      <c r="B394" s="27" t="s">
        <v>1006</v>
      </c>
      <c r="C394" s="711" t="s">
        <v>1013</v>
      </c>
      <c r="D394" s="711"/>
      <c r="E394" s="711"/>
      <c r="F394" s="712"/>
    </row>
    <row r="395" spans="2:10">
      <c r="B395" s="27" t="s">
        <v>1007</v>
      </c>
      <c r="C395" s="711"/>
      <c r="D395" s="711"/>
      <c r="E395" s="711"/>
      <c r="F395" s="712"/>
    </row>
    <row r="396" spans="2:10">
      <c r="B396" s="27" t="s">
        <v>1008</v>
      </c>
      <c r="C396" s="711" t="s">
        <v>1015</v>
      </c>
      <c r="D396" s="711"/>
      <c r="E396" s="711"/>
      <c r="F396" s="712"/>
    </row>
    <row r="397" spans="2:10">
      <c r="B397" s="27" t="s">
        <v>1011</v>
      </c>
      <c r="C397" s="711" t="s">
        <v>1012</v>
      </c>
      <c r="D397" s="711"/>
      <c r="E397" s="711"/>
      <c r="F397" s="712"/>
    </row>
    <row r="398" spans="2:10">
      <c r="B398" s="27" t="s">
        <v>1009</v>
      </c>
      <c r="C398" s="711"/>
      <c r="D398" s="711"/>
      <c r="E398" s="711"/>
      <c r="F398" s="712"/>
    </row>
    <row r="399" spans="2:10">
      <c r="B399" s="27" t="s">
        <v>1010</v>
      </c>
      <c r="C399" s="711" t="s">
        <v>1014</v>
      </c>
      <c r="D399" s="711"/>
      <c r="E399" s="711"/>
      <c r="F399" s="712"/>
    </row>
    <row r="400" spans="2:10">
      <c r="B400" s="27" t="s">
        <v>1052</v>
      </c>
      <c r="C400" s="719" t="s">
        <v>967</v>
      </c>
      <c r="D400" s="719"/>
      <c r="E400" s="719"/>
      <c r="F400" s="720"/>
    </row>
    <row r="401" spans="2:6">
      <c r="B401" s="27" t="s">
        <v>428</v>
      </c>
      <c r="C401" s="712" t="s">
        <v>995</v>
      </c>
      <c r="D401" s="712"/>
      <c r="E401" s="712"/>
      <c r="F401" s="712"/>
    </row>
    <row r="402" spans="2:6">
      <c r="B402" s="27" t="s">
        <v>429</v>
      </c>
      <c r="C402" s="712" t="s">
        <v>1001</v>
      </c>
      <c r="D402" s="712"/>
      <c r="E402" s="712"/>
      <c r="F402" s="712"/>
    </row>
    <row r="403" spans="2:6">
      <c r="B403" s="27" t="s">
        <v>1055</v>
      </c>
      <c r="C403" s="711" t="s">
        <v>1050</v>
      </c>
      <c r="D403" s="711"/>
      <c r="E403" s="711"/>
      <c r="F403" s="712"/>
    </row>
    <row r="404" spans="2:6">
      <c r="B404" s="27" t="s">
        <v>1051</v>
      </c>
      <c r="C404" s="711" t="s">
        <v>1050</v>
      </c>
      <c r="D404" s="711"/>
      <c r="E404" s="711"/>
      <c r="F404" s="712"/>
    </row>
    <row r="405" spans="2:6">
      <c r="B405" s="27" t="s">
        <v>430</v>
      </c>
      <c r="C405" s="712" t="s">
        <v>996</v>
      </c>
      <c r="D405" s="712"/>
      <c r="E405" s="712"/>
      <c r="F405" s="712"/>
    </row>
    <row r="406" spans="2:6" ht="17" thickBot="1">
      <c r="B406" s="29" t="s">
        <v>431</v>
      </c>
      <c r="C406" s="717" t="s">
        <v>1002</v>
      </c>
      <c r="D406" s="717"/>
      <c r="E406" s="717"/>
      <c r="F406" s="718"/>
    </row>
  </sheetData>
  <mergeCells count="55">
    <mergeCell ref="C405:F405"/>
    <mergeCell ref="C406:F406"/>
    <mergeCell ref="C402:F402"/>
    <mergeCell ref="C399:F399"/>
    <mergeCell ref="C395:F395"/>
    <mergeCell ref="C398:F398"/>
    <mergeCell ref="C397:F397"/>
    <mergeCell ref="C396:F396"/>
    <mergeCell ref="C404:F404"/>
    <mergeCell ref="C403:F403"/>
    <mergeCell ref="N136:P136"/>
    <mergeCell ref="H173:J173"/>
    <mergeCell ref="H195:J195"/>
    <mergeCell ref="B5:D6"/>
    <mergeCell ref="B106:C106"/>
    <mergeCell ref="B105:C105"/>
    <mergeCell ref="B107:C107"/>
    <mergeCell ref="B108:C108"/>
    <mergeCell ref="B124:D124"/>
    <mergeCell ref="B136:E136"/>
    <mergeCell ref="H136:K136"/>
    <mergeCell ref="B195:D195"/>
    <mergeCell ref="O64:Q64"/>
    <mergeCell ref="I64:L64"/>
    <mergeCell ref="H83:K83"/>
    <mergeCell ref="B30:D30"/>
    <mergeCell ref="H241:L241"/>
    <mergeCell ref="B173:D173"/>
    <mergeCell ref="H105:I105"/>
    <mergeCell ref="H108:I108"/>
    <mergeCell ref="H107:I107"/>
    <mergeCell ref="H106:I106"/>
    <mergeCell ref="H124:J124"/>
    <mergeCell ref="B224:D224"/>
    <mergeCell ref="H224:J224"/>
    <mergeCell ref="B369:D369"/>
    <mergeCell ref="C400:F400"/>
    <mergeCell ref="C401:F401"/>
    <mergeCell ref="C383:F383"/>
    <mergeCell ref="C385:F385"/>
    <mergeCell ref="C394:F394"/>
    <mergeCell ref="C387:F387"/>
    <mergeCell ref="C384:F384"/>
    <mergeCell ref="C393:F393"/>
    <mergeCell ref="C388:F388"/>
    <mergeCell ref="C391:F391"/>
    <mergeCell ref="C392:F392"/>
    <mergeCell ref="C389:F389"/>
    <mergeCell ref="C390:F390"/>
    <mergeCell ref="C386:F386"/>
    <mergeCell ref="C64:F64"/>
    <mergeCell ref="B83:E83"/>
    <mergeCell ref="B333:C333"/>
    <mergeCell ref="B241:F241"/>
    <mergeCell ref="B342:C34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BDA52-36AB-C448-AE7F-9C044054E027}">
  <dimension ref="B3:Q80"/>
  <sheetViews>
    <sheetView topLeftCell="A45" zoomScale="60" zoomScaleNormal="60" workbookViewId="0">
      <selection activeCell="B63" sqref="B63"/>
    </sheetView>
  </sheetViews>
  <sheetFormatPr baseColWidth="10" defaultRowHeight="16"/>
  <cols>
    <col min="2" max="2" width="66" bestFit="1" customWidth="1"/>
    <col min="3" max="3" width="20.6640625" customWidth="1"/>
    <col min="4" max="4" width="28.1640625" bestFit="1" customWidth="1"/>
    <col min="5" max="5" width="20.33203125" customWidth="1"/>
    <col min="6" max="6" width="19.83203125" bestFit="1" customWidth="1"/>
    <col min="7" max="7" width="17.83203125" customWidth="1"/>
    <col min="8" max="8" width="18" bestFit="1" customWidth="1"/>
    <col min="9" max="9" width="13.33203125" bestFit="1" customWidth="1"/>
    <col min="11" max="11" width="13.6640625" bestFit="1" customWidth="1"/>
    <col min="17" max="17" width="12.1640625" bestFit="1" customWidth="1"/>
  </cols>
  <sheetData>
    <row r="3" spans="2:5" ht="37">
      <c r="B3" s="707" t="s">
        <v>1126</v>
      </c>
      <c r="C3" s="707"/>
      <c r="D3" s="707"/>
      <c r="E3" s="232"/>
    </row>
    <row r="4" spans="2:5">
      <c r="B4" s="69"/>
      <c r="C4" s="69"/>
      <c r="D4" s="69"/>
      <c r="E4" s="69"/>
    </row>
    <row r="5" spans="2:5">
      <c r="B5" s="688" t="s">
        <v>1150</v>
      </c>
      <c r="C5" s="688"/>
      <c r="D5" s="688"/>
      <c r="E5" s="688"/>
    </row>
    <row r="6" spans="2:5">
      <c r="B6" s="688"/>
      <c r="C6" s="688"/>
      <c r="D6" s="688"/>
      <c r="E6" s="688"/>
    </row>
    <row r="7" spans="2:5">
      <c r="B7" s="610"/>
      <c r="C7" s="610"/>
      <c r="D7" s="610"/>
      <c r="E7" s="610"/>
    </row>
    <row r="8" spans="2:5">
      <c r="B8" s="692" t="s">
        <v>686</v>
      </c>
      <c r="C8" s="692"/>
      <c r="D8" s="692"/>
      <c r="E8" s="692"/>
    </row>
    <row r="9" spans="2:5">
      <c r="B9" s="69"/>
      <c r="C9" s="69"/>
      <c r="D9" s="69"/>
      <c r="E9" s="69"/>
    </row>
    <row r="10" spans="2:5" ht="24">
      <c r="B10" s="708" t="str">
        <f>VLOOKUP('Summary Table'!C23,'Scenarios Data'!B14:AR22,1,FALSE)</f>
        <v>Future Technology, Balanced</v>
      </c>
      <c r="C10" s="708"/>
      <c r="D10" s="611"/>
      <c r="E10" s="611"/>
    </row>
    <row r="11" spans="2:5">
      <c r="B11" s="69"/>
      <c r="C11" s="69"/>
      <c r="D11" s="69"/>
      <c r="E11" s="69"/>
    </row>
    <row r="12" spans="2:5">
      <c r="B12" s="734" t="s">
        <v>1152</v>
      </c>
      <c r="C12" s="735"/>
      <c r="D12" s="248"/>
      <c r="E12" s="69"/>
    </row>
    <row r="13" spans="2:5">
      <c r="B13" s="734" t="s">
        <v>1151</v>
      </c>
      <c r="C13" s="735"/>
      <c r="D13" s="249"/>
      <c r="E13" s="69"/>
    </row>
    <row r="14" spans="2:5">
      <c r="B14" s="734" t="s">
        <v>1153</v>
      </c>
      <c r="C14" s="735"/>
      <c r="D14" s="655"/>
      <c r="E14" s="69"/>
    </row>
    <row r="15" spans="2:5">
      <c r="B15" s="69"/>
      <c r="C15" s="69"/>
      <c r="D15" s="69"/>
      <c r="E15" s="69"/>
    </row>
    <row r="18" spans="2:12" ht="37">
      <c r="B18" s="293" t="s">
        <v>664</v>
      </c>
    </row>
    <row r="20" spans="2:12" ht="26">
      <c r="B20" s="678" t="s">
        <v>1130</v>
      </c>
      <c r="C20" s="678"/>
      <c r="D20" s="678"/>
    </row>
    <row r="21" spans="2:12" ht="17" thickBot="1"/>
    <row r="22" spans="2:12" ht="17" thickBot="1">
      <c r="B22" s="402"/>
      <c r="C22" s="106" t="s">
        <v>46</v>
      </c>
      <c r="D22" s="106" t="s">
        <v>15</v>
      </c>
      <c r="E22" s="106" t="s">
        <v>1076</v>
      </c>
      <c r="F22" s="106" t="s">
        <v>1072</v>
      </c>
      <c r="G22" s="106" t="s">
        <v>312</v>
      </c>
      <c r="H22" s="106" t="s">
        <v>47</v>
      </c>
      <c r="I22" s="106" t="s">
        <v>1076</v>
      </c>
      <c r="J22" s="106" t="s">
        <v>1073</v>
      </c>
      <c r="K22" s="106" t="s">
        <v>1127</v>
      </c>
      <c r="L22" s="107" t="s">
        <v>1073</v>
      </c>
    </row>
    <row r="23" spans="2:12" ht="17" thickBot="1">
      <c r="B23" s="613" t="s">
        <v>1129</v>
      </c>
      <c r="C23" s="614" t="s">
        <v>1075</v>
      </c>
      <c r="D23" s="614">
        <v>102748</v>
      </c>
      <c r="E23" s="614" t="s">
        <v>1071</v>
      </c>
      <c r="F23" s="614">
        <v>292807</v>
      </c>
      <c r="G23" s="614" t="s">
        <v>1075</v>
      </c>
      <c r="H23" s="615">
        <f>'Summary Table'!H25</f>
        <v>102748</v>
      </c>
      <c r="I23" s="614" t="s">
        <v>1071</v>
      </c>
      <c r="J23" s="634">
        <f>(H23/D23)*F23</f>
        <v>292807</v>
      </c>
      <c r="K23" s="614" t="s">
        <v>1128</v>
      </c>
      <c r="L23" s="635">
        <f>J23/('Summary Table'!H25*'Summary Table'!H27)</f>
        <v>9.4991954425714689E-2</v>
      </c>
    </row>
    <row r="24" spans="2:12" ht="17" thickBot="1"/>
    <row r="25" spans="2:12" ht="22" thickBot="1">
      <c r="B25" s="169" t="s">
        <v>1079</v>
      </c>
      <c r="C25" s="617">
        <f>J23</f>
        <v>292807</v>
      </c>
      <c r="D25" s="643" t="s">
        <v>1071</v>
      </c>
      <c r="E25" s="644">
        <f>L23</f>
        <v>9.4991954425714689E-2</v>
      </c>
      <c r="F25" s="171" t="s">
        <v>1128</v>
      </c>
    </row>
    <row r="29" spans="2:12" ht="26">
      <c r="B29" s="678" t="s">
        <v>1154</v>
      </c>
      <c r="C29" s="678"/>
    </row>
    <row r="30" spans="2:12" ht="17" thickBot="1"/>
    <row r="31" spans="2:12" ht="17" thickBot="1">
      <c r="B31" s="103"/>
      <c r="C31" s="104" t="s">
        <v>46</v>
      </c>
      <c r="D31" s="104" t="s">
        <v>1072</v>
      </c>
      <c r="E31" s="104" t="s">
        <v>312</v>
      </c>
      <c r="F31" s="104" t="s">
        <v>47</v>
      </c>
      <c r="G31" s="104" t="s">
        <v>1076</v>
      </c>
      <c r="H31" s="104" t="s">
        <v>1073</v>
      </c>
      <c r="I31" s="104" t="s">
        <v>1127</v>
      </c>
      <c r="J31" s="105" t="s">
        <v>1073</v>
      </c>
    </row>
    <row r="32" spans="2:12">
      <c r="B32" s="42" t="s">
        <v>1077</v>
      </c>
      <c r="C32" s="5" t="s">
        <v>1074</v>
      </c>
      <c r="D32" s="8">
        <v>-1</v>
      </c>
      <c r="E32" s="5" t="s">
        <v>320</v>
      </c>
      <c r="F32" s="15">
        <f>Economics!F79</f>
        <v>394724.4</v>
      </c>
      <c r="G32" s="5" t="s">
        <v>1071</v>
      </c>
      <c r="H32" s="632">
        <f>D32*F32*'Summary Table'!$H$27</f>
        <v>-11841732</v>
      </c>
      <c r="I32" s="5" t="s">
        <v>1128</v>
      </c>
      <c r="J32" s="637">
        <f>H32/('Summary Table'!H25*'Summary Table'!H27)</f>
        <v>-3.8416747771246156</v>
      </c>
    </row>
    <row r="33" spans="2:17">
      <c r="B33" s="56" t="s">
        <v>52</v>
      </c>
      <c r="C33" s="54" t="s">
        <v>1074</v>
      </c>
      <c r="D33" s="616">
        <v>3.2759999999999999E-4</v>
      </c>
      <c r="E33" s="54" t="s">
        <v>320</v>
      </c>
      <c r="F33" s="118">
        <f>Economics!F61</f>
        <v>21146308.68</v>
      </c>
      <c r="G33" s="54" t="s">
        <v>1071</v>
      </c>
      <c r="H33" s="636">
        <f>D33*F33*'Summary Table'!$H$27</f>
        <v>207825.92170704002</v>
      </c>
      <c r="I33" s="54" t="s">
        <v>1128</v>
      </c>
      <c r="J33" s="638">
        <f>H33/('Summary Table'!H25*'Summary Table'!H27)</f>
        <v>6.742253594783354E-2</v>
      </c>
    </row>
    <row r="34" spans="2:17">
      <c r="B34" s="42" t="s">
        <v>53</v>
      </c>
      <c r="C34" s="5" t="s">
        <v>1074</v>
      </c>
      <c r="D34" s="5">
        <v>4.0499999999999998E-3</v>
      </c>
      <c r="E34" s="5" t="s">
        <v>320</v>
      </c>
      <c r="F34" s="15">
        <f>Economics!F62</f>
        <v>1730.4</v>
      </c>
      <c r="G34" s="5" t="s">
        <v>1071</v>
      </c>
      <c r="H34" s="632">
        <f>D34*F34*'Summary Table'!$H$27</f>
        <v>210.24359999999999</v>
      </c>
      <c r="I34" s="5" t="s">
        <v>1128</v>
      </c>
      <c r="J34" s="637">
        <f>H34/('Summary Table'!H25*'Summary Table'!H27)</f>
        <v>6.8206875072994119E-5</v>
      </c>
    </row>
    <row r="35" spans="2:17">
      <c r="B35" s="56" t="s">
        <v>54</v>
      </c>
      <c r="C35" s="54" t="s">
        <v>1074</v>
      </c>
      <c r="D35" s="54">
        <v>1.3759999999999999</v>
      </c>
      <c r="E35" s="54" t="s">
        <v>320</v>
      </c>
      <c r="F35" s="118">
        <f>Economics!F63</f>
        <v>1386</v>
      </c>
      <c r="G35" s="54" t="s">
        <v>1071</v>
      </c>
      <c r="H35" s="636">
        <f>D35*F35*'Summary Table'!$H$27</f>
        <v>57214.079999999994</v>
      </c>
      <c r="I35" s="54" t="s">
        <v>1128</v>
      </c>
      <c r="J35" s="638">
        <f>H35/('Summary Table'!H25*'Summary Table'!H27)</f>
        <v>1.8561295596994588E-2</v>
      </c>
    </row>
    <row r="36" spans="2:17">
      <c r="B36" s="42" t="s">
        <v>55</v>
      </c>
      <c r="C36" s="5" t="s">
        <v>1074</v>
      </c>
      <c r="D36" s="5">
        <v>2.4</v>
      </c>
      <c r="E36" s="5" t="s">
        <v>320</v>
      </c>
      <c r="F36" s="15">
        <f>Economics!F64</f>
        <v>9017.0640000000003</v>
      </c>
      <c r="G36" s="5" t="s">
        <v>1071</v>
      </c>
      <c r="H36" s="632">
        <f>D36*F36*'Summary Table'!$H$27</f>
        <v>649228.60800000001</v>
      </c>
      <c r="I36" s="5" t="s">
        <v>1128</v>
      </c>
      <c r="J36" s="637">
        <f>H36/('Summary Table'!H25*'Summary Table'!H27)</f>
        <v>0.21062165297621366</v>
      </c>
    </row>
    <row r="37" spans="2:17">
      <c r="B37" s="56" t="s">
        <v>56</v>
      </c>
      <c r="C37" s="54" t="s">
        <v>1074</v>
      </c>
      <c r="D37" s="54">
        <v>2.1989999999999998</v>
      </c>
      <c r="E37" s="54" t="s">
        <v>320</v>
      </c>
      <c r="F37" s="118">
        <f>Economics!F65</f>
        <v>18631.2</v>
      </c>
      <c r="G37" s="54" t="s">
        <v>1071</v>
      </c>
      <c r="H37" s="636">
        <f>D37*F37*'Summary Table'!$H$27</f>
        <v>1229100.264</v>
      </c>
      <c r="I37" s="54" t="s">
        <v>1128</v>
      </c>
      <c r="J37" s="638">
        <f>H37/('Summary Table'!H25*'Summary Table'!H27)</f>
        <v>0.39874264024603884</v>
      </c>
    </row>
    <row r="38" spans="2:17">
      <c r="B38" s="153" t="s">
        <v>57</v>
      </c>
      <c r="C38" s="5" t="s">
        <v>1074</v>
      </c>
      <c r="D38" s="9">
        <v>17.100000000000001</v>
      </c>
      <c r="E38" s="5" t="s">
        <v>320</v>
      </c>
      <c r="F38" s="15">
        <f>Economics!F66/1000</f>
        <v>8.6592973825518982</v>
      </c>
      <c r="G38" s="5" t="s">
        <v>1071</v>
      </c>
      <c r="H38" s="632">
        <f>D38*F38*'Summary Table'!$H$27</f>
        <v>4442.2195572491246</v>
      </c>
      <c r="I38" s="5" t="s">
        <v>1128</v>
      </c>
      <c r="J38" s="637">
        <f>H38/('Summary Table'!H25*'Summary Table'!H27)</f>
        <v>1.4411373967535863E-3</v>
      </c>
    </row>
    <row r="39" spans="2:17" ht="17" thickBot="1">
      <c r="B39" s="59" t="s">
        <v>58</v>
      </c>
      <c r="C39" s="130" t="s">
        <v>1074</v>
      </c>
      <c r="D39" s="130">
        <v>8.3000000000000007</v>
      </c>
      <c r="E39" s="130" t="s">
        <v>320</v>
      </c>
      <c r="F39" s="550">
        <f>Economics!F67/1000</f>
        <v>11.54572984340253</v>
      </c>
      <c r="G39" s="130" t="s">
        <v>1071</v>
      </c>
      <c r="H39" s="403">
        <f>D39*F39*'Summary Table'!$H$27</f>
        <v>2874.8867310072305</v>
      </c>
      <c r="I39" s="130" t="s">
        <v>1128</v>
      </c>
      <c r="J39" s="639">
        <f>H39/('Summary Table'!H25*'Summary Table'!H27)</f>
        <v>9.3266591758711626E-4</v>
      </c>
    </row>
    <row r="40" spans="2:17" ht="17" thickBot="1"/>
    <row r="41" spans="2:17" ht="22" thickBot="1">
      <c r="B41" s="169" t="s">
        <v>1080</v>
      </c>
      <c r="C41" s="617">
        <f>SUM(H32:H39)</f>
        <v>-9690835.776404703</v>
      </c>
      <c r="D41" s="643" t="s">
        <v>1071</v>
      </c>
      <c r="E41" s="644">
        <f>SUM(J32:J39)</f>
        <v>-3.1438846421681217</v>
      </c>
      <c r="F41" s="171" t="s">
        <v>1128</v>
      </c>
      <c r="Q41" s="4"/>
    </row>
    <row r="42" spans="2:17">
      <c r="O42" s="618"/>
    </row>
    <row r="43" spans="2:17">
      <c r="O43" s="618"/>
    </row>
    <row r="44" spans="2:17">
      <c r="O44" s="618"/>
    </row>
    <row r="45" spans="2:17" ht="26">
      <c r="B45" s="678" t="s">
        <v>1083</v>
      </c>
      <c r="C45" s="678"/>
      <c r="O45" s="618"/>
    </row>
    <row r="46" spans="2:17" ht="17" thickBot="1">
      <c r="O46" s="619"/>
    </row>
    <row r="47" spans="2:17" ht="17" thickBot="1">
      <c r="B47" s="402"/>
      <c r="C47" s="106" t="s">
        <v>46</v>
      </c>
      <c r="D47" s="106" t="s">
        <v>1072</v>
      </c>
      <c r="E47" s="106" t="s">
        <v>312</v>
      </c>
      <c r="F47" s="106" t="s">
        <v>47</v>
      </c>
      <c r="G47" s="106" t="s">
        <v>1076</v>
      </c>
      <c r="H47" s="106" t="s">
        <v>1073</v>
      </c>
      <c r="I47" s="106" t="s">
        <v>1127</v>
      </c>
      <c r="J47" s="107" t="s">
        <v>1073</v>
      </c>
      <c r="O47" s="618"/>
    </row>
    <row r="48" spans="2:17">
      <c r="B48" s="111" t="s">
        <v>67</v>
      </c>
      <c r="C48" s="32" t="s">
        <v>1085</v>
      </c>
      <c r="D48" s="620">
        <f>SUMPRODUCT('Constants &amp; Conversions'!W15:W18,'Constants &amp; Conversions'!Y15:Y18)/SUM('Constants &amp; Conversions'!W15:W18)/'Constants &amp; Conversions'!D28/'Constants &amp; Conversions'!D28</f>
        <v>1.5006311853187301E-5</v>
      </c>
      <c r="E48" s="32" t="s">
        <v>1086</v>
      </c>
      <c r="F48" s="131">
        <f>(Economics!G90+Economics!G91+Economics!G92+Economics!G95+Economics!G96+Economics!G101+Economics!G103+Economics!G104+Economics!G106+Economics!G107+Economics!G108+Economics!G109+Economics!G111+Economics!G114+Economics!G117+Economics!G118)*'Constants &amp; Conversions'!D24+(Economics!G102+Economics!G112+Economics!G113)*'Constants &amp; Conversions'!D25*'Constants &amp; Conversions'!D24</f>
        <v>5221705634.1773109</v>
      </c>
      <c r="G48" s="32" t="s">
        <v>1071</v>
      </c>
      <c r="H48" s="641">
        <f>D48*F48*'Summary Table'!$H$27</f>
        <v>2350756.2945602969</v>
      </c>
      <c r="I48" s="32" t="s">
        <v>1128</v>
      </c>
      <c r="J48" s="642">
        <f>H48/('Summary Table'!H25*'Summary Table'!H27)</f>
        <v>0.7626284030055076</v>
      </c>
    </row>
    <row r="49" spans="2:10">
      <c r="B49" s="56" t="s">
        <v>608</v>
      </c>
      <c r="C49" s="54" t="s">
        <v>1074</v>
      </c>
      <c r="D49" s="616">
        <v>3.2759999999999999E-4</v>
      </c>
      <c r="E49" s="54" t="s">
        <v>320</v>
      </c>
      <c r="F49" s="118">
        <f>(Economics!J93*'Summary Table'!H38+Economics!J94+Economics!J97+Economics!J110+Economics!J115+Economics!J116)/'Constants &amp; Conversions'!D28*'Constants &amp; Conversions'!D19+(Economics!J102+Economics!J112)*'Constants &amp; Conversions'!D15*'Constants &amp; Conversions'!D16*'Constants &amp; Conversions'!D31*'Constants &amp; Conversions'!D18</f>
        <v>792227310.1123507</v>
      </c>
      <c r="G49" s="54" t="s">
        <v>1071</v>
      </c>
      <c r="H49" s="636">
        <f>D49*F49*'Summary Table'!$H$27</f>
        <v>7786010.0037841825</v>
      </c>
      <c r="I49" s="54" t="s">
        <v>1128</v>
      </c>
      <c r="J49" s="638">
        <f>H49/('Summary Table'!H25*'Summary Table'!H27)</f>
        <v>2.5259242690155146</v>
      </c>
    </row>
    <row r="50" spans="2:10" ht="17" thickBot="1">
      <c r="B50" s="43" t="s">
        <v>69</v>
      </c>
      <c r="C50" s="30" t="s">
        <v>1074</v>
      </c>
      <c r="D50" s="30">
        <f>IF('Summary Table'!H62="Electricity",'Constants &amp; Conversions'!R16/'Constants &amp; Conversions'!D26*D48,'Constants &amp; Conversions'!R16/'Constants &amp; Conversions'!R21/('Constants &amp; Conversions'!R20*'Constants &amp; Conversions'!D33)*'Constants &amp; Conversions'!R22/'Constants &amp; Conversions'!D28)</f>
        <v>9.4056227959810629E-3</v>
      </c>
      <c r="E50" s="30" t="s">
        <v>320</v>
      </c>
      <c r="F50" s="127">
        <f>(Economics!M93*'Summary Table'!H38+Economics!M105+Economics!M107+Economics!M115)/'Constants &amp; Conversions'!D28*'Constants &amp; Conversions'!D19</f>
        <v>8387704.0800000001</v>
      </c>
      <c r="G50" s="30" t="s">
        <v>1071</v>
      </c>
      <c r="H50" s="633">
        <f>D50*F50*'Summary Table'!$H$27</f>
        <v>2366747.4210237409</v>
      </c>
      <c r="I50" s="30" t="s">
        <v>1128</v>
      </c>
      <c r="J50" s="640">
        <f>H50/('Summary Table'!H25*'Summary Table'!H27)</f>
        <v>0.76781621735499828</v>
      </c>
    </row>
    <row r="51" spans="2:10" ht="17" thickBot="1"/>
    <row r="52" spans="2:10" ht="22" thickBot="1">
      <c r="B52" s="169" t="s">
        <v>1084</v>
      </c>
      <c r="C52" s="617">
        <f>SUM(H48:H50)</f>
        <v>12503513.719368221</v>
      </c>
      <c r="D52" s="643" t="s">
        <v>1071</v>
      </c>
      <c r="E52" s="644">
        <f>SUM(J48:J50)</f>
        <v>4.0563688893760208</v>
      </c>
      <c r="F52" s="171" t="s">
        <v>1128</v>
      </c>
    </row>
    <row r="56" spans="2:10" ht="26">
      <c r="B56" s="678" t="s">
        <v>1108</v>
      </c>
      <c r="C56" s="678"/>
    </row>
    <row r="57" spans="2:10" ht="17" thickBot="1"/>
    <row r="58" spans="2:10" ht="21">
      <c r="B58" s="179" t="s">
        <v>1175</v>
      </c>
      <c r="C58" s="621">
        <f>(C25+C41+C52)/'Constants &amp; Conversions'!D28^2</f>
        <v>3.1054849429635181</v>
      </c>
      <c r="D58" s="645" t="s">
        <v>1078</v>
      </c>
      <c r="E58" s="621">
        <f>(E25+E41+E52)</f>
        <v>1.0074762016336138</v>
      </c>
      <c r="F58" s="181" t="s">
        <v>1128</v>
      </c>
    </row>
    <row r="59" spans="2:10" ht="22" thickBot="1">
      <c r="B59" s="184" t="s">
        <v>1176</v>
      </c>
      <c r="C59" s="622">
        <f>C58/'Summary Table'!H27</f>
        <v>0.1035161647654506</v>
      </c>
      <c r="D59" s="646" t="s">
        <v>1111</v>
      </c>
      <c r="E59" s="622">
        <f>E58</f>
        <v>1.0074762016336138</v>
      </c>
      <c r="F59" s="186" t="s">
        <v>1131</v>
      </c>
    </row>
    <row r="60" spans="2:10" ht="17" thickBot="1"/>
    <row r="61" spans="2:10" ht="21">
      <c r="B61" s="179" t="s">
        <v>1177</v>
      </c>
      <c r="C61" s="621">
        <f>(C25+SUM(H33:H39)+C52)/'Constants &amp; Conversions'!D28^2</f>
        <v>14.947216942963518</v>
      </c>
      <c r="D61" s="645" t="s">
        <v>1078</v>
      </c>
      <c r="E61" s="621">
        <f>(E25+SUM(J33:J39)+E52)</f>
        <v>4.8491509787582299</v>
      </c>
      <c r="F61" s="181" t="s">
        <v>1128</v>
      </c>
    </row>
    <row r="62" spans="2:10" ht="22" thickBot="1">
      <c r="B62" s="184" t="s">
        <v>1178</v>
      </c>
      <c r="C62" s="622">
        <f>C61/'Summary Table'!H27</f>
        <v>0.49824056476545059</v>
      </c>
      <c r="D62" s="646" t="s">
        <v>1111</v>
      </c>
      <c r="E62" s="622">
        <f>E61</f>
        <v>4.8491509787582299</v>
      </c>
      <c r="F62" s="186" t="s">
        <v>1131</v>
      </c>
    </row>
    <row r="66" spans="2:9" ht="26">
      <c r="B66" s="678" t="s">
        <v>1112</v>
      </c>
      <c r="C66" s="678"/>
    </row>
    <row r="67" spans="2:9" ht="17" thickBot="1"/>
    <row r="68" spans="2:9" ht="21">
      <c r="B68" s="623" t="s">
        <v>1109</v>
      </c>
      <c r="C68" s="624">
        <f>F32*'Summary Table'!H27/'Constants &amp; Conversions'!D28^2</f>
        <v>11.841732</v>
      </c>
      <c r="D68" s="647" t="s">
        <v>1078</v>
      </c>
      <c r="E68" s="624">
        <f>-J32</f>
        <v>3.8416747771246156</v>
      </c>
      <c r="F68" s="625" t="s">
        <v>1128</v>
      </c>
    </row>
    <row r="69" spans="2:9" ht="22" thickBot="1">
      <c r="B69" s="626" t="s">
        <v>1110</v>
      </c>
      <c r="C69" s="627">
        <f>F32/'Constants &amp; Conversions'!D28^2</f>
        <v>0.39472440000000003</v>
      </c>
      <c r="D69" s="648" t="s">
        <v>1111</v>
      </c>
      <c r="E69" s="627">
        <f>E68</f>
        <v>3.8416747771246156</v>
      </c>
      <c r="F69" s="628" t="s">
        <v>1131</v>
      </c>
    </row>
    <row r="73" spans="2:9" ht="26">
      <c r="B73" s="268" t="s">
        <v>421</v>
      </c>
    </row>
    <row r="74" spans="2:9" ht="17" thickBot="1">
      <c r="B74" s="3"/>
      <c r="C74" s="10"/>
      <c r="D74" s="10"/>
      <c r="E74" s="10"/>
      <c r="F74" s="10"/>
      <c r="G74" s="10"/>
      <c r="H74" s="10"/>
      <c r="I74" s="10"/>
    </row>
    <row r="75" spans="2:9" ht="17" thickBot="1">
      <c r="B75" s="114" t="s">
        <v>216</v>
      </c>
      <c r="C75" s="709" t="s">
        <v>708</v>
      </c>
      <c r="D75" s="709"/>
      <c r="E75" s="709"/>
      <c r="F75" s="709"/>
      <c r="G75" s="709"/>
      <c r="H75" s="709"/>
      <c r="I75" s="710"/>
    </row>
    <row r="76" spans="2:9">
      <c r="B76" s="26" t="s">
        <v>1081</v>
      </c>
      <c r="C76" s="715" t="s">
        <v>1120</v>
      </c>
      <c r="D76" s="715"/>
      <c r="E76" s="715"/>
      <c r="F76" s="715"/>
      <c r="G76" s="715"/>
      <c r="H76" s="715"/>
      <c r="I76" s="716"/>
    </row>
    <row r="77" spans="2:9">
      <c r="B77" s="27" t="s">
        <v>1116</v>
      </c>
      <c r="C77" s="711" t="s">
        <v>1121</v>
      </c>
      <c r="D77" s="711"/>
      <c r="E77" s="711"/>
      <c r="F77" s="711"/>
      <c r="G77" s="711"/>
      <c r="H77" s="711"/>
      <c r="I77" s="712"/>
    </row>
    <row r="78" spans="2:9">
      <c r="B78" s="27" t="s">
        <v>1117</v>
      </c>
      <c r="C78" s="711" t="s">
        <v>1122</v>
      </c>
      <c r="D78" s="711"/>
      <c r="E78" s="711"/>
      <c r="F78" s="711"/>
      <c r="G78" s="711"/>
      <c r="H78" s="711"/>
      <c r="I78" s="712"/>
    </row>
    <row r="79" spans="2:9">
      <c r="B79" s="27" t="s">
        <v>1118</v>
      </c>
      <c r="C79" s="711" t="s">
        <v>1123</v>
      </c>
      <c r="D79" s="711"/>
      <c r="E79" s="711"/>
      <c r="F79" s="711"/>
      <c r="G79" s="711"/>
      <c r="H79" s="711"/>
      <c r="I79" s="712"/>
    </row>
    <row r="80" spans="2:9">
      <c r="B80" s="29" t="s">
        <v>1115</v>
      </c>
      <c r="C80" s="717" t="s">
        <v>1119</v>
      </c>
      <c r="D80" s="717"/>
      <c r="E80" s="717"/>
      <c r="F80" s="717"/>
      <c r="G80" s="717"/>
      <c r="H80" s="717"/>
      <c r="I80" s="718"/>
    </row>
  </sheetData>
  <mergeCells count="18">
    <mergeCell ref="C75:I75"/>
    <mergeCell ref="B3:D3"/>
    <mergeCell ref="B5:E6"/>
    <mergeCell ref="B8:E8"/>
    <mergeCell ref="B10:C10"/>
    <mergeCell ref="B45:C45"/>
    <mergeCell ref="B56:C56"/>
    <mergeCell ref="B66:C66"/>
    <mergeCell ref="B29:C29"/>
    <mergeCell ref="B20:D20"/>
    <mergeCell ref="B12:C12"/>
    <mergeCell ref="B13:C13"/>
    <mergeCell ref="B14:C14"/>
    <mergeCell ref="C80:I80"/>
    <mergeCell ref="C79:I79"/>
    <mergeCell ref="C78:I78"/>
    <mergeCell ref="C77:I77"/>
    <mergeCell ref="C76:I7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8F2FF-2828-4C46-B7BF-D8895B79C864}">
  <dimension ref="B3:BH110"/>
  <sheetViews>
    <sheetView topLeftCell="A146" zoomScaleNormal="100" workbookViewId="0">
      <selection activeCell="I64" sqref="I64"/>
    </sheetView>
  </sheetViews>
  <sheetFormatPr baseColWidth="10" defaultRowHeight="16"/>
  <cols>
    <col min="2" max="2" width="22.1640625" bestFit="1" customWidth="1"/>
    <col min="3" max="3" width="9" bestFit="1" customWidth="1"/>
  </cols>
  <sheetData>
    <row r="3" spans="2:11" ht="37">
      <c r="B3" s="689" t="s">
        <v>465</v>
      </c>
      <c r="C3" s="689"/>
      <c r="D3" s="689"/>
      <c r="E3" s="689"/>
      <c r="F3" s="689"/>
      <c r="G3" s="689"/>
      <c r="H3" s="689"/>
      <c r="I3" s="69"/>
      <c r="J3" s="69"/>
      <c r="K3" s="69"/>
    </row>
    <row r="4" spans="2:11">
      <c r="B4" s="69"/>
      <c r="C4" s="69"/>
      <c r="D4" s="69"/>
      <c r="E4" s="69"/>
      <c r="F4" s="69"/>
      <c r="G4" s="69"/>
      <c r="H4" s="69"/>
      <c r="I4" s="69"/>
      <c r="J4" s="69"/>
      <c r="K4" s="69"/>
    </row>
    <row r="5" spans="2:11">
      <c r="B5" s="70" t="s">
        <v>1063</v>
      </c>
      <c r="C5" s="70"/>
      <c r="D5" s="70"/>
      <c r="E5" s="70"/>
      <c r="F5" s="70"/>
      <c r="G5" s="70"/>
      <c r="H5" s="70"/>
      <c r="I5" s="70"/>
      <c r="J5" s="70"/>
      <c r="K5" s="70"/>
    </row>
    <row r="6" spans="2:11">
      <c r="B6" s="692" t="s">
        <v>1064</v>
      </c>
      <c r="C6" s="692"/>
      <c r="D6" s="692"/>
      <c r="E6" s="692"/>
      <c r="F6" s="692"/>
      <c r="G6" s="70"/>
      <c r="H6" s="70"/>
      <c r="I6" s="70"/>
      <c r="J6" s="70"/>
      <c r="K6" s="70"/>
    </row>
    <row r="7" spans="2:11">
      <c r="B7" s="69"/>
      <c r="C7" s="69"/>
      <c r="D7" s="69"/>
      <c r="E7" s="69"/>
      <c r="F7" s="69"/>
      <c r="G7" s="69"/>
      <c r="H7" s="69"/>
      <c r="I7" s="69"/>
      <c r="J7" s="69"/>
      <c r="K7" s="69"/>
    </row>
    <row r="8" spans="2:11" ht="24">
      <c r="B8" s="71" t="s">
        <v>1062</v>
      </c>
      <c r="C8" s="71"/>
      <c r="D8" s="71"/>
      <c r="E8" s="71"/>
      <c r="F8" s="70"/>
      <c r="G8" s="69"/>
      <c r="H8" s="69"/>
      <c r="I8" s="69"/>
      <c r="J8" s="69"/>
      <c r="K8" s="69"/>
    </row>
    <row r="9" spans="2:11">
      <c r="B9" s="69"/>
      <c r="C9" s="69"/>
      <c r="D9" s="69"/>
      <c r="E9" s="69"/>
      <c r="F9" s="69"/>
      <c r="G9" s="69"/>
      <c r="H9" s="69"/>
      <c r="I9" s="69"/>
      <c r="J9" s="69"/>
      <c r="K9" s="69"/>
    </row>
    <row r="10" spans="2:11">
      <c r="B10" s="242" t="s">
        <v>668</v>
      </c>
      <c r="C10" s="69"/>
      <c r="D10" s="69"/>
      <c r="E10" s="69"/>
      <c r="F10" s="69"/>
      <c r="G10" s="69"/>
      <c r="H10" s="69"/>
      <c r="I10" s="69"/>
      <c r="J10" s="69"/>
      <c r="K10" s="69"/>
    </row>
    <row r="11" spans="2:11">
      <c r="B11" s="69" t="s">
        <v>671</v>
      </c>
      <c r="C11" s="69" t="s">
        <v>44</v>
      </c>
      <c r="D11" s="69"/>
      <c r="E11" s="69"/>
      <c r="F11" s="69"/>
      <c r="G11" s="69"/>
      <c r="H11" s="69"/>
      <c r="I11" s="69"/>
      <c r="J11" s="69"/>
      <c r="K11" s="69"/>
    </row>
    <row r="12" spans="2:11">
      <c r="B12" s="69" t="s">
        <v>595</v>
      </c>
      <c r="C12" s="69" t="s">
        <v>669</v>
      </c>
      <c r="D12" s="69"/>
      <c r="E12" s="69"/>
      <c r="F12" s="69"/>
      <c r="G12" s="69"/>
      <c r="H12" s="69"/>
      <c r="I12" s="69"/>
      <c r="J12" s="69"/>
      <c r="K12" s="69"/>
    </row>
    <row r="13" spans="2:11">
      <c r="B13" s="69" t="s">
        <v>596</v>
      </c>
      <c r="C13" s="69" t="s">
        <v>670</v>
      </c>
      <c r="D13" s="69"/>
      <c r="E13" s="69"/>
      <c r="F13" s="69"/>
      <c r="G13" s="69"/>
      <c r="H13" s="69"/>
      <c r="I13" s="69"/>
      <c r="J13" s="69"/>
      <c r="K13" s="69"/>
    </row>
    <row r="14" spans="2:11">
      <c r="B14" s="69"/>
      <c r="C14" s="69"/>
      <c r="D14" s="69"/>
      <c r="E14" s="69"/>
      <c r="F14" s="69"/>
      <c r="G14" s="69"/>
      <c r="H14" s="69"/>
      <c r="I14" s="69"/>
      <c r="J14" s="69"/>
      <c r="K14" s="69"/>
    </row>
    <row r="15" spans="2:11">
      <c r="B15" s="234"/>
      <c r="C15" s="234"/>
      <c r="D15" s="234"/>
      <c r="E15" s="234"/>
      <c r="F15" s="234"/>
      <c r="G15" s="234"/>
      <c r="H15" s="234"/>
      <c r="I15" s="234"/>
      <c r="J15" s="234"/>
      <c r="K15" s="234"/>
    </row>
    <row r="16" spans="2:11">
      <c r="B16" s="234"/>
      <c r="C16" s="234"/>
      <c r="D16" s="234"/>
      <c r="E16" s="234"/>
      <c r="F16" s="234"/>
      <c r="G16" s="234"/>
      <c r="H16" s="234"/>
      <c r="I16" s="234"/>
      <c r="J16" s="234"/>
      <c r="K16" s="234"/>
    </row>
    <row r="17" spans="2:47" ht="17" thickBot="1"/>
    <row r="18" spans="2:47" ht="22" thickBot="1">
      <c r="B18" s="736" t="s">
        <v>515</v>
      </c>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c r="AA18" s="737"/>
      <c r="AB18" s="737"/>
      <c r="AC18" s="738"/>
      <c r="AD18" s="2"/>
      <c r="AE18" s="2"/>
      <c r="AF18" s="2"/>
      <c r="AG18" s="2"/>
      <c r="AH18" s="2"/>
      <c r="AI18" s="2"/>
      <c r="AJ18" s="2"/>
      <c r="AK18" s="2"/>
      <c r="AL18" s="2"/>
      <c r="AM18" s="2"/>
      <c r="AN18" s="2"/>
      <c r="AO18" s="2"/>
      <c r="AP18" s="2"/>
      <c r="AQ18" s="2"/>
      <c r="AR18" s="2"/>
      <c r="AS18" s="2"/>
      <c r="AT18" s="2"/>
      <c r="AU18" s="2"/>
    </row>
    <row r="19" spans="2:47">
      <c r="B19" s="37"/>
      <c r="C19" s="39" t="s">
        <v>496</v>
      </c>
      <c r="D19" s="39" t="s">
        <v>497</v>
      </c>
      <c r="E19" s="39" t="s">
        <v>498</v>
      </c>
      <c r="F19" s="39" t="s">
        <v>506</v>
      </c>
      <c r="G19" s="39" t="s">
        <v>507</v>
      </c>
      <c r="H19" s="39" t="s">
        <v>493</v>
      </c>
      <c r="I19" s="39" t="s">
        <v>494</v>
      </c>
      <c r="J19" s="39" t="s">
        <v>495</v>
      </c>
      <c r="K19" s="39" t="s">
        <v>499</v>
      </c>
      <c r="L19" s="39" t="s">
        <v>500</v>
      </c>
      <c r="M19" s="39" t="s">
        <v>508</v>
      </c>
      <c r="N19" s="39" t="s">
        <v>509</v>
      </c>
      <c r="O19" s="39" t="s">
        <v>510</v>
      </c>
      <c r="P19" s="39" t="s">
        <v>501</v>
      </c>
      <c r="Q19" s="39" t="s">
        <v>502</v>
      </c>
      <c r="R19" s="39" t="s">
        <v>503</v>
      </c>
      <c r="S19" s="39" t="s">
        <v>504</v>
      </c>
      <c r="T19" s="39" t="s">
        <v>505</v>
      </c>
      <c r="U19" s="39" t="s">
        <v>529</v>
      </c>
      <c r="V19" s="39" t="s">
        <v>530</v>
      </c>
      <c r="W19" s="39" t="s">
        <v>599</v>
      </c>
      <c r="X19" s="39" t="s">
        <v>511</v>
      </c>
      <c r="Y19" s="39" t="s">
        <v>512</v>
      </c>
      <c r="Z19" s="39" t="s">
        <v>513</v>
      </c>
      <c r="AA19" s="665" t="s">
        <v>1160</v>
      </c>
      <c r="AB19" s="665" t="s">
        <v>1161</v>
      </c>
      <c r="AC19" s="40" t="s">
        <v>514</v>
      </c>
    </row>
    <row r="20" spans="2:47">
      <c r="B20" s="72" t="s">
        <v>141</v>
      </c>
      <c r="C20" s="73">
        <v>0</v>
      </c>
      <c r="D20" s="73">
        <v>0</v>
      </c>
      <c r="E20" s="73">
        <v>0</v>
      </c>
      <c r="F20" s="73">
        <v>0</v>
      </c>
      <c r="G20" s="73">
        <v>0</v>
      </c>
      <c r="H20" s="73">
        <v>0</v>
      </c>
      <c r="I20" s="73">
        <v>0</v>
      </c>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666">
        <v>0</v>
      </c>
      <c r="AB20" s="666">
        <v>0</v>
      </c>
      <c r="AC20" s="121">
        <v>0</v>
      </c>
    </row>
    <row r="21" spans="2:47">
      <c r="B21" s="72" t="s">
        <v>140</v>
      </c>
      <c r="C21" s="73">
        <v>0</v>
      </c>
      <c r="D21" s="73">
        <v>0</v>
      </c>
      <c r="E21" s="73">
        <v>0</v>
      </c>
      <c r="F21" s="73">
        <v>0</v>
      </c>
      <c r="G21" s="73">
        <v>0</v>
      </c>
      <c r="H21" s="73">
        <v>0</v>
      </c>
      <c r="I21" s="73">
        <v>0</v>
      </c>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666">
        <v>0</v>
      </c>
      <c r="AB21" s="666">
        <v>0</v>
      </c>
      <c r="AC21" s="121">
        <v>0</v>
      </c>
    </row>
    <row r="22" spans="2:47">
      <c r="B22" s="41"/>
      <c r="C22" s="34"/>
      <c r="D22" s="34"/>
      <c r="E22" s="34"/>
      <c r="F22" s="34"/>
      <c r="G22" s="34"/>
      <c r="H22" s="34"/>
      <c r="I22" s="34"/>
      <c r="J22" s="34"/>
      <c r="K22" s="34"/>
      <c r="L22" s="34"/>
      <c r="M22" s="34"/>
      <c r="N22" s="34"/>
      <c r="O22" s="34"/>
      <c r="P22" s="34"/>
      <c r="Q22" s="34"/>
      <c r="R22" s="34"/>
      <c r="S22" s="34"/>
      <c r="T22" s="34"/>
      <c r="U22" s="34"/>
      <c r="V22" s="34"/>
      <c r="W22" s="34"/>
      <c r="X22" s="34"/>
      <c r="Y22" s="34"/>
      <c r="Z22" s="34"/>
      <c r="AA22" s="667"/>
      <c r="AB22" s="667"/>
      <c r="AC22" s="38"/>
    </row>
    <row r="23" spans="2:47">
      <c r="B23" s="72" t="s">
        <v>68</v>
      </c>
      <c r="C23" s="73">
        <v>0</v>
      </c>
      <c r="D23" s="73">
        <v>0</v>
      </c>
      <c r="E23" s="73">
        <v>0</v>
      </c>
      <c r="F23" s="73">
        <v>0</v>
      </c>
      <c r="G23" s="73">
        <v>0</v>
      </c>
      <c r="H23" s="73">
        <v>2188790</v>
      </c>
      <c r="I23" s="73">
        <v>31405600</v>
      </c>
      <c r="J23" s="73">
        <v>31401200</v>
      </c>
      <c r="K23" s="73">
        <v>29216800</v>
      </c>
      <c r="L23" s="73">
        <v>2184370</v>
      </c>
      <c r="M23" s="73">
        <v>0</v>
      </c>
      <c r="N23" s="73">
        <v>0</v>
      </c>
      <c r="O23" s="73">
        <v>0</v>
      </c>
      <c r="P23" s="73">
        <v>297120</v>
      </c>
      <c r="Q23" s="73">
        <v>5257780</v>
      </c>
      <c r="R23" s="73">
        <v>5195400</v>
      </c>
      <c r="S23" s="73">
        <v>4934140</v>
      </c>
      <c r="T23" s="73">
        <v>4934140</v>
      </c>
      <c r="U23" s="73">
        <v>0</v>
      </c>
      <c r="V23" s="73">
        <v>0</v>
      </c>
      <c r="W23" s="73">
        <v>261265</v>
      </c>
      <c r="X23" s="73">
        <v>0</v>
      </c>
      <c r="Y23" s="73">
        <v>0</v>
      </c>
      <c r="Z23" s="73">
        <v>0</v>
      </c>
      <c r="AA23" s="666">
        <v>0</v>
      </c>
      <c r="AB23" s="666">
        <v>0</v>
      </c>
      <c r="AC23" s="121">
        <v>2445630</v>
      </c>
    </row>
    <row r="24" spans="2:47">
      <c r="B24" s="72" t="s">
        <v>468</v>
      </c>
      <c r="C24" s="73">
        <v>0</v>
      </c>
      <c r="D24" s="73">
        <v>0</v>
      </c>
      <c r="E24" s="73">
        <v>0</v>
      </c>
      <c r="F24" s="73">
        <v>0</v>
      </c>
      <c r="G24" s="73">
        <v>0</v>
      </c>
      <c r="H24" s="73">
        <v>0</v>
      </c>
      <c r="I24" s="73">
        <v>0</v>
      </c>
      <c r="J24" s="73">
        <v>0</v>
      </c>
      <c r="K24" s="73">
        <v>0</v>
      </c>
      <c r="L24" s="73">
        <v>0</v>
      </c>
      <c r="M24" s="73">
        <v>0</v>
      </c>
      <c r="N24" s="73">
        <v>0</v>
      </c>
      <c r="O24" s="73">
        <v>0</v>
      </c>
      <c r="P24" s="73">
        <v>0</v>
      </c>
      <c r="Q24" s="73">
        <v>757899</v>
      </c>
      <c r="R24" s="73">
        <v>757899</v>
      </c>
      <c r="S24" s="73">
        <v>757899</v>
      </c>
      <c r="T24" s="73">
        <v>757899</v>
      </c>
      <c r="U24" s="73">
        <v>0</v>
      </c>
      <c r="V24" s="73">
        <v>0</v>
      </c>
      <c r="W24" s="73">
        <v>0</v>
      </c>
      <c r="X24" s="73">
        <v>0</v>
      </c>
      <c r="Y24" s="73">
        <v>0</v>
      </c>
      <c r="Z24" s="73">
        <v>0</v>
      </c>
      <c r="AA24" s="666">
        <v>0</v>
      </c>
      <c r="AB24" s="666">
        <v>0</v>
      </c>
      <c r="AC24" s="121">
        <v>0</v>
      </c>
    </row>
    <row r="25" spans="2:47">
      <c r="B25" s="72" t="s">
        <v>305</v>
      </c>
      <c r="C25" s="73">
        <v>0</v>
      </c>
      <c r="D25" s="73">
        <v>0</v>
      </c>
      <c r="E25" s="73">
        <v>0</v>
      </c>
      <c r="F25" s="73">
        <v>0</v>
      </c>
      <c r="G25" s="73">
        <v>0</v>
      </c>
      <c r="H25" s="73">
        <v>0</v>
      </c>
      <c r="I25" s="73">
        <v>0</v>
      </c>
      <c r="J25" s="73">
        <v>0</v>
      </c>
      <c r="K25" s="73">
        <v>0</v>
      </c>
      <c r="L25" s="73">
        <v>0</v>
      </c>
      <c r="M25" s="73">
        <v>0</v>
      </c>
      <c r="N25" s="73">
        <v>0</v>
      </c>
      <c r="O25" s="73">
        <v>0</v>
      </c>
      <c r="P25" s="73">
        <v>0</v>
      </c>
      <c r="Q25" s="73">
        <v>56101.7</v>
      </c>
      <c r="R25" s="73">
        <v>72044.800000000003</v>
      </c>
      <c r="S25" s="73">
        <v>56101.7</v>
      </c>
      <c r="T25" s="73">
        <v>56101.7</v>
      </c>
      <c r="U25" s="73">
        <v>0</v>
      </c>
      <c r="V25" s="73">
        <v>0</v>
      </c>
      <c r="W25" s="73">
        <v>15943</v>
      </c>
      <c r="X25" s="73">
        <v>0</v>
      </c>
      <c r="Y25" s="73">
        <v>0</v>
      </c>
      <c r="Z25" s="73">
        <v>0</v>
      </c>
      <c r="AA25" s="666">
        <v>0</v>
      </c>
      <c r="AB25" s="666">
        <v>0</v>
      </c>
      <c r="AC25" s="121">
        <v>15943</v>
      </c>
    </row>
    <row r="26" spans="2:47">
      <c r="B26" s="72" t="s">
        <v>597</v>
      </c>
      <c r="C26" s="73">
        <v>0</v>
      </c>
      <c r="D26" s="73">
        <v>0</v>
      </c>
      <c r="E26" s="73">
        <v>0</v>
      </c>
      <c r="F26" s="73">
        <v>0</v>
      </c>
      <c r="G26" s="73">
        <v>0</v>
      </c>
      <c r="H26" s="73">
        <v>0</v>
      </c>
      <c r="I26" s="73">
        <v>2263010</v>
      </c>
      <c r="J26" s="73">
        <v>2263010</v>
      </c>
      <c r="K26" s="73">
        <v>2263010</v>
      </c>
      <c r="L26" s="73">
        <v>0</v>
      </c>
      <c r="M26" s="73">
        <v>0</v>
      </c>
      <c r="N26" s="73">
        <v>0</v>
      </c>
      <c r="O26" s="73">
        <v>0</v>
      </c>
      <c r="P26" s="73">
        <v>0</v>
      </c>
      <c r="Q26" s="73">
        <v>0</v>
      </c>
      <c r="R26" s="73">
        <v>0</v>
      </c>
      <c r="S26" s="73">
        <v>0</v>
      </c>
      <c r="T26" s="73">
        <v>0</v>
      </c>
      <c r="U26" s="73">
        <v>0</v>
      </c>
      <c r="V26" s="73">
        <v>0</v>
      </c>
      <c r="W26" s="73">
        <v>0</v>
      </c>
      <c r="X26" s="73">
        <v>0</v>
      </c>
      <c r="Y26" s="73">
        <v>0</v>
      </c>
      <c r="Z26" s="73">
        <v>0</v>
      </c>
      <c r="AA26" s="666">
        <v>0</v>
      </c>
      <c r="AB26" s="666">
        <v>0</v>
      </c>
      <c r="AC26" s="121">
        <v>0</v>
      </c>
    </row>
    <row r="27" spans="2:47">
      <c r="B27" s="72" t="s">
        <v>443</v>
      </c>
      <c r="C27" s="73">
        <v>0</v>
      </c>
      <c r="D27" s="73">
        <v>0</v>
      </c>
      <c r="E27" s="73">
        <v>0</v>
      </c>
      <c r="F27" s="73">
        <v>0</v>
      </c>
      <c r="G27" s="73">
        <v>0</v>
      </c>
      <c r="H27" s="73">
        <v>0</v>
      </c>
      <c r="I27" s="73">
        <v>0</v>
      </c>
      <c r="J27" s="73">
        <v>169190</v>
      </c>
      <c r="K27" s="73">
        <v>0</v>
      </c>
      <c r="L27" s="73">
        <v>169190</v>
      </c>
      <c r="M27" s="73">
        <v>0</v>
      </c>
      <c r="N27" s="73">
        <v>0</v>
      </c>
      <c r="O27" s="73">
        <v>0</v>
      </c>
      <c r="P27" s="73">
        <v>0</v>
      </c>
      <c r="Q27" s="73">
        <v>0</v>
      </c>
      <c r="R27" s="73">
        <v>0</v>
      </c>
      <c r="S27" s="73">
        <v>0</v>
      </c>
      <c r="T27" s="73">
        <v>0</v>
      </c>
      <c r="U27" s="73">
        <v>0</v>
      </c>
      <c r="V27" s="73">
        <v>0</v>
      </c>
      <c r="W27" s="73">
        <v>0</v>
      </c>
      <c r="X27" s="73">
        <v>0</v>
      </c>
      <c r="Y27" s="73">
        <v>0</v>
      </c>
      <c r="Z27" s="73">
        <v>0</v>
      </c>
      <c r="AA27" s="666">
        <v>0</v>
      </c>
      <c r="AB27" s="666">
        <v>0</v>
      </c>
      <c r="AC27" s="121">
        <v>169191</v>
      </c>
    </row>
    <row r="28" spans="2:47">
      <c r="B28" s="72" t="s">
        <v>56</v>
      </c>
      <c r="C28" s="73">
        <v>0</v>
      </c>
      <c r="D28" s="73">
        <v>0</v>
      </c>
      <c r="E28" s="73">
        <v>0</v>
      </c>
      <c r="F28" s="73">
        <v>0</v>
      </c>
      <c r="G28" s="73">
        <v>0</v>
      </c>
      <c r="H28" s="73">
        <v>0</v>
      </c>
      <c r="I28" s="73">
        <v>0</v>
      </c>
      <c r="J28" s="73">
        <v>0</v>
      </c>
      <c r="K28" s="73">
        <v>0</v>
      </c>
      <c r="L28" s="73">
        <v>0</v>
      </c>
      <c r="M28" s="73">
        <v>0</v>
      </c>
      <c r="N28" s="73">
        <v>0</v>
      </c>
      <c r="O28" s="73">
        <v>0</v>
      </c>
      <c r="P28" s="73">
        <v>0</v>
      </c>
      <c r="Q28" s="73">
        <v>0</v>
      </c>
      <c r="R28" s="73">
        <v>0</v>
      </c>
      <c r="S28" s="73">
        <v>0</v>
      </c>
      <c r="T28" s="73">
        <v>0</v>
      </c>
      <c r="U28" s="73">
        <v>0</v>
      </c>
      <c r="V28" s="73">
        <v>0</v>
      </c>
      <c r="W28" s="73">
        <v>0</v>
      </c>
      <c r="X28" s="73">
        <v>0</v>
      </c>
      <c r="Y28" s="73">
        <v>0</v>
      </c>
      <c r="Z28" s="73">
        <v>0</v>
      </c>
      <c r="AA28" s="666">
        <v>0</v>
      </c>
      <c r="AB28" s="666">
        <v>0</v>
      </c>
      <c r="AC28" s="121">
        <v>0</v>
      </c>
    </row>
    <row r="29" spans="2:47">
      <c r="B29" s="72" t="s">
        <v>54</v>
      </c>
      <c r="C29" s="73">
        <v>0</v>
      </c>
      <c r="D29" s="73">
        <v>0</v>
      </c>
      <c r="E29" s="73">
        <v>0</v>
      </c>
      <c r="F29" s="73">
        <v>0</v>
      </c>
      <c r="G29" s="73">
        <v>0</v>
      </c>
      <c r="H29" s="73">
        <v>0</v>
      </c>
      <c r="I29" s="73">
        <v>0</v>
      </c>
      <c r="J29" s="73">
        <v>0</v>
      </c>
      <c r="K29" s="73">
        <v>0</v>
      </c>
      <c r="L29" s="73">
        <v>0</v>
      </c>
      <c r="M29" s="73">
        <v>0</v>
      </c>
      <c r="N29" s="73">
        <v>0</v>
      </c>
      <c r="O29" s="73">
        <v>0</v>
      </c>
      <c r="P29" s="73">
        <v>0</v>
      </c>
      <c r="Q29" s="73">
        <v>0</v>
      </c>
      <c r="R29" s="73">
        <v>0</v>
      </c>
      <c r="S29" s="73">
        <v>0</v>
      </c>
      <c r="T29" s="73">
        <v>0</v>
      </c>
      <c r="U29" s="73">
        <v>0</v>
      </c>
      <c r="V29" s="73">
        <v>0</v>
      </c>
      <c r="W29" s="73">
        <v>0</v>
      </c>
      <c r="X29" s="73">
        <v>0</v>
      </c>
      <c r="Y29" s="73">
        <v>0</v>
      </c>
      <c r="Z29" s="73">
        <v>0</v>
      </c>
      <c r="AA29" s="666">
        <v>0</v>
      </c>
      <c r="AB29" s="666">
        <v>0</v>
      </c>
      <c r="AC29" s="121">
        <v>0</v>
      </c>
    </row>
    <row r="30" spans="2:47">
      <c r="B30" s="72" t="s">
        <v>53</v>
      </c>
      <c r="C30" s="73">
        <v>0</v>
      </c>
      <c r="D30" s="73">
        <v>0</v>
      </c>
      <c r="E30" s="73">
        <v>0</v>
      </c>
      <c r="F30" s="73">
        <v>0</v>
      </c>
      <c r="G30" s="73">
        <v>0</v>
      </c>
      <c r="H30" s="73">
        <v>0</v>
      </c>
      <c r="I30" s="73">
        <v>0</v>
      </c>
      <c r="J30" s="73">
        <v>0</v>
      </c>
      <c r="K30" s="73">
        <v>0</v>
      </c>
      <c r="L30" s="73">
        <v>0</v>
      </c>
      <c r="M30" s="73">
        <v>0</v>
      </c>
      <c r="N30" s="73">
        <v>0</v>
      </c>
      <c r="O30" s="73">
        <v>0</v>
      </c>
      <c r="P30" s="73">
        <v>0</v>
      </c>
      <c r="Q30" s="73">
        <v>0</v>
      </c>
      <c r="R30" s="73">
        <v>0</v>
      </c>
      <c r="S30" s="73">
        <v>0</v>
      </c>
      <c r="T30" s="73">
        <v>0</v>
      </c>
      <c r="U30" s="73">
        <v>0</v>
      </c>
      <c r="V30" s="73">
        <v>0</v>
      </c>
      <c r="W30" s="73">
        <v>0</v>
      </c>
      <c r="X30" s="73">
        <v>0</v>
      </c>
      <c r="Y30" s="73">
        <v>0</v>
      </c>
      <c r="Z30" s="73">
        <v>0</v>
      </c>
      <c r="AA30" s="666">
        <v>0</v>
      </c>
      <c r="AB30" s="666">
        <v>0</v>
      </c>
      <c r="AC30" s="121">
        <v>0</v>
      </c>
    </row>
    <row r="31" spans="2:47">
      <c r="B31" s="72" t="s">
        <v>55</v>
      </c>
      <c r="C31" s="73">
        <v>0</v>
      </c>
      <c r="D31" s="73">
        <v>0</v>
      </c>
      <c r="E31" s="73">
        <v>0</v>
      </c>
      <c r="F31" s="73">
        <v>0</v>
      </c>
      <c r="G31" s="73">
        <v>0</v>
      </c>
      <c r="H31" s="73">
        <v>0</v>
      </c>
      <c r="I31" s="73">
        <v>0</v>
      </c>
      <c r="J31" s="73">
        <v>0</v>
      </c>
      <c r="K31" s="73">
        <v>0</v>
      </c>
      <c r="L31" s="73">
        <v>0</v>
      </c>
      <c r="M31" s="73">
        <v>0</v>
      </c>
      <c r="N31" s="73">
        <v>0</v>
      </c>
      <c r="O31" s="73">
        <v>0</v>
      </c>
      <c r="P31" s="73">
        <v>0</v>
      </c>
      <c r="Q31" s="73">
        <v>0</v>
      </c>
      <c r="R31" s="73">
        <v>0</v>
      </c>
      <c r="S31" s="73">
        <v>0</v>
      </c>
      <c r="T31" s="73">
        <v>0</v>
      </c>
      <c r="U31" s="73">
        <v>0</v>
      </c>
      <c r="V31" s="73">
        <v>0</v>
      </c>
      <c r="W31" s="73">
        <v>0</v>
      </c>
      <c r="X31" s="73">
        <v>0</v>
      </c>
      <c r="Y31" s="73">
        <v>0</v>
      </c>
      <c r="Z31" s="73">
        <v>0</v>
      </c>
      <c r="AA31" s="666">
        <v>0</v>
      </c>
      <c r="AB31" s="666">
        <v>0</v>
      </c>
      <c r="AC31" s="121">
        <v>0</v>
      </c>
    </row>
    <row r="32" spans="2:47">
      <c r="B32" s="72" t="s">
        <v>469</v>
      </c>
      <c r="C32" s="73">
        <v>0</v>
      </c>
      <c r="D32" s="73">
        <v>0</v>
      </c>
      <c r="E32" s="73">
        <v>0</v>
      </c>
      <c r="F32" s="73">
        <v>0</v>
      </c>
      <c r="G32" s="73">
        <v>0</v>
      </c>
      <c r="H32" s="73">
        <v>0</v>
      </c>
      <c r="I32" s="73">
        <v>0</v>
      </c>
      <c r="J32" s="73">
        <v>0</v>
      </c>
      <c r="K32" s="73">
        <v>0</v>
      </c>
      <c r="L32" s="73">
        <v>0</v>
      </c>
      <c r="M32" s="73">
        <v>0</v>
      </c>
      <c r="N32" s="73">
        <v>0</v>
      </c>
      <c r="O32" s="73">
        <v>0</v>
      </c>
      <c r="P32" s="73">
        <v>0</v>
      </c>
      <c r="Q32" s="73">
        <v>0</v>
      </c>
      <c r="R32" s="73">
        <v>0</v>
      </c>
      <c r="S32" s="73">
        <v>0</v>
      </c>
      <c r="T32" s="73">
        <v>0</v>
      </c>
      <c r="U32" s="73">
        <v>0</v>
      </c>
      <c r="V32" s="73">
        <v>0</v>
      </c>
      <c r="W32" s="73">
        <v>0</v>
      </c>
      <c r="X32" s="73">
        <v>0</v>
      </c>
      <c r="Y32" s="73">
        <v>0</v>
      </c>
      <c r="Z32" s="73">
        <v>0</v>
      </c>
      <c r="AA32" s="666">
        <v>0</v>
      </c>
      <c r="AB32" s="666">
        <v>0</v>
      </c>
      <c r="AC32" s="121">
        <v>0</v>
      </c>
    </row>
    <row r="33" spans="2:29">
      <c r="B33" s="41"/>
      <c r="C33" s="34"/>
      <c r="D33" s="34"/>
      <c r="E33" s="34"/>
      <c r="F33" s="34"/>
      <c r="G33" s="34"/>
      <c r="H33" s="34"/>
      <c r="I33" s="34"/>
      <c r="J33" s="34"/>
      <c r="K33" s="34"/>
      <c r="L33" s="34"/>
      <c r="M33" s="34"/>
      <c r="N33" s="34"/>
      <c r="O33" s="34"/>
      <c r="P33" s="34"/>
      <c r="Q33" s="34"/>
      <c r="R33" s="34"/>
      <c r="S33" s="34"/>
      <c r="T33" s="34"/>
      <c r="U33" s="34"/>
      <c r="V33" s="34"/>
      <c r="W33" s="34"/>
      <c r="X33" s="34"/>
      <c r="Y33" s="34"/>
      <c r="Z33" s="34"/>
      <c r="AA33" s="667"/>
      <c r="AB33" s="667"/>
      <c r="AC33" s="38"/>
    </row>
    <row r="34" spans="2:29">
      <c r="B34" s="72" t="s">
        <v>51</v>
      </c>
      <c r="C34" s="73">
        <v>57060.9</v>
      </c>
      <c r="D34" s="73">
        <v>147690</v>
      </c>
      <c r="E34" s="73">
        <v>120318</v>
      </c>
      <c r="F34" s="73">
        <v>0</v>
      </c>
      <c r="G34" s="73">
        <v>10829</v>
      </c>
      <c r="H34" s="73">
        <v>0</v>
      </c>
      <c r="I34" s="73">
        <v>0</v>
      </c>
      <c r="J34" s="73">
        <v>0</v>
      </c>
      <c r="K34" s="73">
        <v>0</v>
      </c>
      <c r="L34" s="73">
        <v>0</v>
      </c>
      <c r="M34" s="73">
        <v>27372</v>
      </c>
      <c r="N34" s="73">
        <v>0</v>
      </c>
      <c r="O34" s="73">
        <v>5474</v>
      </c>
      <c r="P34" s="73">
        <v>0</v>
      </c>
      <c r="Q34" s="73">
        <v>0</v>
      </c>
      <c r="R34" s="73">
        <v>0</v>
      </c>
      <c r="S34" s="73">
        <v>0</v>
      </c>
      <c r="T34" s="73">
        <v>0</v>
      </c>
      <c r="U34" s="73">
        <v>0</v>
      </c>
      <c r="V34" s="73">
        <v>0</v>
      </c>
      <c r="W34" s="73">
        <v>0</v>
      </c>
      <c r="X34" s="73">
        <v>100699</v>
      </c>
      <c r="Y34" s="73">
        <v>90629</v>
      </c>
      <c r="Z34" s="73">
        <v>10070</v>
      </c>
      <c r="AA34" s="666">
        <v>0</v>
      </c>
      <c r="AB34" s="666">
        <v>0</v>
      </c>
      <c r="AC34" s="121">
        <v>0</v>
      </c>
    </row>
    <row r="35" spans="2:29">
      <c r="B35" s="72" t="s">
        <v>470</v>
      </c>
      <c r="C35" s="73">
        <v>0</v>
      </c>
      <c r="D35" s="73">
        <v>58</v>
      </c>
      <c r="E35" s="73">
        <v>47</v>
      </c>
      <c r="F35" s="73">
        <v>43741</v>
      </c>
      <c r="G35" s="73">
        <v>47</v>
      </c>
      <c r="H35" s="73">
        <v>0</v>
      </c>
      <c r="I35" s="73">
        <v>0</v>
      </c>
      <c r="J35" s="73">
        <v>0</v>
      </c>
      <c r="K35" s="73">
        <v>0</v>
      </c>
      <c r="L35" s="73">
        <v>0</v>
      </c>
      <c r="M35" s="73">
        <v>11</v>
      </c>
      <c r="N35" s="73">
        <v>39804</v>
      </c>
      <c r="O35" s="73">
        <v>11</v>
      </c>
      <c r="P35" s="73">
        <v>0</v>
      </c>
      <c r="Q35" s="73">
        <v>0</v>
      </c>
      <c r="R35" s="73">
        <v>0</v>
      </c>
      <c r="S35" s="73">
        <v>0</v>
      </c>
      <c r="T35" s="73">
        <v>0</v>
      </c>
      <c r="U35" s="73">
        <v>0</v>
      </c>
      <c r="V35" s="73">
        <v>0</v>
      </c>
      <c r="W35" s="73">
        <v>0</v>
      </c>
      <c r="X35" s="73">
        <v>1246</v>
      </c>
      <c r="Y35" s="73">
        <v>58</v>
      </c>
      <c r="Z35" s="73">
        <v>1188</v>
      </c>
      <c r="AA35" s="666">
        <v>83545</v>
      </c>
      <c r="AB35" s="666">
        <v>75670</v>
      </c>
      <c r="AC35" s="121">
        <v>0</v>
      </c>
    </row>
    <row r="36" spans="2:29">
      <c r="B36" s="72" t="s">
        <v>471</v>
      </c>
      <c r="C36" s="73">
        <v>0</v>
      </c>
      <c r="D36" s="73">
        <v>0</v>
      </c>
      <c r="E36" s="73">
        <v>0</v>
      </c>
      <c r="F36" s="73">
        <v>0</v>
      </c>
      <c r="G36" s="73">
        <v>0</v>
      </c>
      <c r="H36" s="73">
        <v>0</v>
      </c>
      <c r="I36" s="73">
        <v>0</v>
      </c>
      <c r="J36" s="73">
        <v>0</v>
      </c>
      <c r="K36" s="73">
        <v>0</v>
      </c>
      <c r="L36" s="73">
        <v>0</v>
      </c>
      <c r="M36" s="73">
        <v>0</v>
      </c>
      <c r="N36" s="73">
        <v>0</v>
      </c>
      <c r="O36" s="73">
        <v>0</v>
      </c>
      <c r="P36" s="73">
        <v>0</v>
      </c>
      <c r="Q36" s="73">
        <v>0</v>
      </c>
      <c r="R36" s="73">
        <v>0</v>
      </c>
      <c r="S36" s="73">
        <v>0</v>
      </c>
      <c r="T36" s="73">
        <v>0</v>
      </c>
      <c r="U36" s="73">
        <v>0</v>
      </c>
      <c r="V36" s="73">
        <v>0</v>
      </c>
      <c r="W36" s="73">
        <v>0</v>
      </c>
      <c r="X36" s="73">
        <v>0</v>
      </c>
      <c r="Y36" s="73">
        <v>0</v>
      </c>
      <c r="Z36" s="73">
        <v>0</v>
      </c>
      <c r="AA36" s="666">
        <v>0</v>
      </c>
      <c r="AB36" s="666">
        <v>0</v>
      </c>
      <c r="AC36" s="121">
        <v>0</v>
      </c>
    </row>
    <row r="37" spans="2:29">
      <c r="B37" s="72" t="s">
        <v>472</v>
      </c>
      <c r="C37" s="73">
        <v>0</v>
      </c>
      <c r="D37" s="73">
        <v>0</v>
      </c>
      <c r="E37" s="73">
        <v>0</v>
      </c>
      <c r="F37" s="73">
        <v>0</v>
      </c>
      <c r="G37" s="73">
        <v>0</v>
      </c>
      <c r="H37" s="73">
        <v>0</v>
      </c>
      <c r="I37" s="73">
        <v>0</v>
      </c>
      <c r="J37" s="73">
        <v>0</v>
      </c>
      <c r="K37" s="73">
        <v>0</v>
      </c>
      <c r="L37" s="73">
        <v>0</v>
      </c>
      <c r="M37" s="73">
        <v>0</v>
      </c>
      <c r="N37" s="73">
        <v>0</v>
      </c>
      <c r="O37" s="73">
        <v>0</v>
      </c>
      <c r="P37" s="73">
        <v>0</v>
      </c>
      <c r="Q37" s="73">
        <v>0</v>
      </c>
      <c r="R37" s="73">
        <v>0</v>
      </c>
      <c r="S37" s="73">
        <v>0</v>
      </c>
      <c r="T37" s="73">
        <v>0</v>
      </c>
      <c r="U37" s="73">
        <v>0</v>
      </c>
      <c r="V37" s="73">
        <v>0</v>
      </c>
      <c r="W37" s="73">
        <v>0</v>
      </c>
      <c r="X37" s="73">
        <v>0</v>
      </c>
      <c r="Y37" s="73">
        <v>0</v>
      </c>
      <c r="Z37" s="73">
        <v>0</v>
      </c>
      <c r="AA37" s="666">
        <v>0</v>
      </c>
      <c r="AB37" s="666">
        <v>0</v>
      </c>
      <c r="AC37" s="121">
        <v>0</v>
      </c>
    </row>
    <row r="38" spans="2:29">
      <c r="B38" s="72" t="s">
        <v>473</v>
      </c>
      <c r="C38" s="73">
        <v>0</v>
      </c>
      <c r="D38" s="73">
        <v>123</v>
      </c>
      <c r="E38" s="73">
        <v>100</v>
      </c>
      <c r="F38" s="73">
        <v>0</v>
      </c>
      <c r="G38" s="73">
        <v>596</v>
      </c>
      <c r="H38" s="73">
        <v>0</v>
      </c>
      <c r="I38" s="73">
        <v>0</v>
      </c>
      <c r="J38" s="73">
        <v>0</v>
      </c>
      <c r="K38" s="73">
        <v>0</v>
      </c>
      <c r="L38" s="73">
        <v>0</v>
      </c>
      <c r="M38" s="73">
        <v>23</v>
      </c>
      <c r="N38" s="73">
        <v>0</v>
      </c>
      <c r="O38" s="73">
        <v>2029</v>
      </c>
      <c r="P38" s="73">
        <v>0</v>
      </c>
      <c r="Q38" s="73">
        <v>0</v>
      </c>
      <c r="R38" s="73">
        <v>0</v>
      </c>
      <c r="S38" s="73">
        <v>0</v>
      </c>
      <c r="T38" s="73">
        <v>0</v>
      </c>
      <c r="U38" s="73">
        <v>0</v>
      </c>
      <c r="V38" s="73">
        <v>0</v>
      </c>
      <c r="W38" s="73">
        <v>0</v>
      </c>
      <c r="X38" s="73">
        <v>2625</v>
      </c>
      <c r="Y38" s="73">
        <v>123</v>
      </c>
      <c r="Z38" s="73">
        <v>2502</v>
      </c>
      <c r="AA38" s="666">
        <v>0</v>
      </c>
      <c r="AB38" s="666">
        <v>0</v>
      </c>
      <c r="AC38" s="121">
        <v>0</v>
      </c>
    </row>
    <row r="39" spans="2:29">
      <c r="B39" s="41"/>
      <c r="C39" s="34"/>
      <c r="D39" s="34"/>
      <c r="E39" s="34"/>
      <c r="F39" s="34"/>
      <c r="G39" s="34"/>
      <c r="H39" s="34"/>
      <c r="I39" s="34"/>
      <c r="J39" s="34"/>
      <c r="K39" s="34"/>
      <c r="L39" s="34"/>
      <c r="M39" s="34"/>
      <c r="N39" s="34"/>
      <c r="O39" s="34"/>
      <c r="P39" s="34"/>
      <c r="Q39" s="34"/>
      <c r="R39" s="34"/>
      <c r="S39" s="34"/>
      <c r="T39" s="34"/>
      <c r="U39" s="34"/>
      <c r="V39" s="34"/>
      <c r="W39" s="34"/>
      <c r="X39" s="34"/>
      <c r="Y39" s="34"/>
      <c r="Z39" s="34"/>
      <c r="AA39" s="667"/>
      <c r="AB39" s="667"/>
      <c r="AC39" s="38"/>
    </row>
    <row r="40" spans="2:29">
      <c r="B40" s="72" t="s">
        <v>608</v>
      </c>
      <c r="C40" s="73">
        <v>0</v>
      </c>
      <c r="D40" s="73">
        <v>0</v>
      </c>
      <c r="E40" s="73">
        <v>0</v>
      </c>
      <c r="F40" s="73">
        <v>0</v>
      </c>
      <c r="G40" s="73">
        <v>0</v>
      </c>
      <c r="H40" s="73">
        <v>0</v>
      </c>
      <c r="I40" s="73">
        <v>0</v>
      </c>
      <c r="J40" s="73">
        <v>0</v>
      </c>
      <c r="K40" s="73">
        <v>0</v>
      </c>
      <c r="L40" s="73">
        <v>0</v>
      </c>
      <c r="M40" s="73">
        <v>0</v>
      </c>
      <c r="N40" s="73">
        <v>0</v>
      </c>
      <c r="O40" s="73">
        <v>0</v>
      </c>
      <c r="P40" s="73">
        <v>0</v>
      </c>
      <c r="Q40" s="73">
        <v>0</v>
      </c>
      <c r="R40" s="73">
        <v>0</v>
      </c>
      <c r="S40" s="73">
        <v>0</v>
      </c>
      <c r="T40" s="73">
        <v>0</v>
      </c>
      <c r="U40" s="73">
        <v>50488500</v>
      </c>
      <c r="V40" s="73">
        <v>50488500</v>
      </c>
      <c r="W40" s="73">
        <v>0</v>
      </c>
      <c r="X40" s="73">
        <v>0</v>
      </c>
      <c r="Y40" s="73">
        <v>0</v>
      </c>
      <c r="Z40" s="73">
        <v>0</v>
      </c>
      <c r="AA40" s="666">
        <v>0</v>
      </c>
      <c r="AB40" s="666">
        <v>0</v>
      </c>
      <c r="AC40" s="121">
        <v>0</v>
      </c>
    </row>
    <row r="41" spans="2:29">
      <c r="B41" s="72" t="s">
        <v>77</v>
      </c>
      <c r="C41" s="73">
        <v>0</v>
      </c>
      <c r="D41" s="73">
        <v>0</v>
      </c>
      <c r="E41" s="73">
        <v>0</v>
      </c>
      <c r="F41" s="73">
        <v>0</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0</v>
      </c>
      <c r="X41" s="73">
        <v>0</v>
      </c>
      <c r="Y41" s="73">
        <v>0</v>
      </c>
      <c r="Z41" s="73">
        <v>0</v>
      </c>
      <c r="AA41" s="666">
        <v>0</v>
      </c>
      <c r="AB41" s="666">
        <v>0</v>
      </c>
      <c r="AC41" s="121">
        <v>0</v>
      </c>
    </row>
    <row r="42" spans="2:29">
      <c r="B42" s="72" t="s">
        <v>69</v>
      </c>
      <c r="C42" s="73">
        <v>0</v>
      </c>
      <c r="D42" s="73">
        <v>0</v>
      </c>
      <c r="E42" s="73">
        <v>0</v>
      </c>
      <c r="F42" s="73">
        <v>0</v>
      </c>
      <c r="G42" s="73">
        <v>0</v>
      </c>
      <c r="H42" s="73">
        <v>0</v>
      </c>
      <c r="I42" s="73">
        <v>0</v>
      </c>
      <c r="J42" s="73">
        <v>0</v>
      </c>
      <c r="K42" s="73">
        <v>0</v>
      </c>
      <c r="L42" s="73">
        <v>0</v>
      </c>
      <c r="M42" s="73">
        <v>0</v>
      </c>
      <c r="N42" s="73">
        <v>0</v>
      </c>
      <c r="O42" s="73">
        <v>0</v>
      </c>
      <c r="P42" s="73">
        <v>0</v>
      </c>
      <c r="Q42" s="73">
        <v>0</v>
      </c>
      <c r="R42" s="73">
        <v>0</v>
      </c>
      <c r="S42" s="73">
        <v>0</v>
      </c>
      <c r="T42" s="73">
        <v>0</v>
      </c>
      <c r="U42" s="73">
        <v>0</v>
      </c>
      <c r="V42" s="73">
        <v>0</v>
      </c>
      <c r="W42" s="73">
        <v>0</v>
      </c>
      <c r="X42" s="73">
        <v>0</v>
      </c>
      <c r="Y42" s="73">
        <v>0</v>
      </c>
      <c r="Z42" s="73">
        <v>0</v>
      </c>
      <c r="AA42" s="666">
        <v>0</v>
      </c>
      <c r="AB42" s="666">
        <v>0</v>
      </c>
      <c r="AC42" s="121">
        <v>0</v>
      </c>
    </row>
    <row r="43" spans="2:29" ht="17" thickBot="1">
      <c r="B43" s="41"/>
      <c r="C43" s="34"/>
      <c r="D43" s="34"/>
      <c r="E43" s="34"/>
      <c r="F43" s="34"/>
      <c r="G43" s="34"/>
      <c r="H43" s="34"/>
      <c r="I43" s="34"/>
      <c r="J43" s="34"/>
      <c r="K43" s="34"/>
      <c r="L43" s="34"/>
      <c r="M43" s="34"/>
      <c r="N43" s="34"/>
      <c r="O43" s="34"/>
      <c r="P43" s="34"/>
      <c r="Q43" s="34"/>
      <c r="R43" s="34"/>
      <c r="S43" s="34"/>
      <c r="T43" s="34"/>
      <c r="U43" s="34"/>
      <c r="V43" s="34"/>
      <c r="W43" s="34"/>
      <c r="X43" s="34"/>
      <c r="Y43" s="34"/>
      <c r="Z43" s="34"/>
      <c r="AA43" s="667"/>
      <c r="AB43" s="667"/>
      <c r="AC43" s="38"/>
    </row>
    <row r="44" spans="2:29">
      <c r="B44" s="45" t="s">
        <v>594</v>
      </c>
      <c r="C44" s="46">
        <f>SUM(C20:C42)</f>
        <v>57060.9</v>
      </c>
      <c r="D44" s="46">
        <f t="shared" ref="D44:AC44" si="0">SUM(D20:D42)</f>
        <v>147871</v>
      </c>
      <c r="E44" s="46">
        <f t="shared" si="0"/>
        <v>120465</v>
      </c>
      <c r="F44" s="46">
        <f t="shared" si="0"/>
        <v>43741</v>
      </c>
      <c r="G44" s="46">
        <f t="shared" si="0"/>
        <v>11472</v>
      </c>
      <c r="H44" s="46">
        <f t="shared" si="0"/>
        <v>2188790</v>
      </c>
      <c r="I44" s="46">
        <f t="shared" si="0"/>
        <v>33668610</v>
      </c>
      <c r="J44" s="46">
        <f t="shared" si="0"/>
        <v>33833400</v>
      </c>
      <c r="K44" s="46">
        <f t="shared" si="0"/>
        <v>31479810</v>
      </c>
      <c r="L44" s="46">
        <f t="shared" si="0"/>
        <v>2353560</v>
      </c>
      <c r="M44" s="46">
        <f t="shared" si="0"/>
        <v>27406</v>
      </c>
      <c r="N44" s="46">
        <f t="shared" si="0"/>
        <v>39804</v>
      </c>
      <c r="O44" s="46">
        <f t="shared" si="0"/>
        <v>7514</v>
      </c>
      <c r="P44" s="46">
        <f t="shared" si="0"/>
        <v>297120</v>
      </c>
      <c r="Q44" s="46">
        <f t="shared" si="0"/>
        <v>6071780.7000000002</v>
      </c>
      <c r="R44" s="46">
        <f t="shared" si="0"/>
        <v>6025343.7999999998</v>
      </c>
      <c r="S44" s="46">
        <f t="shared" si="0"/>
        <v>5748140.7000000002</v>
      </c>
      <c r="T44" s="46">
        <f t="shared" si="0"/>
        <v>5748140.7000000002</v>
      </c>
      <c r="U44" s="46">
        <f t="shared" si="0"/>
        <v>50488500</v>
      </c>
      <c r="V44" s="46">
        <f t="shared" si="0"/>
        <v>50488500</v>
      </c>
      <c r="W44" s="46">
        <f t="shared" si="0"/>
        <v>277208</v>
      </c>
      <c r="X44" s="46">
        <f t="shared" si="0"/>
        <v>104570</v>
      </c>
      <c r="Y44" s="46">
        <f t="shared" si="0"/>
        <v>90810</v>
      </c>
      <c r="Z44" s="46">
        <f t="shared" si="0"/>
        <v>13760</v>
      </c>
      <c r="AA44" s="46">
        <f t="shared" si="0"/>
        <v>83545</v>
      </c>
      <c r="AB44" s="46">
        <f t="shared" si="0"/>
        <v>75670</v>
      </c>
      <c r="AC44" s="47">
        <f t="shared" si="0"/>
        <v>2630764</v>
      </c>
    </row>
    <row r="45" spans="2:29">
      <c r="B45" s="48" t="s">
        <v>595</v>
      </c>
      <c r="C45" s="49">
        <v>25</v>
      </c>
      <c r="D45" s="49">
        <v>25</v>
      </c>
      <c r="E45" s="49">
        <v>25</v>
      </c>
      <c r="F45" s="49">
        <v>25</v>
      </c>
      <c r="G45" s="49">
        <v>25</v>
      </c>
      <c r="H45" s="49">
        <v>25</v>
      </c>
      <c r="I45" s="49">
        <v>25</v>
      </c>
      <c r="J45" s="49">
        <v>25</v>
      </c>
      <c r="K45" s="49">
        <v>25</v>
      </c>
      <c r="L45" s="49">
        <v>25</v>
      </c>
      <c r="M45" s="49">
        <v>25</v>
      </c>
      <c r="N45" s="49">
        <v>25</v>
      </c>
      <c r="O45" s="49">
        <v>25</v>
      </c>
      <c r="P45" s="49">
        <v>25</v>
      </c>
      <c r="Q45" s="49">
        <v>49</v>
      </c>
      <c r="R45" s="49">
        <v>49</v>
      </c>
      <c r="S45" s="49">
        <v>100</v>
      </c>
      <c r="T45" s="49">
        <v>50</v>
      </c>
      <c r="U45" s="49">
        <v>25</v>
      </c>
      <c r="V45" s="49">
        <v>30</v>
      </c>
      <c r="W45" s="49">
        <v>98</v>
      </c>
      <c r="X45" s="49">
        <v>21</v>
      </c>
      <c r="Y45" s="49">
        <v>25</v>
      </c>
      <c r="Z45" s="49">
        <v>25</v>
      </c>
      <c r="AA45" s="668">
        <v>25</v>
      </c>
      <c r="AB45" s="668">
        <v>25</v>
      </c>
      <c r="AC45" s="50">
        <v>33</v>
      </c>
    </row>
    <row r="46" spans="2:29" ht="17" thickBot="1">
      <c r="B46" s="51" t="s">
        <v>596</v>
      </c>
      <c r="C46" s="52">
        <v>1.01325</v>
      </c>
      <c r="D46" s="52">
        <v>1.01325</v>
      </c>
      <c r="E46" s="52">
        <v>1.01325</v>
      </c>
      <c r="F46" s="52">
        <v>1.01325</v>
      </c>
      <c r="G46" s="52">
        <v>1.01325</v>
      </c>
      <c r="H46" s="52">
        <v>1.01325</v>
      </c>
      <c r="I46" s="52">
        <v>1.01325</v>
      </c>
      <c r="J46" s="52">
        <v>1.01325</v>
      </c>
      <c r="K46" s="52">
        <v>1.01325</v>
      </c>
      <c r="L46" s="52">
        <v>1.01325</v>
      </c>
      <c r="M46" s="52">
        <v>1.01325</v>
      </c>
      <c r="N46" s="52">
        <v>1.01325</v>
      </c>
      <c r="O46" s="52">
        <v>1.01325</v>
      </c>
      <c r="P46" s="52">
        <v>1.01325</v>
      </c>
      <c r="Q46" s="52">
        <v>1.01325</v>
      </c>
      <c r="R46" s="52">
        <v>1.01325</v>
      </c>
      <c r="S46" s="52">
        <v>1.01325</v>
      </c>
      <c r="T46" s="52">
        <v>1.01325</v>
      </c>
      <c r="U46" s="52">
        <v>1.01325</v>
      </c>
      <c r="V46" s="52">
        <v>1.01325</v>
      </c>
      <c r="W46" s="52">
        <v>1.01325</v>
      </c>
      <c r="X46" s="52">
        <v>1.01325</v>
      </c>
      <c r="Y46" s="52">
        <v>1.01325</v>
      </c>
      <c r="Z46" s="52">
        <v>1.01325</v>
      </c>
      <c r="AA46" s="669">
        <v>1.01325</v>
      </c>
      <c r="AB46" s="669">
        <v>1.01325</v>
      </c>
      <c r="AC46" s="53">
        <v>1.01325</v>
      </c>
    </row>
    <row r="49" spans="2:28" ht="17" thickBot="1"/>
    <row r="50" spans="2:28" ht="22" thickBot="1">
      <c r="B50" s="736" t="s">
        <v>538</v>
      </c>
      <c r="C50" s="737"/>
      <c r="D50" s="737"/>
      <c r="E50" s="737"/>
      <c r="F50" s="737"/>
      <c r="G50" s="737"/>
      <c r="H50" s="737"/>
      <c r="I50" s="737"/>
      <c r="J50" s="737"/>
      <c r="K50" s="737"/>
      <c r="L50" s="737"/>
      <c r="M50" s="737"/>
      <c r="N50" s="737"/>
      <c r="O50" s="737"/>
      <c r="P50" s="737"/>
      <c r="Q50" s="737"/>
      <c r="R50" s="737"/>
      <c r="S50" s="737"/>
      <c r="T50" s="737"/>
      <c r="U50" s="737"/>
      <c r="V50" s="737"/>
      <c r="W50" s="737"/>
      <c r="X50" s="737"/>
      <c r="Y50" s="737"/>
      <c r="Z50" s="737"/>
      <c r="AA50" s="737"/>
      <c r="AB50" s="738"/>
    </row>
    <row r="51" spans="2:28">
      <c r="B51" s="36"/>
      <c r="C51" s="62" t="s">
        <v>522</v>
      </c>
      <c r="D51" s="62" t="s">
        <v>523</v>
      </c>
      <c r="E51" s="62" t="s">
        <v>524</v>
      </c>
      <c r="F51" s="62" t="s">
        <v>531</v>
      </c>
      <c r="G51" s="62" t="s">
        <v>532</v>
      </c>
      <c r="H51" s="62" t="s">
        <v>525</v>
      </c>
      <c r="I51" s="62" t="s">
        <v>526</v>
      </c>
      <c r="J51" s="62" t="s">
        <v>516</v>
      </c>
      <c r="K51" s="62" t="s">
        <v>517</v>
      </c>
      <c r="L51" s="62" t="s">
        <v>518</v>
      </c>
      <c r="M51" s="62" t="s">
        <v>605</v>
      </c>
      <c r="N51" s="62" t="s">
        <v>527</v>
      </c>
      <c r="O51" s="62" t="s">
        <v>528</v>
      </c>
      <c r="P51" s="62" t="s">
        <v>519</v>
      </c>
      <c r="Q51" s="62" t="s">
        <v>552</v>
      </c>
      <c r="R51" s="62" t="s">
        <v>553</v>
      </c>
      <c r="S51" s="62" t="s">
        <v>533</v>
      </c>
      <c r="T51" s="62" t="s">
        <v>534</v>
      </c>
      <c r="U51" s="63" t="s">
        <v>520</v>
      </c>
      <c r="V51" s="62" t="s">
        <v>535</v>
      </c>
      <c r="W51" s="62" t="s">
        <v>536</v>
      </c>
      <c r="X51" s="62" t="s">
        <v>537</v>
      </c>
      <c r="Y51" s="62" t="s">
        <v>606</v>
      </c>
      <c r="Z51" s="62" t="s">
        <v>607</v>
      </c>
      <c r="AA51" s="62" t="s">
        <v>561</v>
      </c>
      <c r="AB51" s="66" t="s">
        <v>562</v>
      </c>
    </row>
    <row r="52" spans="2:28">
      <c r="B52" s="72" t="s">
        <v>141</v>
      </c>
      <c r="C52" s="73">
        <v>0</v>
      </c>
      <c r="D52" s="73">
        <v>0</v>
      </c>
      <c r="E52" s="73">
        <v>0</v>
      </c>
      <c r="F52" s="73">
        <v>0</v>
      </c>
      <c r="G52" s="73">
        <v>0</v>
      </c>
      <c r="H52" s="73">
        <v>0</v>
      </c>
      <c r="I52" s="73">
        <v>0</v>
      </c>
      <c r="J52" s="73">
        <v>0</v>
      </c>
      <c r="K52" s="73">
        <v>0</v>
      </c>
      <c r="L52" s="73">
        <v>0</v>
      </c>
      <c r="M52" s="73">
        <v>0</v>
      </c>
      <c r="N52" s="73">
        <v>0</v>
      </c>
      <c r="O52" s="73">
        <v>0</v>
      </c>
      <c r="P52" s="73">
        <v>0</v>
      </c>
      <c r="Q52" s="73">
        <v>0</v>
      </c>
      <c r="R52" s="73">
        <v>0</v>
      </c>
      <c r="S52" s="73">
        <v>0</v>
      </c>
      <c r="T52" s="73">
        <v>0</v>
      </c>
      <c r="U52" s="74">
        <v>12377</v>
      </c>
      <c r="V52" s="73">
        <v>0</v>
      </c>
      <c r="W52" s="73">
        <v>0</v>
      </c>
      <c r="X52" s="73">
        <v>0</v>
      </c>
      <c r="Y52" s="73">
        <v>0</v>
      </c>
      <c r="Z52" s="73">
        <v>0</v>
      </c>
      <c r="AA52" s="73">
        <v>0</v>
      </c>
      <c r="AB52" s="55">
        <v>0</v>
      </c>
    </row>
    <row r="53" spans="2:28">
      <c r="B53" s="72" t="s">
        <v>140</v>
      </c>
      <c r="C53" s="73">
        <v>0</v>
      </c>
      <c r="D53" s="73">
        <v>0</v>
      </c>
      <c r="E53" s="73">
        <v>0</v>
      </c>
      <c r="F53" s="73">
        <v>0</v>
      </c>
      <c r="G53" s="73">
        <v>0</v>
      </c>
      <c r="H53" s="73">
        <v>0</v>
      </c>
      <c r="I53" s="73">
        <v>0</v>
      </c>
      <c r="J53" s="73">
        <v>0</v>
      </c>
      <c r="K53" s="73">
        <v>0</v>
      </c>
      <c r="L53" s="73">
        <v>0</v>
      </c>
      <c r="M53" s="73">
        <v>0</v>
      </c>
      <c r="N53" s="73">
        <v>0</v>
      </c>
      <c r="O53" s="73">
        <v>0</v>
      </c>
      <c r="P53" s="73">
        <v>12377</v>
      </c>
      <c r="Q53" s="73">
        <v>0</v>
      </c>
      <c r="R53" s="73">
        <v>0</v>
      </c>
      <c r="S53" s="73">
        <v>0</v>
      </c>
      <c r="T53" s="73">
        <v>0</v>
      </c>
      <c r="U53" s="74">
        <v>12377</v>
      </c>
      <c r="V53" s="73">
        <v>0</v>
      </c>
      <c r="W53" s="73">
        <v>0</v>
      </c>
      <c r="X53" s="73">
        <v>0</v>
      </c>
      <c r="Y53" s="73">
        <v>0</v>
      </c>
      <c r="Z53" s="73">
        <v>0</v>
      </c>
      <c r="AA53" s="73">
        <v>0</v>
      </c>
      <c r="AB53" s="55">
        <v>0</v>
      </c>
    </row>
    <row r="54" spans="2:28">
      <c r="B54" s="41"/>
      <c r="C54" s="34"/>
      <c r="D54" s="34"/>
      <c r="E54" s="34"/>
      <c r="F54" s="34"/>
      <c r="G54" s="34"/>
      <c r="H54" s="34"/>
      <c r="I54" s="34"/>
      <c r="J54" s="34"/>
      <c r="K54" s="34"/>
      <c r="L54" s="34"/>
      <c r="M54" s="34"/>
      <c r="N54" s="34"/>
      <c r="O54" s="34"/>
      <c r="P54" s="34"/>
      <c r="Q54" s="34"/>
      <c r="R54" s="34"/>
      <c r="S54" s="34"/>
      <c r="T54" s="34"/>
      <c r="U54" s="35"/>
      <c r="V54" s="34"/>
      <c r="W54" s="34"/>
      <c r="X54" s="34"/>
      <c r="Y54" s="34"/>
      <c r="Z54" s="34"/>
      <c r="AA54" s="34"/>
      <c r="AB54" s="28"/>
    </row>
    <row r="55" spans="2:28">
      <c r="B55" s="72" t="s">
        <v>68</v>
      </c>
      <c r="C55" s="73">
        <v>0</v>
      </c>
      <c r="D55" s="73">
        <v>0</v>
      </c>
      <c r="E55" s="73">
        <v>0</v>
      </c>
      <c r="F55" s="73">
        <v>0</v>
      </c>
      <c r="G55" s="73">
        <v>0</v>
      </c>
      <c r="H55" s="73">
        <v>0</v>
      </c>
      <c r="I55" s="73">
        <v>0</v>
      </c>
      <c r="J55" s="73">
        <v>2445630</v>
      </c>
      <c r="K55" s="73">
        <v>1139140</v>
      </c>
      <c r="L55" s="73">
        <v>1306490</v>
      </c>
      <c r="M55" s="73">
        <v>0</v>
      </c>
      <c r="N55" s="73">
        <v>0</v>
      </c>
      <c r="O55" s="73">
        <v>0</v>
      </c>
      <c r="P55" s="73">
        <v>1151760</v>
      </c>
      <c r="Q55" s="73">
        <v>0</v>
      </c>
      <c r="R55" s="73">
        <v>0</v>
      </c>
      <c r="S55" s="73">
        <v>4</v>
      </c>
      <c r="T55" s="73">
        <v>4</v>
      </c>
      <c r="U55" s="74">
        <v>2471950</v>
      </c>
      <c r="V55" s="73">
        <v>0</v>
      </c>
      <c r="W55" s="73">
        <v>0</v>
      </c>
      <c r="X55" s="73">
        <v>0</v>
      </c>
      <c r="Y55" s="73">
        <v>0</v>
      </c>
      <c r="Z55" s="73">
        <v>469</v>
      </c>
      <c r="AA55" s="73">
        <v>0</v>
      </c>
      <c r="AB55" s="55">
        <v>0</v>
      </c>
    </row>
    <row r="56" spans="2:28">
      <c r="B56" s="72" t="s">
        <v>468</v>
      </c>
      <c r="C56" s="73">
        <v>0</v>
      </c>
      <c r="D56" s="73">
        <v>0</v>
      </c>
      <c r="E56" s="73">
        <v>0</v>
      </c>
      <c r="F56" s="73">
        <v>0</v>
      </c>
      <c r="G56" s="73">
        <v>0</v>
      </c>
      <c r="H56" s="73">
        <v>0</v>
      </c>
      <c r="I56" s="73">
        <v>0</v>
      </c>
      <c r="J56" s="73">
        <v>0</v>
      </c>
      <c r="K56" s="73">
        <v>0</v>
      </c>
      <c r="L56" s="73">
        <v>0</v>
      </c>
      <c r="M56" s="73">
        <v>0</v>
      </c>
      <c r="N56" s="73">
        <v>0</v>
      </c>
      <c r="O56" s="73">
        <v>0</v>
      </c>
      <c r="P56" s="73">
        <v>0</v>
      </c>
      <c r="Q56" s="73">
        <v>0</v>
      </c>
      <c r="R56" s="73">
        <v>0</v>
      </c>
      <c r="S56" s="73">
        <v>0</v>
      </c>
      <c r="T56" s="73">
        <v>0</v>
      </c>
      <c r="U56" s="74">
        <v>0</v>
      </c>
      <c r="V56" s="73">
        <v>0</v>
      </c>
      <c r="W56" s="73">
        <v>0</v>
      </c>
      <c r="X56" s="73">
        <v>0</v>
      </c>
      <c r="Y56" s="73">
        <v>0</v>
      </c>
      <c r="Z56" s="73">
        <v>0</v>
      </c>
      <c r="AA56" s="73">
        <v>0</v>
      </c>
      <c r="AB56" s="55">
        <v>0</v>
      </c>
    </row>
    <row r="57" spans="2:28">
      <c r="B57" s="72" t="s">
        <v>305</v>
      </c>
      <c r="C57" s="73">
        <v>0</v>
      </c>
      <c r="D57" s="73">
        <v>0</v>
      </c>
      <c r="E57" s="73">
        <v>0</v>
      </c>
      <c r="F57" s="73">
        <v>0</v>
      </c>
      <c r="G57" s="73">
        <v>0</v>
      </c>
      <c r="H57" s="73">
        <v>0</v>
      </c>
      <c r="I57" s="73">
        <v>0</v>
      </c>
      <c r="J57" s="73">
        <v>15943</v>
      </c>
      <c r="K57" s="73">
        <v>7426</v>
      </c>
      <c r="L57" s="73">
        <v>8517</v>
      </c>
      <c r="M57" s="73">
        <v>0</v>
      </c>
      <c r="N57" s="73">
        <v>0</v>
      </c>
      <c r="O57" s="73">
        <v>0</v>
      </c>
      <c r="P57" s="73">
        <v>0</v>
      </c>
      <c r="Q57" s="73">
        <v>0</v>
      </c>
      <c r="R57" s="73">
        <v>0</v>
      </c>
      <c r="S57" s="73">
        <v>0</v>
      </c>
      <c r="T57" s="73">
        <v>0</v>
      </c>
      <c r="U57" s="74">
        <v>0</v>
      </c>
      <c r="V57" s="73">
        <v>0</v>
      </c>
      <c r="W57" s="73">
        <v>0</v>
      </c>
      <c r="X57" s="73">
        <v>0</v>
      </c>
      <c r="Y57" s="73">
        <v>0</v>
      </c>
      <c r="Z57" s="73">
        <v>0</v>
      </c>
      <c r="AA57" s="73">
        <v>0</v>
      </c>
      <c r="AB57" s="55">
        <v>0</v>
      </c>
    </row>
    <row r="58" spans="2:28">
      <c r="B58" s="72" t="s">
        <v>597</v>
      </c>
      <c r="C58" s="73">
        <v>0</v>
      </c>
      <c r="D58" s="73">
        <v>0</v>
      </c>
      <c r="E58" s="73">
        <v>0</v>
      </c>
      <c r="F58" s="73">
        <v>0</v>
      </c>
      <c r="G58" s="73">
        <v>0</v>
      </c>
      <c r="H58" s="73">
        <v>0</v>
      </c>
      <c r="I58" s="73">
        <v>0</v>
      </c>
      <c r="J58" s="73">
        <v>0</v>
      </c>
      <c r="K58" s="73">
        <v>0</v>
      </c>
      <c r="L58" s="73">
        <v>0</v>
      </c>
      <c r="M58" s="73">
        <v>0</v>
      </c>
      <c r="N58" s="73">
        <v>0</v>
      </c>
      <c r="O58" s="73">
        <v>0</v>
      </c>
      <c r="P58" s="73">
        <v>0</v>
      </c>
      <c r="Q58" s="73">
        <v>0</v>
      </c>
      <c r="R58" s="73">
        <v>0</v>
      </c>
      <c r="S58" s="73">
        <v>0</v>
      </c>
      <c r="T58" s="73">
        <v>0</v>
      </c>
      <c r="U58" s="74">
        <v>0</v>
      </c>
      <c r="V58" s="73">
        <v>0</v>
      </c>
      <c r="W58" s="73">
        <v>0</v>
      </c>
      <c r="X58" s="73">
        <v>0</v>
      </c>
      <c r="Y58" s="73">
        <v>0</v>
      </c>
      <c r="Z58" s="73">
        <v>0</v>
      </c>
      <c r="AA58" s="73">
        <v>0</v>
      </c>
      <c r="AB58" s="55">
        <v>0</v>
      </c>
    </row>
    <row r="59" spans="2:28">
      <c r="B59" s="72" t="s">
        <v>443</v>
      </c>
      <c r="C59" s="73">
        <v>0</v>
      </c>
      <c r="D59" s="73">
        <v>0</v>
      </c>
      <c r="E59" s="73">
        <v>0</v>
      </c>
      <c r="F59" s="73">
        <v>0</v>
      </c>
      <c r="G59" s="73">
        <v>0</v>
      </c>
      <c r="H59" s="73">
        <v>0</v>
      </c>
      <c r="I59" s="73">
        <v>0</v>
      </c>
      <c r="J59" s="73">
        <v>0</v>
      </c>
      <c r="K59" s="73">
        <v>0</v>
      </c>
      <c r="L59" s="73">
        <v>0</v>
      </c>
      <c r="M59" s="73">
        <v>0</v>
      </c>
      <c r="N59" s="73">
        <v>0</v>
      </c>
      <c r="O59" s="73">
        <v>0</v>
      </c>
      <c r="P59" s="73">
        <v>0</v>
      </c>
      <c r="Q59" s="73">
        <v>0</v>
      </c>
      <c r="R59" s="73">
        <v>0</v>
      </c>
      <c r="S59" s="73">
        <v>0</v>
      </c>
      <c r="T59" s="73">
        <v>0</v>
      </c>
      <c r="U59" s="74">
        <v>0</v>
      </c>
      <c r="V59" s="73">
        <v>0</v>
      </c>
      <c r="W59" s="73">
        <v>0</v>
      </c>
      <c r="X59" s="73">
        <v>0</v>
      </c>
      <c r="Y59" s="73">
        <v>0</v>
      </c>
      <c r="Z59" s="73">
        <v>0</v>
      </c>
      <c r="AA59" s="73">
        <v>0</v>
      </c>
      <c r="AB59" s="55">
        <v>0</v>
      </c>
    </row>
    <row r="60" spans="2:28">
      <c r="B60" s="72" t="s">
        <v>56</v>
      </c>
      <c r="C60" s="73">
        <v>0</v>
      </c>
      <c r="D60" s="73">
        <v>0</v>
      </c>
      <c r="E60" s="73">
        <v>0</v>
      </c>
      <c r="F60" s="73">
        <v>0</v>
      </c>
      <c r="G60" s="73">
        <v>0</v>
      </c>
      <c r="H60" s="73">
        <v>0</v>
      </c>
      <c r="I60" s="73">
        <v>0</v>
      </c>
      <c r="J60" s="73">
        <v>169191</v>
      </c>
      <c r="K60" s="73">
        <v>78807</v>
      </c>
      <c r="L60" s="73">
        <v>90385</v>
      </c>
      <c r="M60" s="73">
        <v>0</v>
      </c>
      <c r="N60" s="73">
        <v>0</v>
      </c>
      <c r="O60" s="73">
        <v>0</v>
      </c>
      <c r="P60" s="73">
        <v>0</v>
      </c>
      <c r="Q60" s="73">
        <v>0</v>
      </c>
      <c r="R60" s="73">
        <v>0</v>
      </c>
      <c r="S60" s="73">
        <v>0</v>
      </c>
      <c r="T60" s="73">
        <v>0</v>
      </c>
      <c r="U60" s="74">
        <v>0</v>
      </c>
      <c r="V60" s="73">
        <v>0</v>
      </c>
      <c r="W60" s="73">
        <v>0</v>
      </c>
      <c r="X60" s="73">
        <v>0</v>
      </c>
      <c r="Y60" s="73">
        <v>0</v>
      </c>
      <c r="Z60" s="73">
        <v>0</v>
      </c>
      <c r="AA60" s="73">
        <v>0</v>
      </c>
      <c r="AB60" s="55">
        <v>0</v>
      </c>
    </row>
    <row r="61" spans="2:28">
      <c r="B61" s="72" t="s">
        <v>54</v>
      </c>
      <c r="C61" s="73">
        <v>0</v>
      </c>
      <c r="D61" s="73">
        <v>0</v>
      </c>
      <c r="E61" s="73">
        <v>0</v>
      </c>
      <c r="F61" s="73">
        <v>0</v>
      </c>
      <c r="G61" s="73">
        <v>0</v>
      </c>
      <c r="H61" s="73">
        <v>0</v>
      </c>
      <c r="I61" s="73">
        <v>0</v>
      </c>
      <c r="J61" s="73">
        <v>0</v>
      </c>
      <c r="K61" s="73">
        <v>0</v>
      </c>
      <c r="L61" s="73">
        <v>0</v>
      </c>
      <c r="M61" s="73">
        <v>0</v>
      </c>
      <c r="N61" s="73">
        <v>0</v>
      </c>
      <c r="O61" s="73">
        <v>0</v>
      </c>
      <c r="P61" s="73">
        <v>0</v>
      </c>
      <c r="Q61" s="73">
        <v>0</v>
      </c>
      <c r="R61" s="73">
        <v>0</v>
      </c>
      <c r="S61" s="73">
        <v>0</v>
      </c>
      <c r="T61" s="73">
        <v>0</v>
      </c>
      <c r="U61" s="74">
        <v>0</v>
      </c>
      <c r="V61" s="73">
        <v>0</v>
      </c>
      <c r="W61" s="73">
        <v>0</v>
      </c>
      <c r="X61" s="73">
        <v>0</v>
      </c>
      <c r="Y61" s="73">
        <v>0</v>
      </c>
      <c r="Z61" s="73">
        <v>0</v>
      </c>
      <c r="AA61" s="73">
        <v>0</v>
      </c>
      <c r="AB61" s="55">
        <v>0</v>
      </c>
    </row>
    <row r="62" spans="2:28">
      <c r="B62" s="72" t="s">
        <v>53</v>
      </c>
      <c r="C62" s="73">
        <v>0</v>
      </c>
      <c r="D62" s="73">
        <v>0</v>
      </c>
      <c r="E62" s="73">
        <v>0</v>
      </c>
      <c r="F62" s="73">
        <v>0</v>
      </c>
      <c r="G62" s="73">
        <v>0</v>
      </c>
      <c r="H62" s="73">
        <v>0</v>
      </c>
      <c r="I62" s="73">
        <v>0</v>
      </c>
      <c r="J62" s="73">
        <v>0</v>
      </c>
      <c r="K62" s="73">
        <v>0</v>
      </c>
      <c r="L62" s="73">
        <v>0</v>
      </c>
      <c r="M62" s="73">
        <v>0</v>
      </c>
      <c r="N62" s="73">
        <v>0</v>
      </c>
      <c r="O62" s="73">
        <v>0</v>
      </c>
      <c r="P62" s="73">
        <v>0</v>
      </c>
      <c r="Q62" s="73">
        <v>0</v>
      </c>
      <c r="R62" s="73">
        <v>0</v>
      </c>
      <c r="S62" s="73">
        <v>202</v>
      </c>
      <c r="T62" s="73">
        <v>202</v>
      </c>
      <c r="U62" s="74">
        <v>202</v>
      </c>
      <c r="V62" s="73">
        <v>0</v>
      </c>
      <c r="W62" s="73">
        <v>0</v>
      </c>
      <c r="X62" s="73">
        <v>0</v>
      </c>
      <c r="Y62" s="73">
        <v>0</v>
      </c>
      <c r="Z62" s="73">
        <v>0</v>
      </c>
      <c r="AA62" s="73">
        <v>0</v>
      </c>
      <c r="AB62" s="55">
        <v>0</v>
      </c>
    </row>
    <row r="63" spans="2:28">
      <c r="B63" s="72" t="s">
        <v>55</v>
      </c>
      <c r="C63" s="73">
        <v>0</v>
      </c>
      <c r="D63" s="73">
        <v>0</v>
      </c>
      <c r="E63" s="73">
        <v>0</v>
      </c>
      <c r="F63" s="73">
        <v>0</v>
      </c>
      <c r="G63" s="73">
        <v>0</v>
      </c>
      <c r="H63" s="73">
        <v>0</v>
      </c>
      <c r="I63" s="73">
        <v>0</v>
      </c>
      <c r="J63" s="73">
        <v>0</v>
      </c>
      <c r="K63" s="73">
        <v>0</v>
      </c>
      <c r="L63" s="73">
        <v>0</v>
      </c>
      <c r="M63" s="73">
        <v>1074</v>
      </c>
      <c r="N63" s="73">
        <v>0</v>
      </c>
      <c r="O63" s="73">
        <v>0</v>
      </c>
      <c r="P63" s="73">
        <v>0</v>
      </c>
      <c r="Q63" s="73">
        <v>0</v>
      </c>
      <c r="R63" s="73">
        <v>0</v>
      </c>
      <c r="S63" s="73">
        <v>0</v>
      </c>
      <c r="T63" s="73">
        <v>0</v>
      </c>
      <c r="U63" s="74">
        <v>0</v>
      </c>
      <c r="V63" s="73">
        <v>0</v>
      </c>
      <c r="W63" s="73">
        <v>0</v>
      </c>
      <c r="X63" s="73">
        <v>0</v>
      </c>
      <c r="Y63" s="73">
        <v>0</v>
      </c>
      <c r="Z63" s="73">
        <v>0</v>
      </c>
      <c r="AA63" s="73">
        <v>0</v>
      </c>
      <c r="AB63" s="55">
        <v>0</v>
      </c>
    </row>
    <row r="64" spans="2:28">
      <c r="B64" s="72" t="s">
        <v>469</v>
      </c>
      <c r="C64" s="73">
        <v>0</v>
      </c>
      <c r="D64" s="73">
        <v>0</v>
      </c>
      <c r="E64" s="73">
        <v>0</v>
      </c>
      <c r="F64" s="73">
        <v>0</v>
      </c>
      <c r="G64" s="73">
        <v>0</v>
      </c>
      <c r="H64" s="73">
        <v>0</v>
      </c>
      <c r="I64" s="73">
        <v>0</v>
      </c>
      <c r="J64" s="73">
        <v>0</v>
      </c>
      <c r="K64" s="73">
        <v>0</v>
      </c>
      <c r="L64" s="73">
        <v>0</v>
      </c>
      <c r="M64" s="73">
        <v>0</v>
      </c>
      <c r="N64" s="73">
        <v>0</v>
      </c>
      <c r="O64" s="73">
        <v>0</v>
      </c>
      <c r="P64" s="73">
        <v>0</v>
      </c>
      <c r="Q64" s="73">
        <v>0</v>
      </c>
      <c r="R64" s="73">
        <v>0</v>
      </c>
      <c r="S64" s="73">
        <v>0</v>
      </c>
      <c r="T64" s="73">
        <v>0</v>
      </c>
      <c r="U64" s="74">
        <v>0</v>
      </c>
      <c r="V64" s="73">
        <v>0</v>
      </c>
      <c r="W64" s="73">
        <v>0</v>
      </c>
      <c r="X64" s="73">
        <v>0</v>
      </c>
      <c r="Y64" s="73">
        <v>0</v>
      </c>
      <c r="Z64" s="73">
        <v>0</v>
      </c>
      <c r="AA64" s="73">
        <v>0</v>
      </c>
      <c r="AB64" s="55">
        <v>0</v>
      </c>
    </row>
    <row r="65" spans="2:28">
      <c r="B65" s="41"/>
      <c r="C65" s="34"/>
      <c r="D65" s="34"/>
      <c r="E65" s="34"/>
      <c r="F65" s="34"/>
      <c r="G65" s="34"/>
      <c r="H65" s="34"/>
      <c r="I65" s="34"/>
      <c r="J65" s="34">
        <v>0</v>
      </c>
      <c r="K65" s="34"/>
      <c r="L65" s="34"/>
      <c r="M65" s="34"/>
      <c r="N65" s="34"/>
      <c r="O65" s="34"/>
      <c r="P65" s="34"/>
      <c r="Q65" s="34"/>
      <c r="R65" s="34"/>
      <c r="S65" s="34"/>
      <c r="T65" s="34"/>
      <c r="U65" s="35"/>
      <c r="V65" s="34"/>
      <c r="W65" s="34"/>
      <c r="X65" s="34"/>
      <c r="Y65" s="34"/>
      <c r="Z65" s="34"/>
      <c r="AA65" s="34"/>
      <c r="AB65" s="28"/>
    </row>
    <row r="66" spans="2:28">
      <c r="B66" s="72" t="s">
        <v>51</v>
      </c>
      <c r="C66" s="73">
        <v>0</v>
      </c>
      <c r="D66" s="73">
        <v>0</v>
      </c>
      <c r="E66" s="73">
        <v>0</v>
      </c>
      <c r="F66" s="73">
        <v>0</v>
      </c>
      <c r="G66" s="73">
        <v>0</v>
      </c>
      <c r="H66" s="73">
        <v>0</v>
      </c>
      <c r="I66" s="73">
        <v>0</v>
      </c>
      <c r="J66" s="73">
        <v>0</v>
      </c>
      <c r="K66" s="73">
        <v>0</v>
      </c>
      <c r="L66" s="73">
        <v>0</v>
      </c>
      <c r="M66" s="73">
        <v>0</v>
      </c>
      <c r="N66" s="73">
        <v>0</v>
      </c>
      <c r="O66" s="73">
        <v>0</v>
      </c>
      <c r="P66" s="73">
        <v>0</v>
      </c>
      <c r="Q66" s="73">
        <v>0</v>
      </c>
      <c r="R66" s="73">
        <v>0</v>
      </c>
      <c r="S66" s="73">
        <v>0</v>
      </c>
      <c r="T66" s="73">
        <v>0</v>
      </c>
      <c r="U66" s="74">
        <v>0</v>
      </c>
      <c r="V66" s="73">
        <v>39554</v>
      </c>
      <c r="W66" s="73">
        <v>44862</v>
      </c>
      <c r="X66" s="73">
        <v>84396</v>
      </c>
      <c r="Y66" s="73">
        <v>84396</v>
      </c>
      <c r="Z66" s="73">
        <v>0</v>
      </c>
      <c r="AA66" s="73">
        <v>0</v>
      </c>
      <c r="AB66" s="55">
        <v>0</v>
      </c>
    </row>
    <row r="67" spans="2:28">
      <c r="B67" s="72" t="s">
        <v>470</v>
      </c>
      <c r="C67" s="73">
        <v>7875</v>
      </c>
      <c r="D67" s="73">
        <v>7875</v>
      </c>
      <c r="E67" s="73">
        <v>7875</v>
      </c>
      <c r="F67" s="73">
        <v>0</v>
      </c>
      <c r="G67" s="73">
        <v>0</v>
      </c>
      <c r="H67" s="73">
        <v>4713</v>
      </c>
      <c r="I67" s="73">
        <v>3161</v>
      </c>
      <c r="J67" s="73">
        <v>0</v>
      </c>
      <c r="K67" s="73">
        <v>0</v>
      </c>
      <c r="L67" s="73">
        <v>0</v>
      </c>
      <c r="M67" s="73">
        <v>0</v>
      </c>
      <c r="N67" s="73">
        <v>0</v>
      </c>
      <c r="O67" s="73">
        <v>0</v>
      </c>
      <c r="P67" s="73">
        <v>0</v>
      </c>
      <c r="Q67" s="73">
        <v>0</v>
      </c>
      <c r="R67" s="73">
        <v>0</v>
      </c>
      <c r="S67" s="73">
        <v>0</v>
      </c>
      <c r="T67" s="73">
        <v>0</v>
      </c>
      <c r="U67" s="74">
        <v>0</v>
      </c>
      <c r="V67" s="73">
        <v>705</v>
      </c>
      <c r="W67" s="73">
        <v>482</v>
      </c>
      <c r="X67" s="73">
        <v>1187</v>
      </c>
      <c r="Y67" s="73">
        <v>1187</v>
      </c>
      <c r="Z67" s="73">
        <v>0</v>
      </c>
      <c r="AA67" s="73">
        <v>0</v>
      </c>
      <c r="AB67" s="55">
        <v>0</v>
      </c>
    </row>
    <row r="68" spans="2:28">
      <c r="B68" s="72" t="s">
        <v>471</v>
      </c>
      <c r="C68" s="73">
        <v>0</v>
      </c>
      <c r="D68" s="73">
        <v>0</v>
      </c>
      <c r="E68" s="73">
        <v>0</v>
      </c>
      <c r="F68" s="73">
        <v>0</v>
      </c>
      <c r="G68" s="73">
        <v>0</v>
      </c>
      <c r="H68" s="73">
        <v>0</v>
      </c>
      <c r="I68" s="73">
        <v>0</v>
      </c>
      <c r="J68" s="73">
        <v>0</v>
      </c>
      <c r="K68" s="73">
        <v>0</v>
      </c>
      <c r="L68" s="73">
        <v>0</v>
      </c>
      <c r="M68" s="73">
        <v>0</v>
      </c>
      <c r="N68" s="73">
        <v>0</v>
      </c>
      <c r="O68" s="73">
        <v>0</v>
      </c>
      <c r="P68" s="73">
        <v>0</v>
      </c>
      <c r="Q68" s="73">
        <v>0</v>
      </c>
      <c r="R68" s="73">
        <v>0</v>
      </c>
      <c r="S68" s="73">
        <v>0</v>
      </c>
      <c r="T68" s="73">
        <v>0</v>
      </c>
      <c r="U68" s="74">
        <v>0</v>
      </c>
      <c r="V68" s="73">
        <v>0</v>
      </c>
      <c r="W68" s="73">
        <v>0</v>
      </c>
      <c r="X68" s="73">
        <v>0</v>
      </c>
      <c r="Y68" s="73">
        <v>0</v>
      </c>
      <c r="Z68" s="73">
        <v>0</v>
      </c>
      <c r="AA68" s="73">
        <v>0</v>
      </c>
      <c r="AB68" s="55">
        <v>0</v>
      </c>
    </row>
    <row r="69" spans="2:28">
      <c r="B69" s="72" t="s">
        <v>472</v>
      </c>
      <c r="C69" s="73">
        <v>0</v>
      </c>
      <c r="D69" s="73">
        <v>0</v>
      </c>
      <c r="E69" s="73">
        <v>0</v>
      </c>
      <c r="F69" s="73">
        <v>0</v>
      </c>
      <c r="G69" s="73">
        <v>0</v>
      </c>
      <c r="H69" s="73">
        <v>0</v>
      </c>
      <c r="I69" s="73">
        <v>0</v>
      </c>
      <c r="J69" s="73">
        <v>0</v>
      </c>
      <c r="K69" s="73">
        <v>0</v>
      </c>
      <c r="L69" s="73">
        <v>0</v>
      </c>
      <c r="M69" s="73">
        <v>0</v>
      </c>
      <c r="N69" s="73">
        <v>0</v>
      </c>
      <c r="O69" s="73">
        <v>0</v>
      </c>
      <c r="P69" s="73">
        <v>0</v>
      </c>
      <c r="Q69" s="73">
        <v>0</v>
      </c>
      <c r="R69" s="73">
        <v>0</v>
      </c>
      <c r="S69" s="73">
        <v>0</v>
      </c>
      <c r="T69" s="73">
        <v>0</v>
      </c>
      <c r="U69" s="74">
        <v>0</v>
      </c>
      <c r="V69" s="73">
        <v>341</v>
      </c>
      <c r="W69" s="73">
        <v>229</v>
      </c>
      <c r="X69" s="73">
        <v>570</v>
      </c>
      <c r="Y69" s="73">
        <v>100</v>
      </c>
      <c r="Z69" s="73">
        <v>0</v>
      </c>
      <c r="AA69" s="73">
        <v>0</v>
      </c>
      <c r="AB69" s="55">
        <v>0</v>
      </c>
    </row>
    <row r="70" spans="2:28">
      <c r="B70" s="72" t="s">
        <v>473</v>
      </c>
      <c r="C70" s="73">
        <v>0</v>
      </c>
      <c r="D70" s="73">
        <v>0</v>
      </c>
      <c r="E70" s="73">
        <v>0</v>
      </c>
      <c r="F70" s="73">
        <v>0</v>
      </c>
      <c r="G70" s="73">
        <v>0</v>
      </c>
      <c r="H70" s="73">
        <v>0</v>
      </c>
      <c r="I70" s="73">
        <v>0</v>
      </c>
      <c r="J70" s="73">
        <v>0</v>
      </c>
      <c r="K70" s="73">
        <v>0</v>
      </c>
      <c r="L70" s="73">
        <v>0</v>
      </c>
      <c r="M70" s="73">
        <v>0</v>
      </c>
      <c r="N70" s="73">
        <v>0</v>
      </c>
      <c r="O70" s="73">
        <v>0</v>
      </c>
      <c r="P70" s="73">
        <v>0</v>
      </c>
      <c r="Q70" s="73">
        <v>0</v>
      </c>
      <c r="R70" s="73">
        <v>0</v>
      </c>
      <c r="S70" s="73">
        <v>0</v>
      </c>
      <c r="T70" s="73">
        <v>0</v>
      </c>
      <c r="U70" s="74">
        <v>0</v>
      </c>
      <c r="V70" s="73">
        <v>0</v>
      </c>
      <c r="W70" s="73">
        <v>0</v>
      </c>
      <c r="X70" s="73">
        <v>0</v>
      </c>
      <c r="Y70" s="73">
        <v>0</v>
      </c>
      <c r="Z70" s="73">
        <v>0</v>
      </c>
      <c r="AA70" s="73">
        <v>0</v>
      </c>
      <c r="AB70" s="55">
        <v>0</v>
      </c>
    </row>
    <row r="71" spans="2:28">
      <c r="B71" s="41"/>
      <c r="C71" s="34"/>
      <c r="D71" s="34"/>
      <c r="E71" s="34"/>
      <c r="F71" s="34"/>
      <c r="G71" s="34"/>
      <c r="H71" s="34"/>
      <c r="I71" s="34"/>
      <c r="J71" s="34"/>
      <c r="K71" s="34"/>
      <c r="L71" s="34"/>
      <c r="M71" s="34"/>
      <c r="N71" s="34"/>
      <c r="O71" s="34"/>
      <c r="P71" s="34"/>
      <c r="Q71" s="34"/>
      <c r="R71" s="34"/>
      <c r="S71" s="34"/>
      <c r="T71" s="34"/>
      <c r="U71" s="35"/>
      <c r="V71" s="34"/>
      <c r="W71" s="34"/>
      <c r="X71" s="34"/>
      <c r="Y71" s="34"/>
      <c r="Z71" s="34"/>
      <c r="AA71" s="34"/>
      <c r="AB71" s="28"/>
    </row>
    <row r="72" spans="2:28">
      <c r="B72" s="72" t="s">
        <v>608</v>
      </c>
      <c r="C72" s="73">
        <v>0</v>
      </c>
      <c r="D72" s="73">
        <v>0</v>
      </c>
      <c r="E72" s="73">
        <v>0</v>
      </c>
      <c r="F72" s="73">
        <v>272552</v>
      </c>
      <c r="G72" s="73">
        <v>272552</v>
      </c>
      <c r="H72" s="73">
        <v>0</v>
      </c>
      <c r="I72" s="73">
        <v>0</v>
      </c>
      <c r="J72" s="73">
        <v>0</v>
      </c>
      <c r="K72" s="73">
        <v>0</v>
      </c>
      <c r="L72" s="73">
        <v>0</v>
      </c>
      <c r="M72" s="73">
        <v>0</v>
      </c>
      <c r="N72" s="73">
        <v>6882572</v>
      </c>
      <c r="O72" s="73">
        <v>6882572</v>
      </c>
      <c r="P72" s="73">
        <v>0</v>
      </c>
      <c r="Q72" s="73">
        <v>13240884</v>
      </c>
      <c r="R72" s="73">
        <v>13240884</v>
      </c>
      <c r="S72" s="73">
        <v>0</v>
      </c>
      <c r="T72" s="73">
        <v>0</v>
      </c>
      <c r="U72" s="74">
        <v>0</v>
      </c>
      <c r="V72" s="73">
        <v>0</v>
      </c>
      <c r="W72" s="73">
        <v>0</v>
      </c>
      <c r="X72" s="73">
        <v>0</v>
      </c>
      <c r="Y72" s="73">
        <v>0</v>
      </c>
      <c r="Z72" s="73">
        <v>0</v>
      </c>
      <c r="AA72" s="73">
        <v>0</v>
      </c>
      <c r="AB72" s="55">
        <v>0</v>
      </c>
    </row>
    <row r="73" spans="2:28">
      <c r="B73" s="72" t="s">
        <v>77</v>
      </c>
      <c r="C73" s="73">
        <v>0</v>
      </c>
      <c r="D73" s="73">
        <v>0</v>
      </c>
      <c r="E73" s="73">
        <v>0</v>
      </c>
      <c r="F73" s="73">
        <v>0</v>
      </c>
      <c r="G73" s="73">
        <v>0</v>
      </c>
      <c r="H73" s="73">
        <v>0</v>
      </c>
      <c r="I73" s="73">
        <v>0</v>
      </c>
      <c r="J73" s="73">
        <v>0</v>
      </c>
      <c r="K73" s="73">
        <v>0</v>
      </c>
      <c r="L73" s="73">
        <v>0</v>
      </c>
      <c r="M73" s="73">
        <v>0</v>
      </c>
      <c r="N73" s="73">
        <v>0</v>
      </c>
      <c r="O73" s="73">
        <v>0</v>
      </c>
      <c r="P73" s="73">
        <v>0</v>
      </c>
      <c r="Q73" s="73">
        <v>0</v>
      </c>
      <c r="R73" s="73">
        <v>0</v>
      </c>
      <c r="S73" s="73">
        <v>0</v>
      </c>
      <c r="T73" s="73">
        <v>0</v>
      </c>
      <c r="U73" s="74">
        <v>0</v>
      </c>
      <c r="V73" s="73">
        <v>0</v>
      </c>
      <c r="W73" s="73">
        <v>0</v>
      </c>
      <c r="X73" s="73">
        <v>0</v>
      </c>
      <c r="Y73" s="73">
        <v>0</v>
      </c>
      <c r="Z73" s="73">
        <v>0</v>
      </c>
      <c r="AA73" s="73">
        <v>702843</v>
      </c>
      <c r="AB73" s="55">
        <v>702843</v>
      </c>
    </row>
    <row r="74" spans="2:28">
      <c r="B74" s="72" t="s">
        <v>69</v>
      </c>
      <c r="C74" s="73">
        <v>0</v>
      </c>
      <c r="D74" s="73">
        <v>0</v>
      </c>
      <c r="E74" s="73">
        <v>0</v>
      </c>
      <c r="F74" s="73">
        <v>0</v>
      </c>
      <c r="G74" s="73">
        <v>0</v>
      </c>
      <c r="H74" s="73">
        <v>0</v>
      </c>
      <c r="I74" s="73">
        <v>0</v>
      </c>
      <c r="J74" s="73">
        <v>0</v>
      </c>
      <c r="K74" s="73">
        <v>0</v>
      </c>
      <c r="L74" s="73">
        <v>0</v>
      </c>
      <c r="M74" s="73">
        <v>0</v>
      </c>
      <c r="N74" s="73">
        <v>0</v>
      </c>
      <c r="O74" s="73">
        <v>0</v>
      </c>
      <c r="P74" s="73">
        <v>0</v>
      </c>
      <c r="Q74" s="73">
        <v>0</v>
      </c>
      <c r="R74" s="73">
        <v>0</v>
      </c>
      <c r="S74" s="73">
        <v>0</v>
      </c>
      <c r="T74" s="73">
        <v>0</v>
      </c>
      <c r="U74" s="74">
        <v>0</v>
      </c>
      <c r="V74" s="73">
        <v>0</v>
      </c>
      <c r="W74" s="73">
        <v>0</v>
      </c>
      <c r="X74" s="73">
        <v>0</v>
      </c>
      <c r="Y74" s="73">
        <v>0</v>
      </c>
      <c r="Z74" s="73">
        <v>0</v>
      </c>
      <c r="AA74" s="73">
        <v>0</v>
      </c>
      <c r="AB74" s="55">
        <v>0</v>
      </c>
    </row>
    <row r="75" spans="2:28" ht="17" thickBot="1">
      <c r="B75" s="41"/>
      <c r="C75" s="34"/>
      <c r="D75" s="34"/>
      <c r="E75" s="34"/>
      <c r="F75" s="34"/>
      <c r="G75" s="34"/>
      <c r="H75" s="34"/>
      <c r="I75" s="34"/>
      <c r="J75" s="34"/>
      <c r="K75" s="34"/>
      <c r="L75" s="34"/>
      <c r="M75" s="34"/>
      <c r="N75" s="34"/>
      <c r="O75" s="34"/>
      <c r="P75" s="34"/>
      <c r="Q75" s="34"/>
      <c r="R75" s="34"/>
      <c r="S75" s="34"/>
      <c r="T75" s="34"/>
      <c r="U75" s="35"/>
      <c r="V75" s="34"/>
      <c r="W75" s="34"/>
      <c r="X75" s="34"/>
      <c r="Y75" s="34"/>
      <c r="Z75" s="34"/>
      <c r="AA75" s="34"/>
      <c r="AB75" s="28"/>
    </row>
    <row r="76" spans="2:28">
      <c r="B76" s="45" t="s">
        <v>594</v>
      </c>
      <c r="C76" s="46">
        <f>SUM(C52:C74)</f>
        <v>7875</v>
      </c>
      <c r="D76" s="46">
        <f t="shared" ref="D76:AB76" si="1">SUM(D52:D74)</f>
        <v>7875</v>
      </c>
      <c r="E76" s="46">
        <f t="shared" si="1"/>
        <v>7875</v>
      </c>
      <c r="F76" s="46">
        <f t="shared" si="1"/>
        <v>272552</v>
      </c>
      <c r="G76" s="46">
        <f t="shared" si="1"/>
        <v>272552</v>
      </c>
      <c r="H76" s="46">
        <f t="shared" si="1"/>
        <v>4713</v>
      </c>
      <c r="I76" s="46">
        <f t="shared" si="1"/>
        <v>3161</v>
      </c>
      <c r="J76" s="46">
        <f t="shared" si="1"/>
        <v>2630764</v>
      </c>
      <c r="K76" s="46">
        <f t="shared" si="1"/>
        <v>1225373</v>
      </c>
      <c r="L76" s="46">
        <f t="shared" si="1"/>
        <v>1405392</v>
      </c>
      <c r="M76" s="46">
        <f t="shared" si="1"/>
        <v>1074</v>
      </c>
      <c r="N76" s="46">
        <f t="shared" si="1"/>
        <v>6882572</v>
      </c>
      <c r="O76" s="46">
        <f t="shared" si="1"/>
        <v>6882572</v>
      </c>
      <c r="P76" s="46">
        <f t="shared" si="1"/>
        <v>1164137</v>
      </c>
      <c r="Q76" s="46">
        <f t="shared" si="1"/>
        <v>13240884</v>
      </c>
      <c r="R76" s="46">
        <f t="shared" si="1"/>
        <v>13240884</v>
      </c>
      <c r="S76" s="46">
        <f t="shared" si="1"/>
        <v>206</v>
      </c>
      <c r="T76" s="46">
        <f t="shared" si="1"/>
        <v>206</v>
      </c>
      <c r="U76" s="67">
        <f t="shared" si="1"/>
        <v>2496906</v>
      </c>
      <c r="V76" s="46">
        <f t="shared" si="1"/>
        <v>40600</v>
      </c>
      <c r="W76" s="46">
        <f t="shared" si="1"/>
        <v>45573</v>
      </c>
      <c r="X76" s="46">
        <f t="shared" si="1"/>
        <v>86153</v>
      </c>
      <c r="Y76" s="46">
        <f t="shared" si="1"/>
        <v>85683</v>
      </c>
      <c r="Z76" s="46">
        <f t="shared" si="1"/>
        <v>469</v>
      </c>
      <c r="AA76" s="46">
        <f t="shared" si="1"/>
        <v>702843</v>
      </c>
      <c r="AB76" s="68">
        <f t="shared" si="1"/>
        <v>702843</v>
      </c>
    </row>
    <row r="77" spans="2:28">
      <c r="B77" s="48" t="s">
        <v>595</v>
      </c>
      <c r="C77" s="49">
        <v>25</v>
      </c>
      <c r="D77" s="49">
        <v>201</v>
      </c>
      <c r="E77" s="49">
        <v>40</v>
      </c>
      <c r="F77" s="49">
        <v>25</v>
      </c>
      <c r="G77" s="49">
        <v>30</v>
      </c>
      <c r="H77" s="49">
        <v>40</v>
      </c>
      <c r="I77" s="49">
        <v>40</v>
      </c>
      <c r="J77" s="49">
        <v>33</v>
      </c>
      <c r="K77" s="49">
        <v>33</v>
      </c>
      <c r="L77" s="49">
        <v>33</v>
      </c>
      <c r="M77" s="49">
        <v>25</v>
      </c>
      <c r="N77" s="49">
        <v>5</v>
      </c>
      <c r="O77" s="49">
        <v>20</v>
      </c>
      <c r="P77" s="49">
        <v>38</v>
      </c>
      <c r="Q77" s="49">
        <v>5</v>
      </c>
      <c r="R77" s="49">
        <v>20</v>
      </c>
      <c r="S77" s="49">
        <v>25</v>
      </c>
      <c r="T77" s="49">
        <v>25</v>
      </c>
      <c r="U77" s="64">
        <v>38</v>
      </c>
      <c r="V77" s="49">
        <v>38</v>
      </c>
      <c r="W77" s="49">
        <v>38</v>
      </c>
      <c r="X77" s="49">
        <v>38</v>
      </c>
      <c r="Y77" s="49">
        <v>10</v>
      </c>
      <c r="Z77" s="49">
        <v>10</v>
      </c>
      <c r="AA77" s="49">
        <v>-25</v>
      </c>
      <c r="AB77" s="58">
        <v>-24</v>
      </c>
    </row>
    <row r="78" spans="2:28" ht="17" thickBot="1">
      <c r="B78" s="51" t="s">
        <v>596</v>
      </c>
      <c r="C78" s="52">
        <v>1.01325</v>
      </c>
      <c r="D78" s="52">
        <v>4</v>
      </c>
      <c r="E78" s="52">
        <v>4</v>
      </c>
      <c r="F78" s="52">
        <v>1.01325</v>
      </c>
      <c r="G78" s="52">
        <v>1.01325</v>
      </c>
      <c r="H78" s="52">
        <v>4</v>
      </c>
      <c r="I78" s="52">
        <v>4</v>
      </c>
      <c r="J78" s="52">
        <v>4</v>
      </c>
      <c r="K78" s="52">
        <v>4</v>
      </c>
      <c r="L78" s="52">
        <v>4</v>
      </c>
      <c r="M78" s="52">
        <v>1.01325</v>
      </c>
      <c r="N78" s="52">
        <v>1.01325</v>
      </c>
      <c r="O78" s="52">
        <v>1.01325</v>
      </c>
      <c r="P78" s="52">
        <v>1.01325</v>
      </c>
      <c r="Q78" s="52">
        <v>1.01325</v>
      </c>
      <c r="R78" s="52">
        <v>1.01325</v>
      </c>
      <c r="S78" s="52">
        <v>1.01325</v>
      </c>
      <c r="T78" s="60">
        <v>4</v>
      </c>
      <c r="U78" s="65">
        <v>1</v>
      </c>
      <c r="V78" s="52">
        <v>4</v>
      </c>
      <c r="W78" s="52">
        <v>4</v>
      </c>
      <c r="X78" s="52">
        <v>4</v>
      </c>
      <c r="Y78" s="52">
        <v>1.01325</v>
      </c>
      <c r="Z78" s="52">
        <v>1.01325</v>
      </c>
      <c r="AA78" s="52">
        <v>1.01325</v>
      </c>
      <c r="AB78" s="61">
        <v>1.01325</v>
      </c>
    </row>
    <row r="81" spans="2:60" ht="17" thickBot="1"/>
    <row r="82" spans="2:60" ht="22" thickBot="1">
      <c r="B82" s="736" t="s">
        <v>612</v>
      </c>
      <c r="C82" s="737"/>
      <c r="D82" s="737"/>
      <c r="E82" s="737"/>
      <c r="F82" s="737"/>
      <c r="G82" s="737"/>
      <c r="H82" s="737"/>
      <c r="I82" s="737"/>
      <c r="J82" s="737"/>
      <c r="K82" s="737"/>
      <c r="L82" s="737"/>
      <c r="M82" s="737"/>
      <c r="N82" s="737"/>
      <c r="O82" s="737"/>
      <c r="P82" s="737"/>
      <c r="Q82" s="737"/>
      <c r="R82" s="737"/>
      <c r="S82" s="737"/>
      <c r="T82" s="737"/>
      <c r="U82" s="737"/>
      <c r="V82" s="737"/>
      <c r="W82" s="737"/>
      <c r="X82" s="737"/>
      <c r="Y82" s="737"/>
      <c r="Z82" s="737"/>
      <c r="AA82" s="737"/>
      <c r="AB82" s="737"/>
      <c r="AC82" s="737"/>
      <c r="AD82" s="737"/>
      <c r="AE82" s="737"/>
      <c r="AF82" s="737"/>
      <c r="AG82" s="737"/>
      <c r="AH82" s="737"/>
      <c r="AI82" s="737"/>
      <c r="AJ82" s="737"/>
      <c r="AK82" s="737"/>
      <c r="AL82" s="737"/>
      <c r="AM82" s="737"/>
      <c r="AN82" s="737"/>
      <c r="AO82" s="737"/>
      <c r="AP82" s="737"/>
      <c r="AQ82" s="737"/>
      <c r="AR82" s="737"/>
      <c r="AS82" s="737"/>
      <c r="AT82" s="737"/>
      <c r="AU82" s="737"/>
      <c r="AV82" s="737"/>
      <c r="AW82" s="737"/>
      <c r="AX82" s="737"/>
      <c r="AY82" s="737"/>
      <c r="AZ82" s="737"/>
      <c r="BA82" s="737"/>
      <c r="BB82" s="737"/>
      <c r="BC82" s="737"/>
      <c r="BD82" s="737"/>
      <c r="BE82" s="737"/>
      <c r="BF82" s="737"/>
      <c r="BG82" s="737"/>
      <c r="BH82" s="738"/>
    </row>
    <row r="83" spans="2:60">
      <c r="B83" s="75"/>
      <c r="C83" s="77" t="s">
        <v>539</v>
      </c>
      <c r="D83" s="77" t="s">
        <v>521</v>
      </c>
      <c r="E83" s="77" t="s">
        <v>540</v>
      </c>
      <c r="F83" s="77" t="s">
        <v>541</v>
      </c>
      <c r="G83" s="77" t="s">
        <v>542</v>
      </c>
      <c r="H83" s="77" t="s">
        <v>543</v>
      </c>
      <c r="I83" s="77" t="s">
        <v>544</v>
      </c>
      <c r="J83" s="77" t="s">
        <v>545</v>
      </c>
      <c r="K83" s="77" t="s">
        <v>546</v>
      </c>
      <c r="L83" s="77" t="s">
        <v>547</v>
      </c>
      <c r="M83" s="77" t="s">
        <v>548</v>
      </c>
      <c r="N83" s="77" t="s">
        <v>549</v>
      </c>
      <c r="O83" s="77" t="s">
        <v>550</v>
      </c>
      <c r="P83" s="77" t="s">
        <v>551</v>
      </c>
      <c r="Q83" s="77" t="s">
        <v>570</v>
      </c>
      <c r="R83" s="77" t="s">
        <v>571</v>
      </c>
      <c r="S83" s="77" t="s">
        <v>554</v>
      </c>
      <c r="T83" s="77" t="s">
        <v>555</v>
      </c>
      <c r="U83" s="77" t="s">
        <v>556</v>
      </c>
      <c r="V83" s="77" t="s">
        <v>557</v>
      </c>
      <c r="W83" s="77" t="s">
        <v>558</v>
      </c>
      <c r="X83" s="77" t="s">
        <v>559</v>
      </c>
      <c r="Y83" s="77" t="s">
        <v>560</v>
      </c>
      <c r="Z83" s="77" t="s">
        <v>580</v>
      </c>
      <c r="AA83" s="77" t="s">
        <v>581</v>
      </c>
      <c r="AB83" s="77" t="s">
        <v>563</v>
      </c>
      <c r="AC83" s="77" t="s">
        <v>564</v>
      </c>
      <c r="AD83" s="77" t="s">
        <v>565</v>
      </c>
      <c r="AE83" s="78" t="s">
        <v>566</v>
      </c>
      <c r="AF83" s="77" t="s">
        <v>567</v>
      </c>
      <c r="AG83" s="77" t="s">
        <v>611</v>
      </c>
      <c r="AH83" s="77" t="s">
        <v>568</v>
      </c>
      <c r="AI83" s="77" t="s">
        <v>569</v>
      </c>
      <c r="AJ83" s="77" t="s">
        <v>609</v>
      </c>
      <c r="AK83" s="77" t="s">
        <v>610</v>
      </c>
      <c r="AL83" s="77" t="s">
        <v>572</v>
      </c>
      <c r="AM83" s="77" t="s">
        <v>573</v>
      </c>
      <c r="AN83" s="77" t="s">
        <v>574</v>
      </c>
      <c r="AO83" s="77" t="s">
        <v>575</v>
      </c>
      <c r="AP83" s="77" t="s">
        <v>576</v>
      </c>
      <c r="AQ83" s="77" t="s">
        <v>577</v>
      </c>
      <c r="AR83" s="77" t="s">
        <v>578</v>
      </c>
      <c r="AS83" s="77" t="s">
        <v>579</v>
      </c>
      <c r="AT83" s="77" t="s">
        <v>603</v>
      </c>
      <c r="AU83" s="77" t="s">
        <v>604</v>
      </c>
      <c r="AV83" s="77" t="s">
        <v>582</v>
      </c>
      <c r="AW83" s="77" t="s">
        <v>583</v>
      </c>
      <c r="AX83" s="77" t="s">
        <v>577</v>
      </c>
      <c r="AY83" s="77" t="s">
        <v>584</v>
      </c>
      <c r="AZ83" s="78" t="s">
        <v>585</v>
      </c>
      <c r="BA83" s="77" t="s">
        <v>586</v>
      </c>
      <c r="BB83" s="77" t="s">
        <v>587</v>
      </c>
      <c r="BC83" s="78" t="s">
        <v>588</v>
      </c>
      <c r="BD83" s="77" t="s">
        <v>589</v>
      </c>
      <c r="BE83" s="78" t="s">
        <v>590</v>
      </c>
      <c r="BF83" s="77" t="s">
        <v>591</v>
      </c>
      <c r="BG83" s="77" t="s">
        <v>592</v>
      </c>
      <c r="BH83" s="79" t="s">
        <v>593</v>
      </c>
    </row>
    <row r="84" spans="2:60">
      <c r="B84" s="72" t="s">
        <v>141</v>
      </c>
      <c r="C84" s="80">
        <v>0</v>
      </c>
      <c r="D84" s="80">
        <v>12377</v>
      </c>
      <c r="E84" s="80">
        <v>12377</v>
      </c>
      <c r="F84" s="80">
        <v>0</v>
      </c>
      <c r="G84" s="80">
        <v>12253</v>
      </c>
      <c r="H84" s="80">
        <v>124</v>
      </c>
      <c r="I84" s="80">
        <v>124</v>
      </c>
      <c r="J84" s="80">
        <v>0</v>
      </c>
      <c r="K84" s="80">
        <v>0</v>
      </c>
      <c r="L84" s="80">
        <v>0</v>
      </c>
      <c r="M84" s="80">
        <v>0</v>
      </c>
      <c r="N84" s="80">
        <v>0</v>
      </c>
      <c r="O84" s="80">
        <v>12253</v>
      </c>
      <c r="P84" s="80">
        <v>12253</v>
      </c>
      <c r="Q84" s="80">
        <v>0</v>
      </c>
      <c r="R84" s="80">
        <v>0</v>
      </c>
      <c r="S84" s="80">
        <v>9087</v>
      </c>
      <c r="T84" s="80">
        <v>3166</v>
      </c>
      <c r="U84" s="80">
        <v>0</v>
      </c>
      <c r="V84" s="80">
        <v>3095</v>
      </c>
      <c r="W84" s="80">
        <v>70</v>
      </c>
      <c r="X84" s="80">
        <v>12183</v>
      </c>
      <c r="Y84" s="80">
        <v>12183</v>
      </c>
      <c r="Z84" s="80">
        <v>0</v>
      </c>
      <c r="AA84" s="80">
        <v>0</v>
      </c>
      <c r="AB84" s="80">
        <v>12183</v>
      </c>
      <c r="AC84" s="80">
        <v>12183</v>
      </c>
      <c r="AD84" s="80">
        <v>0</v>
      </c>
      <c r="AE84" s="81">
        <v>12183</v>
      </c>
      <c r="AF84" s="80">
        <v>0</v>
      </c>
      <c r="AG84" s="80">
        <v>0</v>
      </c>
      <c r="AH84" s="80">
        <v>0</v>
      </c>
      <c r="AI84" s="80">
        <v>0</v>
      </c>
      <c r="AJ84" s="80">
        <v>0</v>
      </c>
      <c r="AK84" s="80">
        <v>0</v>
      </c>
      <c r="AL84" s="80">
        <v>0</v>
      </c>
      <c r="AM84" s="80">
        <v>12183</v>
      </c>
      <c r="AN84" s="80">
        <v>0</v>
      </c>
      <c r="AO84" s="80">
        <v>0</v>
      </c>
      <c r="AP84" s="80">
        <v>0</v>
      </c>
      <c r="AQ84" s="80">
        <v>0</v>
      </c>
      <c r="AR84" s="80">
        <v>0</v>
      </c>
      <c r="AS84" s="80">
        <v>0</v>
      </c>
      <c r="AT84" s="80">
        <v>0</v>
      </c>
      <c r="AU84" s="80">
        <v>0</v>
      </c>
      <c r="AV84" s="80">
        <v>0</v>
      </c>
      <c r="AW84" s="80">
        <v>0</v>
      </c>
      <c r="AX84" s="80">
        <v>0</v>
      </c>
      <c r="AY84" s="80">
        <v>0</v>
      </c>
      <c r="AZ84" s="81">
        <v>0</v>
      </c>
      <c r="BA84" s="80">
        <v>0</v>
      </c>
      <c r="BB84" s="80">
        <v>0</v>
      </c>
      <c r="BC84" s="81">
        <v>0</v>
      </c>
      <c r="BD84" s="80">
        <v>0</v>
      </c>
      <c r="BE84" s="81">
        <v>0</v>
      </c>
      <c r="BF84" s="80">
        <v>0</v>
      </c>
      <c r="BG84" s="80">
        <v>0</v>
      </c>
      <c r="BH84" s="82">
        <v>0</v>
      </c>
    </row>
    <row r="85" spans="2:60">
      <c r="B85" s="72" t="s">
        <v>140</v>
      </c>
      <c r="C85" s="80">
        <v>0</v>
      </c>
      <c r="D85" s="80">
        <v>12377</v>
      </c>
      <c r="E85" s="80">
        <v>12377</v>
      </c>
      <c r="F85" s="80">
        <v>0</v>
      </c>
      <c r="G85" s="80">
        <v>12253</v>
      </c>
      <c r="H85" s="80">
        <v>124</v>
      </c>
      <c r="I85" s="80">
        <v>124</v>
      </c>
      <c r="J85" s="80">
        <v>0</v>
      </c>
      <c r="K85" s="80">
        <v>0</v>
      </c>
      <c r="L85" s="80">
        <v>0</v>
      </c>
      <c r="M85" s="80">
        <v>0</v>
      </c>
      <c r="N85" s="80">
        <v>0</v>
      </c>
      <c r="O85" s="80">
        <v>12253</v>
      </c>
      <c r="P85" s="80">
        <v>12253</v>
      </c>
      <c r="Q85" s="80">
        <v>0</v>
      </c>
      <c r="R85" s="80">
        <v>0</v>
      </c>
      <c r="S85" s="80">
        <v>123</v>
      </c>
      <c r="T85" s="80">
        <v>12130</v>
      </c>
      <c r="U85" s="80">
        <v>0</v>
      </c>
      <c r="V85" s="80">
        <v>0</v>
      </c>
      <c r="W85" s="80">
        <v>12130</v>
      </c>
      <c r="X85" s="80">
        <v>123</v>
      </c>
      <c r="Y85" s="80">
        <v>123</v>
      </c>
      <c r="Z85" s="80">
        <v>0</v>
      </c>
      <c r="AA85" s="80">
        <v>0</v>
      </c>
      <c r="AB85" s="80">
        <v>123</v>
      </c>
      <c r="AC85" s="80">
        <v>123</v>
      </c>
      <c r="AD85" s="80">
        <v>0</v>
      </c>
      <c r="AE85" s="81">
        <v>49</v>
      </c>
      <c r="AF85" s="80">
        <v>74</v>
      </c>
      <c r="AG85" s="80">
        <v>74</v>
      </c>
      <c r="AH85" s="80">
        <v>0</v>
      </c>
      <c r="AI85" s="80">
        <v>0</v>
      </c>
      <c r="AJ85" s="80">
        <v>0</v>
      </c>
      <c r="AK85" s="80">
        <v>0</v>
      </c>
      <c r="AL85" s="80">
        <v>0</v>
      </c>
      <c r="AM85" s="80">
        <v>49</v>
      </c>
      <c r="AN85" s="80">
        <v>74</v>
      </c>
      <c r="AO85" s="80">
        <v>74</v>
      </c>
      <c r="AP85" s="80">
        <v>0</v>
      </c>
      <c r="AQ85" s="80">
        <v>74</v>
      </c>
      <c r="AR85" s="80">
        <v>0</v>
      </c>
      <c r="AS85" s="80">
        <v>0</v>
      </c>
      <c r="AT85" s="80">
        <v>0</v>
      </c>
      <c r="AU85" s="80">
        <v>0</v>
      </c>
      <c r="AV85" s="80">
        <v>0</v>
      </c>
      <c r="AW85" s="80">
        <v>0</v>
      </c>
      <c r="AX85" s="80">
        <v>0</v>
      </c>
      <c r="AY85" s="80">
        <v>0</v>
      </c>
      <c r="AZ85" s="81">
        <v>0</v>
      </c>
      <c r="BA85" s="80">
        <v>0</v>
      </c>
      <c r="BB85" s="80">
        <v>0</v>
      </c>
      <c r="BC85" s="81">
        <v>0</v>
      </c>
      <c r="BD85" s="80">
        <v>0</v>
      </c>
      <c r="BE85" s="81">
        <v>0</v>
      </c>
      <c r="BF85" s="80">
        <v>0</v>
      </c>
      <c r="BG85" s="80">
        <v>0</v>
      </c>
      <c r="BH85" s="82">
        <v>0</v>
      </c>
    </row>
    <row r="86" spans="2:60">
      <c r="B86" s="41"/>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4"/>
      <c r="AF86" s="83"/>
      <c r="AG86" s="83"/>
      <c r="AH86" s="83"/>
      <c r="AI86" s="83"/>
      <c r="AJ86" s="83"/>
      <c r="AK86" s="83"/>
      <c r="AL86" s="83"/>
      <c r="AM86" s="83"/>
      <c r="AN86" s="83"/>
      <c r="AO86" s="83"/>
      <c r="AP86" s="83"/>
      <c r="AQ86" s="83"/>
      <c r="AR86" s="83"/>
      <c r="AS86" s="83"/>
      <c r="AT86" s="83"/>
      <c r="AU86" s="83"/>
      <c r="AV86" s="83"/>
      <c r="AW86" s="83"/>
      <c r="AX86" s="83"/>
      <c r="AY86" s="83"/>
      <c r="AZ86" s="84"/>
      <c r="BA86" s="83"/>
      <c r="BB86" s="83"/>
      <c r="BC86" s="84"/>
      <c r="BD86" s="83"/>
      <c r="BE86" s="84"/>
      <c r="BF86" s="83"/>
      <c r="BG86" s="83"/>
      <c r="BH86" s="85"/>
    </row>
    <row r="87" spans="2:60">
      <c r="B87" s="72" t="s">
        <v>68</v>
      </c>
      <c r="C87" s="80">
        <v>0</v>
      </c>
      <c r="D87" s="80">
        <v>2472020</v>
      </c>
      <c r="E87" s="80">
        <v>328867</v>
      </c>
      <c r="F87" s="80">
        <v>2143150</v>
      </c>
      <c r="G87" s="80">
        <v>45965</v>
      </c>
      <c r="H87" s="80">
        <v>282901</v>
      </c>
      <c r="I87" s="80">
        <v>2426051</v>
      </c>
      <c r="J87" s="80">
        <v>0</v>
      </c>
      <c r="K87" s="80">
        <v>0</v>
      </c>
      <c r="L87" s="80">
        <v>0</v>
      </c>
      <c r="M87" s="80">
        <v>0</v>
      </c>
      <c r="N87" s="80">
        <v>0</v>
      </c>
      <c r="O87" s="80">
        <v>2724</v>
      </c>
      <c r="P87" s="80">
        <v>14215</v>
      </c>
      <c r="Q87" s="80">
        <v>0</v>
      </c>
      <c r="R87" s="80">
        <v>0</v>
      </c>
      <c r="S87" s="80">
        <v>10543</v>
      </c>
      <c r="T87" s="80">
        <v>3672</v>
      </c>
      <c r="U87" s="80">
        <v>2862</v>
      </c>
      <c r="V87" s="80">
        <v>3591</v>
      </c>
      <c r="W87" s="80">
        <v>1016</v>
      </c>
      <c r="X87" s="80">
        <v>14132</v>
      </c>
      <c r="Y87" s="80">
        <v>14132</v>
      </c>
      <c r="Z87" s="80">
        <v>0</v>
      </c>
      <c r="AA87" s="80">
        <v>0</v>
      </c>
      <c r="AB87" s="80">
        <v>124410</v>
      </c>
      <c r="AC87" s="80">
        <v>59177</v>
      </c>
      <c r="AD87" s="80">
        <v>65234</v>
      </c>
      <c r="AE87" s="81">
        <v>6269</v>
      </c>
      <c r="AF87" s="80">
        <v>82013</v>
      </c>
      <c r="AG87" s="80">
        <v>82013</v>
      </c>
      <c r="AH87" s="80">
        <v>0</v>
      </c>
      <c r="AI87" s="80">
        <v>0</v>
      </c>
      <c r="AJ87" s="80">
        <v>0</v>
      </c>
      <c r="AK87" s="80">
        <v>0</v>
      </c>
      <c r="AL87" s="80">
        <v>0</v>
      </c>
      <c r="AM87" s="80">
        <v>64</v>
      </c>
      <c r="AN87" s="80">
        <v>150109</v>
      </c>
      <c r="AO87" s="80">
        <v>150109</v>
      </c>
      <c r="AP87" s="80">
        <v>135098</v>
      </c>
      <c r="AQ87" s="80">
        <v>15011</v>
      </c>
      <c r="AR87" s="80">
        <v>118710</v>
      </c>
      <c r="AS87" s="80">
        <v>118710</v>
      </c>
      <c r="AT87" s="80">
        <v>0</v>
      </c>
      <c r="AU87" s="80">
        <v>0</v>
      </c>
      <c r="AV87" s="80">
        <v>118710</v>
      </c>
      <c r="AW87" s="80">
        <v>106839</v>
      </c>
      <c r="AX87" s="80">
        <v>11871</v>
      </c>
      <c r="AY87" s="80">
        <v>31696</v>
      </c>
      <c r="AZ87" s="81">
        <v>3796</v>
      </c>
      <c r="BA87" s="80">
        <v>3796</v>
      </c>
      <c r="BB87" s="80">
        <v>110276</v>
      </c>
      <c r="BC87" s="81">
        <v>24462</v>
      </c>
      <c r="BD87" s="80">
        <v>16135</v>
      </c>
      <c r="BE87" s="81">
        <v>2218</v>
      </c>
      <c r="BF87" s="80">
        <v>4643</v>
      </c>
      <c r="BG87" s="80">
        <v>11491</v>
      </c>
      <c r="BH87" s="82">
        <v>11491</v>
      </c>
    </row>
    <row r="88" spans="2:60">
      <c r="B88" s="72" t="s">
        <v>468</v>
      </c>
      <c r="C88" s="80">
        <v>0</v>
      </c>
      <c r="D88" s="80">
        <v>0</v>
      </c>
      <c r="E88" s="80">
        <v>0</v>
      </c>
      <c r="F88" s="80">
        <v>0</v>
      </c>
      <c r="G88" s="80">
        <v>0</v>
      </c>
      <c r="H88" s="80">
        <v>0</v>
      </c>
      <c r="I88" s="80">
        <v>0</v>
      </c>
      <c r="J88" s="80">
        <v>0</v>
      </c>
      <c r="K88" s="80">
        <v>0</v>
      </c>
      <c r="L88" s="80">
        <v>0</v>
      </c>
      <c r="M88" s="80">
        <v>0</v>
      </c>
      <c r="N88" s="80">
        <v>0</v>
      </c>
      <c r="O88" s="80">
        <v>0</v>
      </c>
      <c r="P88" s="80">
        <v>0</v>
      </c>
      <c r="Q88" s="80">
        <v>0</v>
      </c>
      <c r="R88" s="80">
        <v>0</v>
      </c>
      <c r="S88" s="80">
        <v>0</v>
      </c>
      <c r="T88" s="80">
        <v>0</v>
      </c>
      <c r="U88" s="80">
        <v>0</v>
      </c>
      <c r="V88" s="80">
        <v>0</v>
      </c>
      <c r="W88" s="80">
        <v>0</v>
      </c>
      <c r="X88" s="80">
        <v>0</v>
      </c>
      <c r="Y88" s="80">
        <v>0</v>
      </c>
      <c r="Z88" s="80">
        <v>0</v>
      </c>
      <c r="AA88" s="80">
        <v>0</v>
      </c>
      <c r="AB88" s="80">
        <v>0</v>
      </c>
      <c r="AC88" s="80">
        <v>0</v>
      </c>
      <c r="AD88" s="80">
        <v>0</v>
      </c>
      <c r="AE88" s="81">
        <v>0</v>
      </c>
      <c r="AF88" s="80">
        <v>0</v>
      </c>
      <c r="AG88" s="80">
        <v>0</v>
      </c>
      <c r="AH88" s="80">
        <v>0</v>
      </c>
      <c r="AI88" s="80">
        <v>0</v>
      </c>
      <c r="AJ88" s="80">
        <v>0</v>
      </c>
      <c r="AK88" s="80">
        <v>0</v>
      </c>
      <c r="AL88" s="80">
        <v>0</v>
      </c>
      <c r="AM88" s="80">
        <v>0</v>
      </c>
      <c r="AN88" s="80">
        <v>0</v>
      </c>
      <c r="AO88" s="80">
        <v>0</v>
      </c>
      <c r="AP88" s="80">
        <v>0</v>
      </c>
      <c r="AQ88" s="80">
        <v>0</v>
      </c>
      <c r="AR88" s="80">
        <v>0</v>
      </c>
      <c r="AS88" s="80">
        <v>0</v>
      </c>
      <c r="AT88" s="80">
        <v>0</v>
      </c>
      <c r="AU88" s="80">
        <v>0</v>
      </c>
      <c r="AV88" s="80">
        <v>0</v>
      </c>
      <c r="AW88" s="80">
        <v>0</v>
      </c>
      <c r="AX88" s="80">
        <v>0</v>
      </c>
      <c r="AY88" s="80">
        <v>0</v>
      </c>
      <c r="AZ88" s="81">
        <v>0</v>
      </c>
      <c r="BA88" s="80">
        <v>0</v>
      </c>
      <c r="BB88" s="80">
        <v>0</v>
      </c>
      <c r="BC88" s="81">
        <v>0</v>
      </c>
      <c r="BD88" s="80">
        <v>0</v>
      </c>
      <c r="BE88" s="81">
        <v>0</v>
      </c>
      <c r="BF88" s="80">
        <v>0</v>
      </c>
      <c r="BG88" s="80">
        <v>0</v>
      </c>
      <c r="BH88" s="82">
        <v>0</v>
      </c>
    </row>
    <row r="89" spans="2:60">
      <c r="B89" s="72" t="s">
        <v>305</v>
      </c>
      <c r="C89" s="80">
        <v>0</v>
      </c>
      <c r="D89" s="80">
        <v>0</v>
      </c>
      <c r="E89" s="80">
        <v>0</v>
      </c>
      <c r="F89" s="80">
        <v>0</v>
      </c>
      <c r="G89" s="80">
        <v>0</v>
      </c>
      <c r="H89" s="80">
        <v>0</v>
      </c>
      <c r="I89" s="80">
        <v>0</v>
      </c>
      <c r="J89" s="80">
        <v>0</v>
      </c>
      <c r="K89" s="80">
        <v>0</v>
      </c>
      <c r="L89" s="80">
        <v>0</v>
      </c>
      <c r="M89" s="80">
        <v>0</v>
      </c>
      <c r="N89" s="80">
        <v>0</v>
      </c>
      <c r="O89" s="80">
        <v>0</v>
      </c>
      <c r="P89" s="80">
        <v>0</v>
      </c>
      <c r="Q89" s="80">
        <v>0</v>
      </c>
      <c r="R89" s="80">
        <v>0</v>
      </c>
      <c r="S89" s="80">
        <v>0</v>
      </c>
      <c r="T89" s="80">
        <v>0</v>
      </c>
      <c r="U89" s="80">
        <v>0</v>
      </c>
      <c r="V89" s="80">
        <v>0</v>
      </c>
      <c r="W89" s="80">
        <v>0</v>
      </c>
      <c r="X89" s="80">
        <v>0</v>
      </c>
      <c r="Y89" s="80">
        <v>0</v>
      </c>
      <c r="Z89" s="80">
        <v>0</v>
      </c>
      <c r="AA89" s="80">
        <v>0</v>
      </c>
      <c r="AB89" s="80">
        <v>0</v>
      </c>
      <c r="AC89" s="80">
        <v>0</v>
      </c>
      <c r="AD89" s="80">
        <v>0</v>
      </c>
      <c r="AE89" s="81">
        <v>0</v>
      </c>
      <c r="AF89" s="80">
        <v>0</v>
      </c>
      <c r="AG89" s="80">
        <v>0</v>
      </c>
      <c r="AH89" s="80">
        <v>0</v>
      </c>
      <c r="AI89" s="80">
        <v>0</v>
      </c>
      <c r="AJ89" s="80">
        <v>0</v>
      </c>
      <c r="AK89" s="80">
        <v>0</v>
      </c>
      <c r="AL89" s="80">
        <v>0</v>
      </c>
      <c r="AM89" s="80">
        <v>0</v>
      </c>
      <c r="AN89" s="80">
        <v>0</v>
      </c>
      <c r="AO89" s="80">
        <v>0</v>
      </c>
      <c r="AP89" s="80">
        <v>0</v>
      </c>
      <c r="AQ89" s="80">
        <v>0</v>
      </c>
      <c r="AR89" s="80">
        <v>0</v>
      </c>
      <c r="AS89" s="80">
        <v>0</v>
      </c>
      <c r="AT89" s="80">
        <v>0</v>
      </c>
      <c r="AU89" s="80">
        <v>0</v>
      </c>
      <c r="AV89" s="80">
        <v>0</v>
      </c>
      <c r="AW89" s="80">
        <v>0</v>
      </c>
      <c r="AX89" s="80">
        <v>0</v>
      </c>
      <c r="AY89" s="80">
        <v>0</v>
      </c>
      <c r="AZ89" s="81">
        <v>0</v>
      </c>
      <c r="BA89" s="80">
        <v>0</v>
      </c>
      <c r="BB89" s="80">
        <v>0</v>
      </c>
      <c r="BC89" s="81">
        <v>0</v>
      </c>
      <c r="BD89" s="80">
        <v>0</v>
      </c>
      <c r="BE89" s="81">
        <v>0</v>
      </c>
      <c r="BF89" s="80">
        <v>0</v>
      </c>
      <c r="BG89" s="80">
        <v>0</v>
      </c>
      <c r="BH89" s="82">
        <v>0</v>
      </c>
    </row>
    <row r="90" spans="2:60">
      <c r="B90" s="72" t="s">
        <v>597</v>
      </c>
      <c r="C90" s="80">
        <v>0</v>
      </c>
      <c r="D90" s="80">
        <v>0</v>
      </c>
      <c r="E90" s="80">
        <v>0</v>
      </c>
      <c r="F90" s="80">
        <v>0</v>
      </c>
      <c r="G90" s="80">
        <v>0</v>
      </c>
      <c r="H90" s="80">
        <v>0</v>
      </c>
      <c r="I90" s="80">
        <v>0</v>
      </c>
      <c r="J90" s="80">
        <v>0</v>
      </c>
      <c r="K90" s="80">
        <v>0</v>
      </c>
      <c r="L90" s="80">
        <v>0</v>
      </c>
      <c r="M90" s="80">
        <v>0</v>
      </c>
      <c r="N90" s="80">
        <v>0</v>
      </c>
      <c r="O90" s="80">
        <v>0</v>
      </c>
      <c r="P90" s="80">
        <v>0</v>
      </c>
      <c r="Q90" s="80">
        <v>0</v>
      </c>
      <c r="R90" s="80">
        <v>0</v>
      </c>
      <c r="S90" s="80">
        <v>0</v>
      </c>
      <c r="T90" s="80">
        <v>0</v>
      </c>
      <c r="U90" s="80">
        <v>0</v>
      </c>
      <c r="V90" s="80">
        <v>0</v>
      </c>
      <c r="W90" s="80">
        <v>0</v>
      </c>
      <c r="X90" s="80">
        <v>0</v>
      </c>
      <c r="Y90" s="80">
        <v>0</v>
      </c>
      <c r="Z90" s="80">
        <v>0</v>
      </c>
      <c r="AA90" s="80">
        <v>0</v>
      </c>
      <c r="AB90" s="80">
        <v>0</v>
      </c>
      <c r="AC90" s="80">
        <v>0</v>
      </c>
      <c r="AD90" s="80">
        <v>0</v>
      </c>
      <c r="AE90" s="81">
        <v>0</v>
      </c>
      <c r="AF90" s="80">
        <v>0</v>
      </c>
      <c r="AG90" s="80">
        <v>0</v>
      </c>
      <c r="AH90" s="80">
        <v>0</v>
      </c>
      <c r="AI90" s="80">
        <v>0</v>
      </c>
      <c r="AJ90" s="80">
        <v>0</v>
      </c>
      <c r="AK90" s="80">
        <v>0</v>
      </c>
      <c r="AL90" s="80">
        <v>0</v>
      </c>
      <c r="AM90" s="80">
        <v>0</v>
      </c>
      <c r="AN90" s="80">
        <v>0</v>
      </c>
      <c r="AO90" s="80">
        <v>0</v>
      </c>
      <c r="AP90" s="80">
        <v>0</v>
      </c>
      <c r="AQ90" s="80">
        <v>0</v>
      </c>
      <c r="AR90" s="80">
        <v>0</v>
      </c>
      <c r="AS90" s="80">
        <v>0</v>
      </c>
      <c r="AT90" s="80">
        <v>0</v>
      </c>
      <c r="AU90" s="80">
        <v>0</v>
      </c>
      <c r="AV90" s="80">
        <v>0</v>
      </c>
      <c r="AW90" s="80">
        <v>0</v>
      </c>
      <c r="AX90" s="80">
        <v>0</v>
      </c>
      <c r="AY90" s="80">
        <v>0</v>
      </c>
      <c r="AZ90" s="81">
        <v>0</v>
      </c>
      <c r="BA90" s="80">
        <v>0</v>
      </c>
      <c r="BB90" s="80">
        <v>0</v>
      </c>
      <c r="BC90" s="81">
        <v>0</v>
      </c>
      <c r="BD90" s="80">
        <v>0</v>
      </c>
      <c r="BE90" s="81">
        <v>0</v>
      </c>
      <c r="BF90" s="80">
        <v>0</v>
      </c>
      <c r="BG90" s="80">
        <v>0</v>
      </c>
      <c r="BH90" s="82">
        <v>0</v>
      </c>
    </row>
    <row r="91" spans="2:60">
      <c r="B91" s="72" t="s">
        <v>443</v>
      </c>
      <c r="C91" s="80">
        <v>0</v>
      </c>
      <c r="D91" s="80">
        <v>0</v>
      </c>
      <c r="E91" s="80">
        <v>0</v>
      </c>
      <c r="F91" s="80">
        <v>0</v>
      </c>
      <c r="G91" s="80">
        <v>0</v>
      </c>
      <c r="H91" s="80">
        <v>0</v>
      </c>
      <c r="I91" s="80">
        <v>0</v>
      </c>
      <c r="J91" s="80">
        <v>0</v>
      </c>
      <c r="K91" s="80">
        <v>0</v>
      </c>
      <c r="L91" s="80">
        <v>0</v>
      </c>
      <c r="M91" s="80">
        <v>0</v>
      </c>
      <c r="N91" s="80">
        <v>0</v>
      </c>
      <c r="O91" s="80">
        <v>0</v>
      </c>
      <c r="P91" s="80">
        <v>0</v>
      </c>
      <c r="Q91" s="80">
        <v>0</v>
      </c>
      <c r="R91" s="80">
        <v>0</v>
      </c>
      <c r="S91" s="80">
        <v>0</v>
      </c>
      <c r="T91" s="80">
        <v>0</v>
      </c>
      <c r="U91" s="80">
        <v>0</v>
      </c>
      <c r="V91" s="80">
        <v>0</v>
      </c>
      <c r="W91" s="80">
        <v>0</v>
      </c>
      <c r="X91" s="80">
        <v>0</v>
      </c>
      <c r="Y91" s="80">
        <v>0</v>
      </c>
      <c r="Z91" s="80">
        <v>0</v>
      </c>
      <c r="AA91" s="80">
        <v>0</v>
      </c>
      <c r="AB91" s="80">
        <v>0</v>
      </c>
      <c r="AC91" s="80">
        <v>0</v>
      </c>
      <c r="AD91" s="80">
        <v>0</v>
      </c>
      <c r="AE91" s="81">
        <v>0</v>
      </c>
      <c r="AF91" s="80">
        <v>0</v>
      </c>
      <c r="AG91" s="80">
        <v>0</v>
      </c>
      <c r="AH91" s="80">
        <v>0</v>
      </c>
      <c r="AI91" s="80">
        <v>0</v>
      </c>
      <c r="AJ91" s="80">
        <v>0</v>
      </c>
      <c r="AK91" s="80">
        <v>0</v>
      </c>
      <c r="AL91" s="80">
        <v>0</v>
      </c>
      <c r="AM91" s="80">
        <v>0</v>
      </c>
      <c r="AN91" s="80">
        <v>0</v>
      </c>
      <c r="AO91" s="80">
        <v>0</v>
      </c>
      <c r="AP91" s="80">
        <v>0</v>
      </c>
      <c r="AQ91" s="80">
        <v>0</v>
      </c>
      <c r="AR91" s="80">
        <v>0</v>
      </c>
      <c r="AS91" s="80">
        <v>0</v>
      </c>
      <c r="AT91" s="80">
        <v>0</v>
      </c>
      <c r="AU91" s="80">
        <v>0</v>
      </c>
      <c r="AV91" s="80">
        <v>0</v>
      </c>
      <c r="AW91" s="80">
        <v>0</v>
      </c>
      <c r="AX91" s="80">
        <v>0</v>
      </c>
      <c r="AY91" s="80">
        <v>0</v>
      </c>
      <c r="AZ91" s="81">
        <v>0</v>
      </c>
      <c r="BA91" s="80">
        <v>0</v>
      </c>
      <c r="BB91" s="80">
        <v>0</v>
      </c>
      <c r="BC91" s="81">
        <v>0</v>
      </c>
      <c r="BD91" s="80">
        <v>0</v>
      </c>
      <c r="BE91" s="81">
        <v>0</v>
      </c>
      <c r="BF91" s="80">
        <v>0</v>
      </c>
      <c r="BG91" s="80">
        <v>0</v>
      </c>
      <c r="BH91" s="82">
        <v>0</v>
      </c>
    </row>
    <row r="92" spans="2:60">
      <c r="B92" s="72" t="s">
        <v>56</v>
      </c>
      <c r="C92" s="80">
        <v>0</v>
      </c>
      <c r="D92" s="80">
        <v>0</v>
      </c>
      <c r="E92" s="80">
        <v>0</v>
      </c>
      <c r="F92" s="80">
        <v>0</v>
      </c>
      <c r="G92" s="80">
        <v>0</v>
      </c>
      <c r="H92" s="80">
        <v>0</v>
      </c>
      <c r="I92" s="80">
        <v>0</v>
      </c>
      <c r="J92" s="80">
        <v>0</v>
      </c>
      <c r="K92" s="80">
        <v>0</v>
      </c>
      <c r="L92" s="80">
        <v>0</v>
      </c>
      <c r="M92" s="80">
        <v>0</v>
      </c>
      <c r="N92" s="80">
        <v>0</v>
      </c>
      <c r="O92" s="80">
        <v>0</v>
      </c>
      <c r="P92" s="80">
        <v>220553</v>
      </c>
      <c r="Q92" s="80">
        <v>0</v>
      </c>
      <c r="R92" s="80">
        <v>0</v>
      </c>
      <c r="S92" s="80">
        <v>163575</v>
      </c>
      <c r="T92" s="80">
        <v>56978</v>
      </c>
      <c r="U92" s="80">
        <v>934</v>
      </c>
      <c r="V92" s="80">
        <v>55713</v>
      </c>
      <c r="W92" s="80">
        <v>331</v>
      </c>
      <c r="X92" s="80">
        <v>219287</v>
      </c>
      <c r="Y92" s="80">
        <v>219287</v>
      </c>
      <c r="Z92" s="80">
        <v>0</v>
      </c>
      <c r="AA92" s="80">
        <v>0</v>
      </c>
      <c r="AB92" s="80">
        <v>219287</v>
      </c>
      <c r="AC92" s="80">
        <v>104306</v>
      </c>
      <c r="AD92" s="80">
        <v>114982</v>
      </c>
      <c r="AE92" s="81">
        <v>1885</v>
      </c>
      <c r="AF92" s="80">
        <v>190641</v>
      </c>
      <c r="AG92" s="80">
        <v>190641</v>
      </c>
      <c r="AH92" s="80">
        <v>0</v>
      </c>
      <c r="AI92" s="80">
        <v>0</v>
      </c>
      <c r="AJ92" s="80">
        <v>0</v>
      </c>
      <c r="AK92" s="80">
        <v>0</v>
      </c>
      <c r="AL92" s="80">
        <v>0</v>
      </c>
      <c r="AM92" s="80">
        <v>0</v>
      </c>
      <c r="AN92" s="80">
        <v>306557</v>
      </c>
      <c r="AO92" s="80">
        <v>306557</v>
      </c>
      <c r="AP92" s="80">
        <v>306557</v>
      </c>
      <c r="AQ92" s="80">
        <v>0</v>
      </c>
      <c r="AR92" s="80">
        <v>0</v>
      </c>
      <c r="AS92" s="80">
        <v>0</v>
      </c>
      <c r="AT92" s="80">
        <v>0</v>
      </c>
      <c r="AU92" s="80">
        <v>0</v>
      </c>
      <c r="AV92" s="80">
        <v>0</v>
      </c>
      <c r="AW92" s="80">
        <v>0</v>
      </c>
      <c r="AX92" s="80"/>
      <c r="AY92" s="80">
        <v>0</v>
      </c>
      <c r="AZ92" s="81">
        <v>0</v>
      </c>
      <c r="BA92" s="80">
        <v>0</v>
      </c>
      <c r="BB92" s="80">
        <v>0</v>
      </c>
      <c r="BC92" s="81">
        <v>0</v>
      </c>
      <c r="BD92" s="80">
        <v>306557</v>
      </c>
      <c r="BE92" s="81"/>
      <c r="BF92" s="80">
        <v>88221</v>
      </c>
      <c r="BG92" s="80">
        <v>220553</v>
      </c>
      <c r="BH92" s="82">
        <v>220553</v>
      </c>
    </row>
    <row r="93" spans="2:60">
      <c r="B93" s="72" t="s">
        <v>54</v>
      </c>
      <c r="C93" s="80">
        <v>165</v>
      </c>
      <c r="D93" s="80">
        <v>0</v>
      </c>
      <c r="E93" s="80">
        <v>0</v>
      </c>
      <c r="F93" s="80">
        <v>0</v>
      </c>
      <c r="G93" s="80">
        <v>0</v>
      </c>
      <c r="H93" s="80">
        <v>0</v>
      </c>
      <c r="I93" s="80">
        <v>0</v>
      </c>
      <c r="J93" s="80">
        <v>0</v>
      </c>
      <c r="K93" s="80">
        <v>0</v>
      </c>
      <c r="L93" s="80">
        <v>0</v>
      </c>
      <c r="M93" s="80">
        <v>0</v>
      </c>
      <c r="N93" s="80">
        <v>0</v>
      </c>
      <c r="O93" s="80">
        <v>0</v>
      </c>
      <c r="P93" s="80">
        <v>0</v>
      </c>
      <c r="Q93" s="80">
        <v>0</v>
      </c>
      <c r="R93" s="80">
        <v>0</v>
      </c>
      <c r="S93" s="80">
        <v>0</v>
      </c>
      <c r="T93" s="80">
        <v>0</v>
      </c>
      <c r="U93" s="80">
        <v>0</v>
      </c>
      <c r="V93" s="80">
        <v>0</v>
      </c>
      <c r="W93" s="80">
        <v>0</v>
      </c>
      <c r="X93" s="80">
        <v>0</v>
      </c>
      <c r="Y93" s="80">
        <v>0</v>
      </c>
      <c r="Z93" s="80">
        <v>0</v>
      </c>
      <c r="AA93" s="80">
        <v>0</v>
      </c>
      <c r="AB93" s="80">
        <v>0</v>
      </c>
      <c r="AC93" s="80">
        <v>0</v>
      </c>
      <c r="AD93" s="80">
        <v>0</v>
      </c>
      <c r="AE93" s="81">
        <v>0</v>
      </c>
      <c r="AF93" s="80">
        <v>0</v>
      </c>
      <c r="AG93" s="80">
        <v>0</v>
      </c>
      <c r="AH93" s="80">
        <v>0</v>
      </c>
      <c r="AI93" s="80">
        <v>0</v>
      </c>
      <c r="AJ93" s="80">
        <v>0</v>
      </c>
      <c r="AK93" s="80">
        <v>0</v>
      </c>
      <c r="AL93" s="80">
        <v>0</v>
      </c>
      <c r="AM93" s="80">
        <v>0</v>
      </c>
      <c r="AN93" s="80">
        <v>0</v>
      </c>
      <c r="AO93" s="80">
        <v>0</v>
      </c>
      <c r="AP93" s="80">
        <v>0</v>
      </c>
      <c r="AQ93" s="80">
        <v>0</v>
      </c>
      <c r="AR93" s="80">
        <v>0</v>
      </c>
      <c r="AS93" s="80">
        <v>0</v>
      </c>
      <c r="AT93" s="80">
        <v>0</v>
      </c>
      <c r="AU93" s="80">
        <v>0</v>
      </c>
      <c r="AV93" s="80">
        <v>0</v>
      </c>
      <c r="AW93" s="80">
        <v>0</v>
      </c>
      <c r="AX93" s="80">
        <v>0</v>
      </c>
      <c r="AY93" s="80">
        <v>0</v>
      </c>
      <c r="AZ93" s="81">
        <v>0</v>
      </c>
      <c r="BA93" s="80">
        <v>0</v>
      </c>
      <c r="BB93" s="80">
        <v>0</v>
      </c>
      <c r="BC93" s="81">
        <v>0</v>
      </c>
      <c r="BD93" s="80">
        <v>0</v>
      </c>
      <c r="BE93" s="81">
        <v>0</v>
      </c>
      <c r="BF93" s="80">
        <v>0</v>
      </c>
      <c r="BG93" s="80">
        <v>0</v>
      </c>
      <c r="BH93" s="82">
        <v>0</v>
      </c>
    </row>
    <row r="94" spans="2:60">
      <c r="B94" s="72" t="s">
        <v>53</v>
      </c>
      <c r="C94" s="80">
        <v>0</v>
      </c>
      <c r="D94" s="80">
        <v>0</v>
      </c>
      <c r="E94" s="80">
        <v>0</v>
      </c>
      <c r="F94" s="80">
        <v>0</v>
      </c>
      <c r="G94" s="80">
        <v>0</v>
      </c>
      <c r="H94" s="80">
        <v>0</v>
      </c>
      <c r="I94" s="80">
        <v>0</v>
      </c>
      <c r="J94" s="80">
        <v>0</v>
      </c>
      <c r="K94" s="80">
        <v>0</v>
      </c>
      <c r="L94" s="80">
        <v>0</v>
      </c>
      <c r="M94" s="80">
        <v>0</v>
      </c>
      <c r="N94" s="80">
        <v>0</v>
      </c>
      <c r="O94" s="80">
        <v>0</v>
      </c>
      <c r="P94" s="80">
        <v>0</v>
      </c>
      <c r="Q94" s="80">
        <v>0</v>
      </c>
      <c r="R94" s="80">
        <v>0</v>
      </c>
      <c r="S94" s="80">
        <v>0</v>
      </c>
      <c r="T94" s="80">
        <v>0</v>
      </c>
      <c r="U94" s="80">
        <v>0</v>
      </c>
      <c r="V94" s="80">
        <v>0</v>
      </c>
      <c r="W94" s="80">
        <v>0</v>
      </c>
      <c r="X94" s="80">
        <v>0</v>
      </c>
      <c r="Y94" s="80">
        <v>0</v>
      </c>
      <c r="Z94" s="80">
        <v>0</v>
      </c>
      <c r="AA94" s="80">
        <v>0</v>
      </c>
      <c r="AB94" s="80">
        <v>0</v>
      </c>
      <c r="AC94" s="80">
        <v>0</v>
      </c>
      <c r="AD94" s="80">
        <v>0</v>
      </c>
      <c r="AE94" s="81">
        <v>0</v>
      </c>
      <c r="AF94" s="80">
        <v>0</v>
      </c>
      <c r="AG94" s="80">
        <v>0</v>
      </c>
      <c r="AH94" s="80">
        <v>0</v>
      </c>
      <c r="AI94" s="80">
        <v>0</v>
      </c>
      <c r="AJ94" s="80">
        <v>0</v>
      </c>
      <c r="AK94" s="80">
        <v>0</v>
      </c>
      <c r="AL94" s="80">
        <v>0</v>
      </c>
      <c r="AM94" s="80">
        <v>0</v>
      </c>
      <c r="AN94" s="80">
        <v>0</v>
      </c>
      <c r="AO94" s="80">
        <v>0</v>
      </c>
      <c r="AP94" s="80">
        <v>0</v>
      </c>
      <c r="AQ94" s="80">
        <v>0</v>
      </c>
      <c r="AR94" s="80">
        <v>0</v>
      </c>
      <c r="AS94" s="80">
        <v>0</v>
      </c>
      <c r="AT94" s="80">
        <v>0</v>
      </c>
      <c r="AU94" s="80">
        <v>0</v>
      </c>
      <c r="AV94" s="80">
        <v>0</v>
      </c>
      <c r="AW94" s="80">
        <v>0</v>
      </c>
      <c r="AX94" s="80">
        <v>0</v>
      </c>
      <c r="AY94" s="80">
        <v>0</v>
      </c>
      <c r="AZ94" s="81">
        <v>0</v>
      </c>
      <c r="BA94" s="80">
        <v>0</v>
      </c>
      <c r="BB94" s="80">
        <v>0</v>
      </c>
      <c r="BC94" s="81">
        <v>0</v>
      </c>
      <c r="BD94" s="80">
        <v>0</v>
      </c>
      <c r="BE94" s="81">
        <v>0</v>
      </c>
      <c r="BF94" s="80">
        <v>0</v>
      </c>
      <c r="BG94" s="80">
        <v>0</v>
      </c>
      <c r="BH94" s="82">
        <v>0</v>
      </c>
    </row>
    <row r="95" spans="2:60">
      <c r="B95" s="72" t="s">
        <v>55</v>
      </c>
      <c r="C95" s="80">
        <v>0</v>
      </c>
      <c r="D95" s="80">
        <v>0</v>
      </c>
      <c r="E95" s="80">
        <v>0</v>
      </c>
      <c r="F95" s="80">
        <v>0</v>
      </c>
      <c r="G95" s="80">
        <v>0</v>
      </c>
      <c r="H95" s="80">
        <v>0</v>
      </c>
      <c r="I95" s="80">
        <v>0</v>
      </c>
      <c r="J95" s="80">
        <v>0</v>
      </c>
      <c r="K95" s="80">
        <v>0</v>
      </c>
      <c r="L95" s="80">
        <v>0</v>
      </c>
      <c r="M95" s="80">
        <v>0</v>
      </c>
      <c r="N95" s="80">
        <v>0</v>
      </c>
      <c r="O95" s="80">
        <v>0</v>
      </c>
      <c r="P95" s="80">
        <v>0</v>
      </c>
      <c r="Q95" s="80">
        <v>0</v>
      </c>
      <c r="R95" s="80">
        <v>0</v>
      </c>
      <c r="S95" s="80">
        <v>0</v>
      </c>
      <c r="T95" s="80">
        <v>0</v>
      </c>
      <c r="U95" s="80">
        <v>0</v>
      </c>
      <c r="V95" s="80">
        <v>0</v>
      </c>
      <c r="W95" s="80">
        <v>0</v>
      </c>
      <c r="X95" s="80">
        <v>0</v>
      </c>
      <c r="Y95" s="80">
        <v>0</v>
      </c>
      <c r="Z95" s="80">
        <v>0</v>
      </c>
      <c r="AA95" s="80">
        <v>0</v>
      </c>
      <c r="AB95" s="80">
        <v>0</v>
      </c>
      <c r="AC95" s="80">
        <v>0</v>
      </c>
      <c r="AD95" s="80">
        <v>0</v>
      </c>
      <c r="AE95" s="81">
        <v>0</v>
      </c>
      <c r="AF95" s="80">
        <v>0</v>
      </c>
      <c r="AG95" s="80">
        <v>0</v>
      </c>
      <c r="AH95" s="80">
        <v>0</v>
      </c>
      <c r="AI95" s="80">
        <v>0</v>
      </c>
      <c r="AJ95" s="80">
        <v>0</v>
      </c>
      <c r="AK95" s="80">
        <v>0</v>
      </c>
      <c r="AL95" s="80">
        <v>0</v>
      </c>
      <c r="AM95" s="80">
        <v>0</v>
      </c>
      <c r="AN95" s="80">
        <v>0</v>
      </c>
      <c r="AO95" s="80">
        <v>0</v>
      </c>
      <c r="AP95" s="80">
        <v>0</v>
      </c>
      <c r="AQ95" s="80">
        <v>0</v>
      </c>
      <c r="AR95" s="80">
        <v>0</v>
      </c>
      <c r="AS95" s="80">
        <v>0</v>
      </c>
      <c r="AT95" s="80">
        <v>0</v>
      </c>
      <c r="AU95" s="80">
        <v>0</v>
      </c>
      <c r="AV95" s="80">
        <v>0</v>
      </c>
      <c r="AW95" s="80">
        <v>0</v>
      </c>
      <c r="AX95" s="80">
        <v>0</v>
      </c>
      <c r="AY95" s="80">
        <v>0</v>
      </c>
      <c r="AZ95" s="81">
        <v>0</v>
      </c>
      <c r="BA95" s="80">
        <v>0</v>
      </c>
      <c r="BB95" s="80">
        <v>0</v>
      </c>
      <c r="BC95" s="81">
        <v>0</v>
      </c>
      <c r="BD95" s="80">
        <v>0</v>
      </c>
      <c r="BE95" s="81">
        <v>0</v>
      </c>
      <c r="BF95" s="80">
        <v>0</v>
      </c>
      <c r="BG95" s="80">
        <v>0</v>
      </c>
      <c r="BH95" s="82">
        <v>0</v>
      </c>
    </row>
    <row r="96" spans="2:60">
      <c r="B96" s="72" t="s">
        <v>469</v>
      </c>
      <c r="C96" s="80">
        <v>0</v>
      </c>
      <c r="D96" s="80">
        <v>293</v>
      </c>
      <c r="E96" s="80">
        <v>39</v>
      </c>
      <c r="F96" s="80">
        <v>254</v>
      </c>
      <c r="G96" s="80">
        <v>5</v>
      </c>
      <c r="H96" s="80">
        <v>33</v>
      </c>
      <c r="I96" s="80">
        <v>287</v>
      </c>
      <c r="J96" s="80">
        <v>0</v>
      </c>
      <c r="K96" s="80">
        <v>0</v>
      </c>
      <c r="L96" s="80">
        <v>0</v>
      </c>
      <c r="M96" s="80">
        <v>0</v>
      </c>
      <c r="N96" s="80">
        <v>0</v>
      </c>
      <c r="O96" s="80">
        <v>5</v>
      </c>
      <c r="P96" s="80">
        <v>5</v>
      </c>
      <c r="Q96" s="80">
        <v>0</v>
      </c>
      <c r="R96" s="80">
        <v>0</v>
      </c>
      <c r="S96" s="80">
        <v>4</v>
      </c>
      <c r="T96" s="80">
        <v>1</v>
      </c>
      <c r="U96" s="80">
        <v>0</v>
      </c>
      <c r="V96" s="80">
        <v>1</v>
      </c>
      <c r="W96" s="80">
        <v>0</v>
      </c>
      <c r="X96" s="80">
        <v>5</v>
      </c>
      <c r="Y96" s="80">
        <v>5</v>
      </c>
      <c r="Z96" s="80">
        <v>0</v>
      </c>
      <c r="AA96" s="80">
        <v>0</v>
      </c>
      <c r="AB96" s="80">
        <v>5</v>
      </c>
      <c r="AC96" s="80">
        <v>3</v>
      </c>
      <c r="AD96" s="80">
        <v>3</v>
      </c>
      <c r="AE96" s="81">
        <v>0</v>
      </c>
      <c r="AF96" s="80">
        <v>2</v>
      </c>
      <c r="AG96" s="80">
        <v>2</v>
      </c>
      <c r="AH96" s="80">
        <v>0</v>
      </c>
      <c r="AI96" s="80">
        <v>0</v>
      </c>
      <c r="AJ96" s="80">
        <v>0</v>
      </c>
      <c r="AK96" s="80">
        <v>0</v>
      </c>
      <c r="AL96" s="80">
        <v>0</v>
      </c>
      <c r="AM96" s="80">
        <v>0</v>
      </c>
      <c r="AN96" s="80">
        <v>5</v>
      </c>
      <c r="AO96" s="80">
        <v>5</v>
      </c>
      <c r="AP96" s="80">
        <v>5</v>
      </c>
      <c r="AQ96" s="80">
        <v>0</v>
      </c>
      <c r="AR96" s="80">
        <v>5</v>
      </c>
      <c r="AS96" s="80">
        <v>5</v>
      </c>
      <c r="AT96" s="80">
        <v>0</v>
      </c>
      <c r="AU96" s="80">
        <v>0</v>
      </c>
      <c r="AV96" s="80">
        <v>5</v>
      </c>
      <c r="AW96" s="80">
        <v>0</v>
      </c>
      <c r="AX96" s="80">
        <v>5</v>
      </c>
      <c r="AY96" s="80">
        <v>0</v>
      </c>
      <c r="AZ96" s="81">
        <v>0</v>
      </c>
      <c r="BA96" s="80">
        <v>0</v>
      </c>
      <c r="BB96" s="80">
        <v>0</v>
      </c>
      <c r="BC96" s="81">
        <v>0</v>
      </c>
      <c r="BD96" s="80">
        <v>0</v>
      </c>
      <c r="BE96" s="81">
        <v>0</v>
      </c>
      <c r="BF96" s="80">
        <v>0</v>
      </c>
      <c r="BG96" s="80">
        <v>0</v>
      </c>
      <c r="BH96" s="82">
        <v>0</v>
      </c>
    </row>
    <row r="97" spans="2:60">
      <c r="B97" s="41"/>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4"/>
      <c r="AF97" s="83"/>
      <c r="AG97" s="83"/>
      <c r="AH97" s="83"/>
      <c r="AI97" s="83"/>
      <c r="AJ97" s="83"/>
      <c r="AK97" s="83"/>
      <c r="AL97" s="83"/>
      <c r="AM97" s="83"/>
      <c r="AN97" s="83"/>
      <c r="AO97" s="83"/>
      <c r="AP97" s="83"/>
      <c r="AQ97" s="83"/>
      <c r="AR97" s="83"/>
      <c r="AS97" s="83"/>
      <c r="AT97" s="83"/>
      <c r="AU97" s="83"/>
      <c r="AV97" s="83"/>
      <c r="AW97" s="83"/>
      <c r="AX97" s="83"/>
      <c r="AY97" s="83"/>
      <c r="AZ97" s="84"/>
      <c r="BA97" s="83"/>
      <c r="BB97" s="83"/>
      <c r="BC97" s="84"/>
      <c r="BD97" s="83"/>
      <c r="BE97" s="84"/>
      <c r="BF97" s="83"/>
      <c r="BG97" s="83"/>
      <c r="BH97" s="85"/>
    </row>
    <row r="98" spans="2:60">
      <c r="B98" s="72" t="s">
        <v>51</v>
      </c>
      <c r="C98" s="80">
        <v>0</v>
      </c>
      <c r="D98" s="80">
        <v>0</v>
      </c>
      <c r="E98" s="80">
        <v>0</v>
      </c>
      <c r="F98" s="80">
        <v>0</v>
      </c>
      <c r="G98" s="80">
        <v>0</v>
      </c>
      <c r="H98" s="80">
        <v>0</v>
      </c>
      <c r="I98" s="80">
        <v>0</v>
      </c>
      <c r="J98" s="80">
        <v>0</v>
      </c>
      <c r="K98" s="80">
        <v>0</v>
      </c>
      <c r="L98" s="80">
        <v>0</v>
      </c>
      <c r="M98" s="80">
        <v>0</v>
      </c>
      <c r="N98" s="80">
        <v>0</v>
      </c>
      <c r="O98" s="80">
        <v>0</v>
      </c>
      <c r="P98" s="80">
        <v>0</v>
      </c>
      <c r="Q98" s="80">
        <v>0</v>
      </c>
      <c r="R98" s="80">
        <v>0</v>
      </c>
      <c r="S98" s="80">
        <v>0</v>
      </c>
      <c r="T98" s="80">
        <v>0</v>
      </c>
      <c r="U98" s="80">
        <v>0</v>
      </c>
      <c r="V98" s="80">
        <v>0</v>
      </c>
      <c r="W98" s="80">
        <v>0</v>
      </c>
      <c r="X98" s="80">
        <v>0</v>
      </c>
      <c r="Y98" s="80">
        <v>0</v>
      </c>
      <c r="Z98" s="80">
        <v>0</v>
      </c>
      <c r="AA98" s="80">
        <v>0</v>
      </c>
      <c r="AB98" s="80">
        <v>0</v>
      </c>
      <c r="AC98" s="80">
        <v>0</v>
      </c>
      <c r="AD98" s="80">
        <v>0</v>
      </c>
      <c r="AE98" s="81">
        <v>0</v>
      </c>
      <c r="AF98" s="80">
        <v>0</v>
      </c>
      <c r="AG98" s="80">
        <v>0</v>
      </c>
      <c r="AH98" s="80">
        <v>0</v>
      </c>
      <c r="AI98" s="80">
        <v>0</v>
      </c>
      <c r="AJ98" s="80">
        <v>0</v>
      </c>
      <c r="AK98" s="80">
        <v>0</v>
      </c>
      <c r="AL98" s="80">
        <v>0</v>
      </c>
      <c r="AM98" s="80">
        <v>0</v>
      </c>
      <c r="AN98" s="80">
        <v>0</v>
      </c>
      <c r="AO98" s="80">
        <v>0</v>
      </c>
      <c r="AP98" s="80">
        <v>0</v>
      </c>
      <c r="AQ98" s="80">
        <v>0</v>
      </c>
      <c r="AR98" s="80">
        <v>0</v>
      </c>
      <c r="AS98" s="80">
        <v>0</v>
      </c>
      <c r="AT98" s="80">
        <v>0</v>
      </c>
      <c r="AU98" s="80">
        <v>0</v>
      </c>
      <c r="AV98" s="80">
        <v>0</v>
      </c>
      <c r="AW98" s="80">
        <v>0</v>
      </c>
      <c r="AX98" s="80">
        <v>0</v>
      </c>
      <c r="AY98" s="80">
        <v>0</v>
      </c>
      <c r="AZ98" s="81">
        <v>0</v>
      </c>
      <c r="BA98" s="80">
        <v>0</v>
      </c>
      <c r="BB98" s="80">
        <v>0</v>
      </c>
      <c r="BC98" s="81">
        <v>0</v>
      </c>
      <c r="BD98" s="80">
        <v>0</v>
      </c>
      <c r="BE98" s="81">
        <v>0</v>
      </c>
      <c r="BF98" s="80">
        <v>0</v>
      </c>
      <c r="BG98" s="80">
        <v>0</v>
      </c>
      <c r="BH98" s="82">
        <v>0</v>
      </c>
    </row>
    <row r="99" spans="2:60">
      <c r="B99" s="72" t="s">
        <v>470</v>
      </c>
      <c r="C99" s="80">
        <v>0</v>
      </c>
      <c r="D99" s="80">
        <v>0</v>
      </c>
      <c r="E99" s="80">
        <v>0</v>
      </c>
      <c r="F99" s="80">
        <v>0</v>
      </c>
      <c r="G99" s="80">
        <v>0</v>
      </c>
      <c r="H99" s="80">
        <v>0</v>
      </c>
      <c r="I99" s="80">
        <v>0</v>
      </c>
      <c r="J99" s="80">
        <v>376764</v>
      </c>
      <c r="K99" s="80">
        <v>376764</v>
      </c>
      <c r="L99" s="80">
        <v>0</v>
      </c>
      <c r="M99" s="80">
        <v>0</v>
      </c>
      <c r="N99" s="80">
        <v>376754</v>
      </c>
      <c r="O99" s="80">
        <v>0</v>
      </c>
      <c r="P99" s="80">
        <v>0</v>
      </c>
      <c r="Q99" s="80">
        <v>0</v>
      </c>
      <c r="R99" s="80">
        <v>0</v>
      </c>
      <c r="S99" s="80">
        <v>0</v>
      </c>
      <c r="T99" s="80">
        <v>0</v>
      </c>
      <c r="U99" s="80">
        <v>0</v>
      </c>
      <c r="V99" s="80">
        <v>0</v>
      </c>
      <c r="W99" s="80">
        <v>0</v>
      </c>
      <c r="X99" s="80">
        <v>0</v>
      </c>
      <c r="Y99" s="80">
        <v>0</v>
      </c>
      <c r="Z99" s="80">
        <v>0</v>
      </c>
      <c r="AA99" s="80">
        <v>0</v>
      </c>
      <c r="AB99" s="80">
        <v>0</v>
      </c>
      <c r="AC99" s="80">
        <v>0</v>
      </c>
      <c r="AD99" s="80">
        <v>0</v>
      </c>
      <c r="AE99" s="81">
        <v>0</v>
      </c>
      <c r="AF99" s="80">
        <v>0</v>
      </c>
      <c r="AG99" s="80">
        <v>0</v>
      </c>
      <c r="AH99" s="80">
        <v>56416</v>
      </c>
      <c r="AI99" s="80">
        <v>56416</v>
      </c>
      <c r="AJ99" s="80">
        <v>0</v>
      </c>
      <c r="AK99" s="80">
        <v>0</v>
      </c>
      <c r="AL99" s="80">
        <v>56416</v>
      </c>
      <c r="AM99" s="80">
        <v>0</v>
      </c>
      <c r="AN99" s="80">
        <v>0</v>
      </c>
      <c r="AO99" s="80">
        <v>0</v>
      </c>
      <c r="AP99" s="80">
        <v>0</v>
      </c>
      <c r="AQ99" s="80">
        <v>0</v>
      </c>
      <c r="AR99" s="80">
        <v>0</v>
      </c>
      <c r="AS99" s="80">
        <v>0</v>
      </c>
      <c r="AT99" s="80">
        <v>0</v>
      </c>
      <c r="AU99" s="80">
        <v>0</v>
      </c>
      <c r="AV99" s="80">
        <v>0</v>
      </c>
      <c r="AW99" s="80">
        <v>0</v>
      </c>
      <c r="AX99" s="80">
        <v>0</v>
      </c>
      <c r="AY99" s="80">
        <v>0</v>
      </c>
      <c r="AZ99" s="81">
        <v>0</v>
      </c>
      <c r="BA99" s="80">
        <v>0</v>
      </c>
      <c r="BB99" s="80">
        <v>0</v>
      </c>
      <c r="BC99" s="81">
        <v>0</v>
      </c>
      <c r="BD99" s="80">
        <v>0</v>
      </c>
      <c r="BE99" s="81">
        <v>0</v>
      </c>
      <c r="BF99" s="80">
        <v>0</v>
      </c>
      <c r="BG99" s="80">
        <v>0</v>
      </c>
      <c r="BH99" s="82">
        <v>0</v>
      </c>
    </row>
    <row r="100" spans="2:60">
      <c r="B100" s="72" t="s">
        <v>471</v>
      </c>
      <c r="C100" s="80">
        <v>0</v>
      </c>
      <c r="D100" s="80">
        <v>0</v>
      </c>
      <c r="E100" s="80">
        <v>0</v>
      </c>
      <c r="F100" s="80">
        <v>0</v>
      </c>
      <c r="G100" s="80">
        <v>0</v>
      </c>
      <c r="H100" s="80">
        <v>0</v>
      </c>
      <c r="I100" s="80">
        <v>0</v>
      </c>
      <c r="J100" s="80">
        <v>1241460</v>
      </c>
      <c r="K100" s="80">
        <v>1241460</v>
      </c>
      <c r="L100" s="80">
        <v>0</v>
      </c>
      <c r="M100" s="80">
        <v>0</v>
      </c>
      <c r="N100" s="80">
        <v>1241460</v>
      </c>
      <c r="O100" s="80">
        <v>0</v>
      </c>
      <c r="P100" s="80">
        <v>0</v>
      </c>
      <c r="Q100" s="80">
        <v>0</v>
      </c>
      <c r="R100" s="80">
        <v>0</v>
      </c>
      <c r="S100" s="80">
        <v>0</v>
      </c>
      <c r="T100" s="80">
        <v>0</v>
      </c>
      <c r="U100" s="80">
        <v>0</v>
      </c>
      <c r="V100" s="80">
        <v>0</v>
      </c>
      <c r="W100" s="80">
        <v>0</v>
      </c>
      <c r="X100" s="80">
        <v>0</v>
      </c>
      <c r="Y100" s="80">
        <v>0</v>
      </c>
      <c r="Z100" s="80">
        <v>0</v>
      </c>
      <c r="AA100" s="80">
        <v>0</v>
      </c>
      <c r="AB100" s="80">
        <v>0</v>
      </c>
      <c r="AC100" s="80">
        <v>0</v>
      </c>
      <c r="AD100" s="80">
        <v>0</v>
      </c>
      <c r="AE100" s="81">
        <v>0</v>
      </c>
      <c r="AF100" s="80">
        <v>0</v>
      </c>
      <c r="AG100" s="80">
        <v>0</v>
      </c>
      <c r="AH100" s="80">
        <v>185892</v>
      </c>
      <c r="AI100" s="80">
        <v>185892</v>
      </c>
      <c r="AJ100" s="80">
        <v>0</v>
      </c>
      <c r="AK100" s="80">
        <v>0</v>
      </c>
      <c r="AL100" s="80">
        <v>185892</v>
      </c>
      <c r="AM100" s="80">
        <v>0</v>
      </c>
      <c r="AN100" s="80">
        <v>0</v>
      </c>
      <c r="AO100" s="80">
        <v>0</v>
      </c>
      <c r="AP100" s="80">
        <v>0</v>
      </c>
      <c r="AQ100" s="80">
        <v>0</v>
      </c>
      <c r="AR100" s="80">
        <v>0</v>
      </c>
      <c r="AS100" s="80">
        <v>0</v>
      </c>
      <c r="AT100" s="80">
        <v>0</v>
      </c>
      <c r="AU100" s="80">
        <v>0</v>
      </c>
      <c r="AV100" s="80">
        <v>0</v>
      </c>
      <c r="AW100" s="80">
        <v>0</v>
      </c>
      <c r="AX100" s="80">
        <v>0</v>
      </c>
      <c r="AY100" s="80">
        <v>0</v>
      </c>
      <c r="AZ100" s="81">
        <v>0</v>
      </c>
      <c r="BA100" s="80">
        <v>0</v>
      </c>
      <c r="BB100" s="80">
        <v>0</v>
      </c>
      <c r="BC100" s="81">
        <v>0</v>
      </c>
      <c r="BD100" s="80">
        <v>0</v>
      </c>
      <c r="BE100" s="81">
        <v>0</v>
      </c>
      <c r="BF100" s="80">
        <v>0</v>
      </c>
      <c r="BG100" s="80">
        <v>0</v>
      </c>
      <c r="BH100" s="82">
        <v>0</v>
      </c>
    </row>
    <row r="101" spans="2:60">
      <c r="B101" s="72" t="s">
        <v>472</v>
      </c>
      <c r="C101" s="80">
        <v>0</v>
      </c>
      <c r="D101" s="80">
        <v>0</v>
      </c>
      <c r="E101" s="80">
        <v>0</v>
      </c>
      <c r="F101" s="80">
        <v>0</v>
      </c>
      <c r="G101" s="80">
        <v>0</v>
      </c>
      <c r="H101" s="80">
        <v>0</v>
      </c>
      <c r="I101" s="80">
        <v>0</v>
      </c>
      <c r="J101" s="80">
        <v>16352</v>
      </c>
      <c r="K101" s="80">
        <v>16352</v>
      </c>
      <c r="L101" s="80">
        <v>0</v>
      </c>
      <c r="M101" s="80">
        <v>0</v>
      </c>
      <c r="N101" s="80">
        <v>59593</v>
      </c>
      <c r="O101" s="80">
        <v>0</v>
      </c>
      <c r="P101" s="80">
        <v>0</v>
      </c>
      <c r="Q101" s="80">
        <v>0</v>
      </c>
      <c r="R101" s="80">
        <v>0</v>
      </c>
      <c r="S101" s="80">
        <v>0</v>
      </c>
      <c r="T101" s="80">
        <v>0</v>
      </c>
      <c r="U101" s="80">
        <v>0</v>
      </c>
      <c r="V101" s="80">
        <v>0</v>
      </c>
      <c r="W101" s="80">
        <v>0</v>
      </c>
      <c r="X101" s="80">
        <v>0</v>
      </c>
      <c r="Y101" s="80">
        <v>0</v>
      </c>
      <c r="Z101" s="80">
        <v>0</v>
      </c>
      <c r="AA101" s="80">
        <v>0</v>
      </c>
      <c r="AB101" s="80">
        <v>0</v>
      </c>
      <c r="AC101" s="80">
        <v>0</v>
      </c>
      <c r="AD101" s="80">
        <v>0</v>
      </c>
      <c r="AE101" s="81">
        <v>0</v>
      </c>
      <c r="AF101" s="80">
        <v>0</v>
      </c>
      <c r="AG101" s="80">
        <v>0</v>
      </c>
      <c r="AH101" s="80">
        <v>2449</v>
      </c>
      <c r="AI101" s="80">
        <v>2449</v>
      </c>
      <c r="AJ101" s="80">
        <v>0</v>
      </c>
      <c r="AK101" s="80">
        <v>0</v>
      </c>
      <c r="AL101" s="80">
        <v>8654</v>
      </c>
      <c r="AM101" s="80">
        <v>0</v>
      </c>
      <c r="AN101" s="80">
        <v>0</v>
      </c>
      <c r="AO101" s="80">
        <v>0</v>
      </c>
      <c r="AP101" s="80">
        <v>0</v>
      </c>
      <c r="AQ101" s="80">
        <v>0</v>
      </c>
      <c r="AR101" s="80">
        <v>0</v>
      </c>
      <c r="AS101" s="80">
        <v>0</v>
      </c>
      <c r="AT101" s="80">
        <v>0</v>
      </c>
      <c r="AU101" s="80">
        <v>0</v>
      </c>
      <c r="AV101" s="80">
        <v>0</v>
      </c>
      <c r="AW101" s="80">
        <v>0</v>
      </c>
      <c r="AX101" s="80">
        <v>0</v>
      </c>
      <c r="AY101" s="80">
        <v>0</v>
      </c>
      <c r="AZ101" s="81">
        <v>0</v>
      </c>
      <c r="BA101" s="80">
        <v>0</v>
      </c>
      <c r="BB101" s="80">
        <v>0</v>
      </c>
      <c r="BC101" s="81">
        <v>0</v>
      </c>
      <c r="BD101" s="80">
        <v>0</v>
      </c>
      <c r="BE101" s="81">
        <v>0</v>
      </c>
      <c r="BF101" s="80">
        <v>0</v>
      </c>
      <c r="BG101" s="80">
        <v>0</v>
      </c>
      <c r="BH101" s="82">
        <v>0</v>
      </c>
    </row>
    <row r="102" spans="2:60">
      <c r="B102" s="72" t="s">
        <v>473</v>
      </c>
      <c r="C102" s="80">
        <v>0</v>
      </c>
      <c r="D102" s="80">
        <v>0</v>
      </c>
      <c r="E102" s="80">
        <v>0</v>
      </c>
      <c r="F102" s="80">
        <v>0</v>
      </c>
      <c r="G102" s="80">
        <v>0</v>
      </c>
      <c r="H102" s="80">
        <v>0</v>
      </c>
      <c r="I102" s="80">
        <v>0</v>
      </c>
      <c r="J102" s="80">
        <v>0</v>
      </c>
      <c r="K102" s="80">
        <v>0</v>
      </c>
      <c r="L102" s="80">
        <v>0</v>
      </c>
      <c r="M102" s="80">
        <v>0</v>
      </c>
      <c r="N102" s="80">
        <v>0</v>
      </c>
      <c r="O102" s="80">
        <v>0</v>
      </c>
      <c r="P102" s="80">
        <v>0</v>
      </c>
      <c r="Q102" s="80">
        <v>0</v>
      </c>
      <c r="R102" s="80">
        <v>0</v>
      </c>
      <c r="S102" s="80">
        <v>0</v>
      </c>
      <c r="T102" s="80">
        <v>0</v>
      </c>
      <c r="U102" s="80">
        <v>0</v>
      </c>
      <c r="V102" s="80">
        <v>0</v>
      </c>
      <c r="W102" s="80">
        <v>0</v>
      </c>
      <c r="X102" s="80">
        <v>0</v>
      </c>
      <c r="Y102" s="80">
        <v>0</v>
      </c>
      <c r="Z102" s="80">
        <v>0</v>
      </c>
      <c r="AA102" s="80">
        <v>0</v>
      </c>
      <c r="AB102" s="80">
        <v>0</v>
      </c>
      <c r="AC102" s="80">
        <v>0</v>
      </c>
      <c r="AD102" s="80">
        <v>0</v>
      </c>
      <c r="AE102" s="81">
        <v>0</v>
      </c>
      <c r="AF102" s="80">
        <v>0</v>
      </c>
      <c r="AG102" s="80">
        <v>0</v>
      </c>
      <c r="AH102" s="80">
        <v>0</v>
      </c>
      <c r="AI102" s="80">
        <v>0</v>
      </c>
      <c r="AJ102" s="80">
        <v>0</v>
      </c>
      <c r="AK102" s="80">
        <v>0</v>
      </c>
      <c r="AL102" s="80">
        <v>0</v>
      </c>
      <c r="AM102" s="80">
        <v>0</v>
      </c>
      <c r="AN102" s="80">
        <v>0</v>
      </c>
      <c r="AO102" s="80">
        <v>0</v>
      </c>
      <c r="AP102" s="80">
        <v>0</v>
      </c>
      <c r="AQ102" s="80">
        <v>0</v>
      </c>
      <c r="AR102" s="80">
        <v>0</v>
      </c>
      <c r="AS102" s="80">
        <v>0</v>
      </c>
      <c r="AT102" s="80">
        <v>0</v>
      </c>
      <c r="AU102" s="80">
        <v>0</v>
      </c>
      <c r="AV102" s="80">
        <v>0</v>
      </c>
      <c r="AW102" s="80">
        <v>0</v>
      </c>
      <c r="AX102" s="80">
        <v>0</v>
      </c>
      <c r="AY102" s="80">
        <v>0</v>
      </c>
      <c r="AZ102" s="81">
        <v>0</v>
      </c>
      <c r="BA102" s="80">
        <v>0</v>
      </c>
      <c r="BB102" s="80">
        <v>0</v>
      </c>
      <c r="BC102" s="81">
        <v>0</v>
      </c>
      <c r="BD102" s="80">
        <v>0</v>
      </c>
      <c r="BE102" s="81">
        <v>0</v>
      </c>
      <c r="BF102" s="80">
        <v>0</v>
      </c>
      <c r="BG102" s="80">
        <v>0</v>
      </c>
      <c r="BH102" s="82">
        <v>0</v>
      </c>
    </row>
    <row r="103" spans="2:60">
      <c r="B103" s="41"/>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4"/>
      <c r="AF103" s="83"/>
      <c r="AG103" s="83"/>
      <c r="AH103" s="83"/>
      <c r="AI103" s="83"/>
      <c r="AJ103" s="83"/>
      <c r="AK103" s="83"/>
      <c r="AL103" s="83"/>
      <c r="AM103" s="83"/>
      <c r="AN103" s="83"/>
      <c r="AO103" s="83"/>
      <c r="AP103" s="83"/>
      <c r="AQ103" s="83"/>
      <c r="AR103" s="83"/>
      <c r="AS103" s="83"/>
      <c r="AT103" s="83"/>
      <c r="AU103" s="83"/>
      <c r="AV103" s="83"/>
      <c r="AW103" s="83"/>
      <c r="AX103" s="83"/>
      <c r="AY103" s="83"/>
      <c r="AZ103" s="84"/>
      <c r="BA103" s="83"/>
      <c r="BB103" s="83"/>
      <c r="BC103" s="84"/>
      <c r="BD103" s="83"/>
      <c r="BE103" s="84"/>
      <c r="BF103" s="83"/>
      <c r="BG103" s="83"/>
      <c r="BH103" s="85"/>
    </row>
    <row r="104" spans="2:60">
      <c r="B104" s="72" t="s">
        <v>608</v>
      </c>
      <c r="C104" s="80">
        <v>0</v>
      </c>
      <c r="D104" s="80">
        <v>0</v>
      </c>
      <c r="E104" s="80">
        <v>0</v>
      </c>
      <c r="F104" s="80">
        <v>0</v>
      </c>
      <c r="G104" s="80">
        <v>0</v>
      </c>
      <c r="H104" s="80">
        <v>0</v>
      </c>
      <c r="I104" s="80">
        <v>0</v>
      </c>
      <c r="J104" s="80">
        <v>0</v>
      </c>
      <c r="K104" s="80">
        <v>0</v>
      </c>
      <c r="L104" s="80">
        <v>0</v>
      </c>
      <c r="M104" s="80">
        <v>0</v>
      </c>
      <c r="N104" s="80">
        <v>0</v>
      </c>
      <c r="O104" s="80">
        <v>0</v>
      </c>
      <c r="P104" s="80">
        <v>0</v>
      </c>
      <c r="Q104" s="80">
        <v>0</v>
      </c>
      <c r="R104" s="80">
        <v>0</v>
      </c>
      <c r="S104" s="80">
        <v>0</v>
      </c>
      <c r="T104" s="80">
        <v>0</v>
      </c>
      <c r="U104" s="80">
        <v>0</v>
      </c>
      <c r="V104" s="80">
        <v>0</v>
      </c>
      <c r="W104" s="80">
        <v>0</v>
      </c>
      <c r="X104" s="80">
        <v>0</v>
      </c>
      <c r="Y104" s="80">
        <v>0</v>
      </c>
      <c r="Z104" s="80">
        <v>1150140</v>
      </c>
      <c r="AA104" s="80">
        <v>1150140</v>
      </c>
      <c r="AB104" s="80">
        <v>0</v>
      </c>
      <c r="AC104" s="80">
        <v>0</v>
      </c>
      <c r="AD104" s="80">
        <v>0</v>
      </c>
      <c r="AE104" s="81">
        <v>0</v>
      </c>
      <c r="AF104" s="80">
        <v>0</v>
      </c>
      <c r="AG104" s="80">
        <v>0</v>
      </c>
      <c r="AH104" s="80">
        <v>0</v>
      </c>
      <c r="AI104" s="80">
        <v>0</v>
      </c>
      <c r="AJ104" s="80">
        <v>0</v>
      </c>
      <c r="AK104" s="80">
        <v>0</v>
      </c>
      <c r="AL104" s="80">
        <v>0</v>
      </c>
      <c r="AM104" s="80">
        <v>0</v>
      </c>
      <c r="AN104" s="80">
        <v>0</v>
      </c>
      <c r="AO104" s="80">
        <v>0</v>
      </c>
      <c r="AP104" s="80">
        <v>0</v>
      </c>
      <c r="AQ104" s="80">
        <v>0</v>
      </c>
      <c r="AR104" s="80">
        <v>0</v>
      </c>
      <c r="AS104" s="80">
        <v>0</v>
      </c>
      <c r="AT104" s="80">
        <v>1417060</v>
      </c>
      <c r="AU104" s="80">
        <v>1417060</v>
      </c>
      <c r="AV104" s="80">
        <v>0</v>
      </c>
      <c r="AW104" s="80">
        <v>0</v>
      </c>
      <c r="AX104" s="80">
        <v>0</v>
      </c>
      <c r="AY104" s="80">
        <v>0</v>
      </c>
      <c r="AZ104" s="81">
        <v>0</v>
      </c>
      <c r="BA104" s="80">
        <v>0</v>
      </c>
      <c r="BB104" s="80">
        <v>0</v>
      </c>
      <c r="BC104" s="81">
        <v>0</v>
      </c>
      <c r="BD104" s="80">
        <v>0</v>
      </c>
      <c r="BE104" s="81">
        <v>0</v>
      </c>
      <c r="BF104" s="80">
        <v>0</v>
      </c>
      <c r="BG104" s="80">
        <v>0</v>
      </c>
      <c r="BH104" s="82">
        <v>0</v>
      </c>
    </row>
    <row r="105" spans="2:60">
      <c r="B105" s="72" t="s">
        <v>77</v>
      </c>
      <c r="C105" s="80">
        <v>0</v>
      </c>
      <c r="D105" s="80">
        <v>0</v>
      </c>
      <c r="E105" s="80">
        <v>0</v>
      </c>
      <c r="F105" s="80">
        <v>0</v>
      </c>
      <c r="G105" s="80">
        <v>0</v>
      </c>
      <c r="H105" s="80">
        <v>0</v>
      </c>
      <c r="I105" s="80">
        <v>0</v>
      </c>
      <c r="J105" s="80">
        <v>0</v>
      </c>
      <c r="K105" s="80">
        <v>0</v>
      </c>
      <c r="L105" s="80">
        <v>0</v>
      </c>
      <c r="M105" s="80">
        <v>0</v>
      </c>
      <c r="N105" s="80">
        <v>0</v>
      </c>
      <c r="O105" s="80">
        <v>0</v>
      </c>
      <c r="P105" s="80">
        <v>0</v>
      </c>
      <c r="Q105" s="80">
        <v>0</v>
      </c>
      <c r="R105" s="80">
        <v>0</v>
      </c>
      <c r="S105" s="80">
        <v>0</v>
      </c>
      <c r="T105" s="80">
        <v>0</v>
      </c>
      <c r="U105" s="80">
        <v>0</v>
      </c>
      <c r="V105" s="80">
        <v>0</v>
      </c>
      <c r="W105" s="80">
        <v>0</v>
      </c>
      <c r="X105" s="80">
        <v>0</v>
      </c>
      <c r="Y105" s="80">
        <v>0</v>
      </c>
      <c r="Z105" s="80">
        <v>0</v>
      </c>
      <c r="AA105" s="80">
        <v>0</v>
      </c>
      <c r="AB105" s="80">
        <v>0</v>
      </c>
      <c r="AC105" s="80">
        <v>0</v>
      </c>
      <c r="AD105" s="80">
        <v>0</v>
      </c>
      <c r="AE105" s="81">
        <v>0</v>
      </c>
      <c r="AF105" s="80">
        <v>0</v>
      </c>
      <c r="AG105" s="80">
        <v>0</v>
      </c>
      <c r="AH105" s="80">
        <v>0</v>
      </c>
      <c r="AI105" s="80">
        <v>0</v>
      </c>
      <c r="AJ105" s="80">
        <v>0</v>
      </c>
      <c r="AK105" s="80">
        <v>0</v>
      </c>
      <c r="AL105" s="80">
        <v>0</v>
      </c>
      <c r="AM105" s="80">
        <v>0</v>
      </c>
      <c r="AN105" s="80">
        <v>0</v>
      </c>
      <c r="AO105" s="80">
        <v>0</v>
      </c>
      <c r="AP105" s="80">
        <v>0</v>
      </c>
      <c r="AQ105" s="80">
        <v>0</v>
      </c>
      <c r="AR105" s="80">
        <v>0</v>
      </c>
      <c r="AS105" s="80">
        <v>0</v>
      </c>
      <c r="AT105" s="80">
        <v>0</v>
      </c>
      <c r="AU105" s="80">
        <v>0</v>
      </c>
      <c r="AV105" s="80">
        <v>0</v>
      </c>
      <c r="AW105" s="80">
        <v>0</v>
      </c>
      <c r="AX105" s="80">
        <v>0</v>
      </c>
      <c r="AY105" s="80">
        <v>0</v>
      </c>
      <c r="AZ105" s="81">
        <v>0</v>
      </c>
      <c r="BA105" s="80">
        <v>0</v>
      </c>
      <c r="BB105" s="80">
        <v>0</v>
      </c>
      <c r="BC105" s="81">
        <v>0</v>
      </c>
      <c r="BD105" s="80">
        <v>0</v>
      </c>
      <c r="BE105" s="81">
        <v>0</v>
      </c>
      <c r="BF105" s="80">
        <v>0</v>
      </c>
      <c r="BG105" s="80">
        <v>0</v>
      </c>
      <c r="BH105" s="82">
        <v>0</v>
      </c>
    </row>
    <row r="106" spans="2:60">
      <c r="B106" s="72" t="s">
        <v>69</v>
      </c>
      <c r="C106" s="80">
        <v>0</v>
      </c>
      <c r="D106" s="80">
        <v>0</v>
      </c>
      <c r="E106" s="80">
        <v>0</v>
      </c>
      <c r="F106" s="80">
        <v>0</v>
      </c>
      <c r="G106" s="80">
        <v>0</v>
      </c>
      <c r="H106" s="80">
        <v>0</v>
      </c>
      <c r="I106" s="80">
        <v>0</v>
      </c>
      <c r="J106" s="80">
        <v>0</v>
      </c>
      <c r="K106" s="80">
        <v>0</v>
      </c>
      <c r="L106" s="80">
        <v>57331</v>
      </c>
      <c r="M106" s="80">
        <v>57331</v>
      </c>
      <c r="N106" s="80">
        <v>0</v>
      </c>
      <c r="O106" s="80">
        <v>0</v>
      </c>
      <c r="P106" s="80">
        <v>0</v>
      </c>
      <c r="Q106" s="80">
        <v>9776</v>
      </c>
      <c r="R106" s="80">
        <v>9776</v>
      </c>
      <c r="S106" s="80">
        <v>0</v>
      </c>
      <c r="T106" s="80">
        <v>0</v>
      </c>
      <c r="U106" s="80">
        <v>0</v>
      </c>
      <c r="V106" s="80">
        <v>0</v>
      </c>
      <c r="W106" s="80">
        <v>0</v>
      </c>
      <c r="X106" s="80">
        <v>0</v>
      </c>
      <c r="Y106" s="80">
        <v>0</v>
      </c>
      <c r="Z106" s="80">
        <v>0</v>
      </c>
      <c r="AA106" s="80">
        <v>0</v>
      </c>
      <c r="AB106" s="80">
        <v>0</v>
      </c>
      <c r="AC106" s="80">
        <v>0</v>
      </c>
      <c r="AD106" s="80">
        <v>0</v>
      </c>
      <c r="AE106" s="81">
        <v>0</v>
      </c>
      <c r="AF106" s="80">
        <v>0</v>
      </c>
      <c r="AG106" s="80">
        <v>0</v>
      </c>
      <c r="AH106" s="80">
        <v>0</v>
      </c>
      <c r="AI106" s="80">
        <v>0</v>
      </c>
      <c r="AJ106" s="80">
        <v>8585</v>
      </c>
      <c r="AK106" s="80">
        <v>8585</v>
      </c>
      <c r="AL106" s="80">
        <v>0</v>
      </c>
      <c r="AM106" s="80">
        <v>0</v>
      </c>
      <c r="AN106" s="80">
        <v>0</v>
      </c>
      <c r="AO106" s="80">
        <v>0</v>
      </c>
      <c r="AP106" s="80">
        <v>0</v>
      </c>
      <c r="AQ106" s="80">
        <v>0</v>
      </c>
      <c r="AR106" s="80">
        <v>0</v>
      </c>
      <c r="AS106" s="80">
        <v>0</v>
      </c>
      <c r="AT106" s="80">
        <v>0</v>
      </c>
      <c r="AU106" s="80">
        <v>0</v>
      </c>
      <c r="AV106" s="80">
        <v>0</v>
      </c>
      <c r="AW106" s="80">
        <v>0</v>
      </c>
      <c r="AX106" s="80">
        <v>0</v>
      </c>
      <c r="AY106" s="80">
        <v>0</v>
      </c>
      <c r="AZ106" s="81">
        <v>0</v>
      </c>
      <c r="BA106" s="80">
        <v>0</v>
      </c>
      <c r="BB106" s="80">
        <v>0</v>
      </c>
      <c r="BC106" s="81">
        <v>0</v>
      </c>
      <c r="BD106" s="80">
        <v>0</v>
      </c>
      <c r="BE106" s="81">
        <v>0</v>
      </c>
      <c r="BF106" s="80">
        <v>0</v>
      </c>
      <c r="BG106" s="80">
        <v>0</v>
      </c>
      <c r="BH106" s="82">
        <v>0</v>
      </c>
    </row>
    <row r="107" spans="2:60" ht="17" thickBot="1">
      <c r="B107" s="41"/>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5"/>
      <c r="AF107" s="34"/>
      <c r="AG107" s="34"/>
      <c r="AH107" s="34"/>
      <c r="AI107" s="34"/>
      <c r="AJ107" s="34"/>
      <c r="AK107" s="34"/>
      <c r="AL107" s="34"/>
      <c r="AM107" s="34"/>
      <c r="AN107" s="34"/>
      <c r="AO107" s="34"/>
      <c r="AP107" s="34"/>
      <c r="AQ107" s="34"/>
      <c r="AR107" s="34"/>
      <c r="AS107" s="34"/>
      <c r="AT107" s="34"/>
      <c r="AU107" s="34"/>
      <c r="AV107" s="34"/>
      <c r="AW107" s="34"/>
      <c r="AX107" s="34"/>
      <c r="AY107" s="34"/>
      <c r="AZ107" s="5"/>
      <c r="BA107" s="34"/>
      <c r="BB107" s="34"/>
      <c r="BC107" s="5"/>
      <c r="BD107" s="34"/>
      <c r="BE107" s="5"/>
      <c r="BF107" s="34"/>
      <c r="BG107" s="34"/>
      <c r="BH107" s="28"/>
    </row>
    <row r="108" spans="2:60">
      <c r="B108" s="45" t="s">
        <v>594</v>
      </c>
      <c r="C108" s="46">
        <f t="shared" ref="C108:K108" si="2">SUM(C84:C106)</f>
        <v>165</v>
      </c>
      <c r="D108" s="46">
        <f t="shared" si="2"/>
        <v>2497067</v>
      </c>
      <c r="E108" s="46">
        <f t="shared" si="2"/>
        <v>353660</v>
      </c>
      <c r="F108" s="46">
        <f t="shared" si="2"/>
        <v>2143404</v>
      </c>
      <c r="G108" s="46">
        <f t="shared" si="2"/>
        <v>70476</v>
      </c>
      <c r="H108" s="46">
        <f t="shared" si="2"/>
        <v>283182</v>
      </c>
      <c r="I108" s="46">
        <f t="shared" si="2"/>
        <v>2426586</v>
      </c>
      <c r="J108" s="46">
        <f t="shared" si="2"/>
        <v>1634576</v>
      </c>
      <c r="K108" s="46">
        <f t="shared" si="2"/>
        <v>1634576</v>
      </c>
      <c r="L108" s="46">
        <f t="shared" ref="L108:BH108" si="3">SUM(L84:L106)</f>
        <v>57331</v>
      </c>
      <c r="M108" s="46">
        <f t="shared" si="3"/>
        <v>57331</v>
      </c>
      <c r="N108" s="46">
        <f t="shared" si="3"/>
        <v>1677807</v>
      </c>
      <c r="O108" s="46">
        <f t="shared" si="3"/>
        <v>27235</v>
      </c>
      <c r="P108" s="46">
        <f t="shared" si="3"/>
        <v>259279</v>
      </c>
      <c r="Q108" s="46">
        <f t="shared" si="3"/>
        <v>9776</v>
      </c>
      <c r="R108" s="46">
        <f t="shared" si="3"/>
        <v>9776</v>
      </c>
      <c r="S108" s="46">
        <f t="shared" si="3"/>
        <v>183332</v>
      </c>
      <c r="T108" s="46">
        <f t="shared" si="3"/>
        <v>75947</v>
      </c>
      <c r="U108" s="46">
        <f t="shared" si="3"/>
        <v>3796</v>
      </c>
      <c r="V108" s="46">
        <f t="shared" si="3"/>
        <v>62400</v>
      </c>
      <c r="W108" s="46">
        <f t="shared" si="3"/>
        <v>13547</v>
      </c>
      <c r="X108" s="46">
        <f t="shared" si="3"/>
        <v>245730</v>
      </c>
      <c r="Y108" s="46">
        <f t="shared" si="3"/>
        <v>245730</v>
      </c>
      <c r="Z108" s="46">
        <f t="shared" si="3"/>
        <v>1150140</v>
      </c>
      <c r="AA108" s="46">
        <f t="shared" si="3"/>
        <v>1150140</v>
      </c>
      <c r="AB108" s="46">
        <f t="shared" si="3"/>
        <v>356008</v>
      </c>
      <c r="AC108" s="46">
        <f t="shared" si="3"/>
        <v>175792</v>
      </c>
      <c r="AD108" s="46">
        <f t="shared" si="3"/>
        <v>180219</v>
      </c>
      <c r="AE108" s="76">
        <f t="shared" si="3"/>
        <v>20386</v>
      </c>
      <c r="AF108" s="46">
        <f t="shared" si="3"/>
        <v>272730</v>
      </c>
      <c r="AG108" s="46">
        <f t="shared" si="3"/>
        <v>272730</v>
      </c>
      <c r="AH108" s="46">
        <f t="shared" si="3"/>
        <v>244757</v>
      </c>
      <c r="AI108" s="46">
        <f t="shared" si="3"/>
        <v>244757</v>
      </c>
      <c r="AJ108" s="46">
        <f t="shared" si="3"/>
        <v>8585</v>
      </c>
      <c r="AK108" s="46">
        <f t="shared" si="3"/>
        <v>8585</v>
      </c>
      <c r="AL108" s="46">
        <f t="shared" si="3"/>
        <v>250962</v>
      </c>
      <c r="AM108" s="46">
        <f t="shared" si="3"/>
        <v>12296</v>
      </c>
      <c r="AN108" s="46">
        <f t="shared" si="3"/>
        <v>456745</v>
      </c>
      <c r="AO108" s="46">
        <f t="shared" si="3"/>
        <v>456745</v>
      </c>
      <c r="AP108" s="46">
        <f t="shared" si="3"/>
        <v>441660</v>
      </c>
      <c r="AQ108" s="46">
        <f t="shared" si="3"/>
        <v>15085</v>
      </c>
      <c r="AR108" s="46">
        <f t="shared" si="3"/>
        <v>118715</v>
      </c>
      <c r="AS108" s="46">
        <f t="shared" si="3"/>
        <v>118715</v>
      </c>
      <c r="AT108" s="46">
        <f t="shared" si="3"/>
        <v>1417060</v>
      </c>
      <c r="AU108" s="46">
        <f t="shared" si="3"/>
        <v>1417060</v>
      </c>
      <c r="AV108" s="46">
        <f t="shared" si="3"/>
        <v>118715</v>
      </c>
      <c r="AW108" s="46">
        <f t="shared" si="3"/>
        <v>106839</v>
      </c>
      <c r="AX108" s="46">
        <f t="shared" si="3"/>
        <v>11876</v>
      </c>
      <c r="AY108" s="46">
        <f t="shared" si="3"/>
        <v>31696</v>
      </c>
      <c r="AZ108" s="76">
        <f t="shared" si="3"/>
        <v>3796</v>
      </c>
      <c r="BA108" s="46">
        <f t="shared" si="3"/>
        <v>3796</v>
      </c>
      <c r="BB108" s="46">
        <f t="shared" si="3"/>
        <v>110276</v>
      </c>
      <c r="BC108" s="76">
        <f t="shared" si="3"/>
        <v>24462</v>
      </c>
      <c r="BD108" s="46">
        <f t="shared" si="3"/>
        <v>322692</v>
      </c>
      <c r="BE108" s="76">
        <f t="shared" si="3"/>
        <v>2218</v>
      </c>
      <c r="BF108" s="46">
        <f t="shared" si="3"/>
        <v>92864</v>
      </c>
      <c r="BG108" s="46">
        <f t="shared" si="3"/>
        <v>232044</v>
      </c>
      <c r="BH108" s="68">
        <f t="shared" si="3"/>
        <v>232044</v>
      </c>
    </row>
    <row r="109" spans="2:60">
      <c r="B109" s="48" t="s">
        <v>595</v>
      </c>
      <c r="C109" s="49">
        <v>25</v>
      </c>
      <c r="D109" s="49">
        <v>38</v>
      </c>
      <c r="E109" s="49">
        <v>38</v>
      </c>
      <c r="F109" s="49">
        <v>38</v>
      </c>
      <c r="G109" s="49">
        <v>38</v>
      </c>
      <c r="H109" s="49">
        <v>38</v>
      </c>
      <c r="I109" s="49">
        <v>38</v>
      </c>
      <c r="J109" s="49">
        <v>25</v>
      </c>
      <c r="K109" s="49">
        <v>100</v>
      </c>
      <c r="L109" s="49">
        <v>125</v>
      </c>
      <c r="M109" s="49">
        <v>124</v>
      </c>
      <c r="N109" s="49">
        <v>38</v>
      </c>
      <c r="O109" s="49">
        <v>38</v>
      </c>
      <c r="P109" s="49">
        <v>90</v>
      </c>
      <c r="Q109" s="49">
        <v>125</v>
      </c>
      <c r="R109" s="49">
        <v>124</v>
      </c>
      <c r="S109" s="49">
        <v>90</v>
      </c>
      <c r="T109" s="49">
        <v>90</v>
      </c>
      <c r="U109" s="49">
        <v>90</v>
      </c>
      <c r="V109" s="49">
        <v>90</v>
      </c>
      <c r="W109" s="49">
        <v>90</v>
      </c>
      <c r="X109" s="49">
        <v>90</v>
      </c>
      <c r="Y109" s="49">
        <v>51</v>
      </c>
      <c r="Z109" s="49">
        <v>25</v>
      </c>
      <c r="AA109" s="49">
        <v>30</v>
      </c>
      <c r="AB109" s="49">
        <v>42</v>
      </c>
      <c r="AC109" s="49">
        <v>42</v>
      </c>
      <c r="AD109" s="49">
        <v>42</v>
      </c>
      <c r="AE109" s="57">
        <v>43</v>
      </c>
      <c r="AF109" s="49">
        <v>43</v>
      </c>
      <c r="AG109" s="49">
        <v>45</v>
      </c>
      <c r="AH109" s="49">
        <v>25</v>
      </c>
      <c r="AI109" s="49">
        <v>100</v>
      </c>
      <c r="AJ109" s="49">
        <v>125</v>
      </c>
      <c r="AK109" s="49">
        <v>124</v>
      </c>
      <c r="AL109" s="49">
        <v>37</v>
      </c>
      <c r="AM109" s="49">
        <v>37</v>
      </c>
      <c r="AN109" s="49">
        <v>45</v>
      </c>
      <c r="AO109" s="49">
        <v>46</v>
      </c>
      <c r="AP109" s="49">
        <v>46</v>
      </c>
      <c r="AQ109" s="49">
        <v>46</v>
      </c>
      <c r="AR109" s="49">
        <v>100</v>
      </c>
      <c r="AS109" s="49">
        <v>40</v>
      </c>
      <c r="AT109" s="49">
        <v>25</v>
      </c>
      <c r="AU109" s="49">
        <v>30</v>
      </c>
      <c r="AV109" s="49">
        <v>40</v>
      </c>
      <c r="AW109" s="49">
        <v>40</v>
      </c>
      <c r="AX109" s="49">
        <v>40</v>
      </c>
      <c r="AY109" s="49">
        <v>25</v>
      </c>
      <c r="AZ109" s="57">
        <v>31</v>
      </c>
      <c r="BA109" s="49">
        <v>31</v>
      </c>
      <c r="BB109" s="49">
        <v>31</v>
      </c>
      <c r="BC109" s="57">
        <v>31</v>
      </c>
      <c r="BD109" s="49">
        <v>54</v>
      </c>
      <c r="BE109" s="57">
        <v>25</v>
      </c>
      <c r="BF109" s="49">
        <v>54</v>
      </c>
      <c r="BG109" s="49">
        <v>28</v>
      </c>
      <c r="BH109" s="58">
        <v>28</v>
      </c>
    </row>
    <row r="110" spans="2:60" ht="17" thickBot="1">
      <c r="B110" s="51" t="s">
        <v>596</v>
      </c>
      <c r="C110" s="52">
        <v>1.01325</v>
      </c>
      <c r="D110" s="52">
        <v>1.01325</v>
      </c>
      <c r="E110" s="52">
        <v>1.01325</v>
      </c>
      <c r="F110" s="52">
        <v>1.01325</v>
      </c>
      <c r="G110" s="52">
        <v>1.01325</v>
      </c>
      <c r="H110" s="52">
        <v>1.01325</v>
      </c>
      <c r="I110" s="52">
        <v>1.01325</v>
      </c>
      <c r="J110" s="52">
        <v>1.01325</v>
      </c>
      <c r="K110" s="52">
        <v>1.01325</v>
      </c>
      <c r="L110" s="52">
        <v>2.2999999999999998</v>
      </c>
      <c r="M110" s="52">
        <v>2.2999999999999998</v>
      </c>
      <c r="N110" s="52">
        <v>1.01325</v>
      </c>
      <c r="O110" s="52">
        <v>1.01325</v>
      </c>
      <c r="P110" s="52">
        <v>3</v>
      </c>
      <c r="Q110" s="52">
        <v>2.2999999999999998</v>
      </c>
      <c r="R110" s="52">
        <v>2.2999999999999998</v>
      </c>
      <c r="S110" s="52">
        <v>3</v>
      </c>
      <c r="T110" s="52">
        <v>3</v>
      </c>
      <c r="U110" s="52">
        <v>1.01325</v>
      </c>
      <c r="V110" s="52">
        <v>3</v>
      </c>
      <c r="W110" s="52">
        <v>1.01325</v>
      </c>
      <c r="X110" s="52">
        <v>3</v>
      </c>
      <c r="Y110" s="52">
        <v>3</v>
      </c>
      <c r="Z110" s="52">
        <v>1.01325</v>
      </c>
      <c r="AA110" s="52">
        <v>1.01325</v>
      </c>
      <c r="AB110" s="52">
        <v>1.01325</v>
      </c>
      <c r="AC110" s="52">
        <v>1.01325</v>
      </c>
      <c r="AD110" s="52">
        <v>1.01325</v>
      </c>
      <c r="AE110" s="60">
        <v>1.01325</v>
      </c>
      <c r="AF110" s="52">
        <v>0.5</v>
      </c>
      <c r="AG110" s="52">
        <v>1.01325</v>
      </c>
      <c r="AH110" s="52">
        <v>1.01325</v>
      </c>
      <c r="AI110" s="52">
        <v>1.01325</v>
      </c>
      <c r="AJ110" s="52">
        <v>2.2999999999999998</v>
      </c>
      <c r="AK110" s="52">
        <v>2.2999999999999998</v>
      </c>
      <c r="AL110" s="52">
        <v>1.01325</v>
      </c>
      <c r="AM110" s="52">
        <v>1.01325</v>
      </c>
      <c r="AN110" s="52">
        <v>1.01325</v>
      </c>
      <c r="AO110" s="52">
        <v>2.5</v>
      </c>
      <c r="AP110" s="52">
        <v>1.01325</v>
      </c>
      <c r="AQ110" s="52">
        <v>1.01325</v>
      </c>
      <c r="AR110" s="52">
        <v>1.01325</v>
      </c>
      <c r="AS110" s="52">
        <v>1.01325</v>
      </c>
      <c r="AT110" s="52">
        <v>1.01325</v>
      </c>
      <c r="AU110" s="52">
        <v>1.01325</v>
      </c>
      <c r="AV110" s="52">
        <v>3</v>
      </c>
      <c r="AW110" s="52">
        <v>1.01325</v>
      </c>
      <c r="AX110" s="52">
        <v>1.01325</v>
      </c>
      <c r="AY110" s="52">
        <v>1.01325</v>
      </c>
      <c r="AZ110" s="60">
        <v>1.01325</v>
      </c>
      <c r="BA110" s="52">
        <v>3</v>
      </c>
      <c r="BB110" s="52">
        <v>1.01325</v>
      </c>
      <c r="BC110" s="60">
        <v>1.01325</v>
      </c>
      <c r="BD110" s="52">
        <v>1.01325</v>
      </c>
      <c r="BE110" s="60">
        <v>1.01325</v>
      </c>
      <c r="BF110" s="52">
        <v>1.01325</v>
      </c>
      <c r="BG110" s="52">
        <v>1.01325</v>
      </c>
      <c r="BH110" s="61">
        <v>3</v>
      </c>
    </row>
  </sheetData>
  <mergeCells count="5">
    <mergeCell ref="B3:H3"/>
    <mergeCell ref="B82:BH82"/>
    <mergeCell ref="B50:AB50"/>
    <mergeCell ref="B6:F6"/>
    <mergeCell ref="B18:AC18"/>
  </mergeCells>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B66C2-FD26-E14D-8316-54FC42BA5881}">
  <dimension ref="B3:AT52"/>
  <sheetViews>
    <sheetView zoomScale="75" workbookViewId="0">
      <pane xSplit="2" topLeftCell="C1" activePane="topRight" state="frozen"/>
      <selection pane="topRight" activeCell="F21" sqref="F21"/>
    </sheetView>
  </sheetViews>
  <sheetFormatPr baseColWidth="10" defaultRowHeight="16"/>
  <cols>
    <col min="2" max="2" width="64.5" bestFit="1" customWidth="1"/>
    <col min="3" max="3" width="50.5" bestFit="1" customWidth="1"/>
    <col min="4" max="4" width="49.6640625" bestFit="1" customWidth="1"/>
    <col min="5" max="5" width="42.33203125" bestFit="1" customWidth="1"/>
    <col min="6" max="6" width="41.33203125" bestFit="1" customWidth="1"/>
    <col min="7" max="7" width="35.83203125" bestFit="1" customWidth="1"/>
    <col min="8" max="8" width="42.33203125" bestFit="1" customWidth="1"/>
    <col min="9" max="9" width="36.6640625" bestFit="1" customWidth="1"/>
    <col min="10" max="10" width="36.33203125" bestFit="1" customWidth="1"/>
    <col min="11" max="11" width="33" bestFit="1" customWidth="1"/>
    <col min="12" max="12" width="26.83203125" bestFit="1" customWidth="1"/>
    <col min="13" max="14" width="43" bestFit="1" customWidth="1"/>
    <col min="15" max="16" width="46" bestFit="1" customWidth="1"/>
    <col min="17" max="17" width="36.33203125" bestFit="1" customWidth="1"/>
    <col min="18" max="18" width="34.33203125" bestFit="1" customWidth="1"/>
    <col min="19" max="19" width="40.83203125" bestFit="1" customWidth="1"/>
    <col min="20" max="20" width="30.5" bestFit="1" customWidth="1"/>
    <col min="21" max="21" width="32.33203125" bestFit="1" customWidth="1"/>
    <col min="22" max="22" width="33" bestFit="1" customWidth="1"/>
    <col min="23" max="23" width="30.5" bestFit="1" customWidth="1"/>
    <col min="24" max="24" width="33.6640625" bestFit="1" customWidth="1"/>
    <col min="25" max="25" width="37" bestFit="1" customWidth="1"/>
    <col min="26" max="26" width="31" bestFit="1" customWidth="1"/>
    <col min="27" max="27" width="27.1640625" bestFit="1" customWidth="1"/>
    <col min="28" max="28" width="39.6640625" bestFit="1" customWidth="1"/>
    <col min="29" max="29" width="33.6640625" bestFit="1" customWidth="1"/>
    <col min="30" max="30" width="34.83203125" bestFit="1" customWidth="1"/>
    <col min="31" max="31" width="41.83203125" bestFit="1" customWidth="1"/>
    <col min="32" max="32" width="32.1640625" bestFit="1" customWidth="1"/>
    <col min="33" max="33" width="42.33203125" bestFit="1" customWidth="1"/>
    <col min="34" max="34" width="27" bestFit="1" customWidth="1"/>
    <col min="35" max="35" width="37.1640625" bestFit="1" customWidth="1"/>
    <col min="36" max="36" width="31" bestFit="1" customWidth="1"/>
    <col min="37" max="39" width="31" customWidth="1"/>
    <col min="40" max="40" width="29.5" bestFit="1" customWidth="1"/>
    <col min="41" max="41" width="42.6640625" bestFit="1" customWidth="1"/>
    <col min="42" max="42" width="38.6640625" bestFit="1" customWidth="1"/>
    <col min="43" max="43" width="45.6640625" bestFit="1" customWidth="1"/>
    <col min="44" max="44" width="27" bestFit="1" customWidth="1"/>
    <col min="45" max="45" width="27.6640625" bestFit="1" customWidth="1"/>
    <col min="46" max="46" width="35.33203125" bestFit="1" customWidth="1"/>
  </cols>
  <sheetData>
    <row r="3" spans="2:46" ht="37">
      <c r="B3" s="102" t="s">
        <v>441</v>
      </c>
      <c r="C3" s="69"/>
      <c r="D3" s="69"/>
    </row>
    <row r="4" spans="2:46">
      <c r="B4" s="69"/>
      <c r="C4" s="69"/>
      <c r="D4" s="69"/>
    </row>
    <row r="5" spans="2:46" ht="17" customHeight="1">
      <c r="B5" s="688" t="s">
        <v>613</v>
      </c>
      <c r="C5" s="688"/>
      <c r="D5" s="688"/>
    </row>
    <row r="6" spans="2:46">
      <c r="B6" s="688"/>
      <c r="C6" s="688"/>
      <c r="D6" s="688"/>
      <c r="AN6" s="438"/>
    </row>
    <row r="7" spans="2:46">
      <c r="B7" s="688"/>
      <c r="C7" s="688"/>
      <c r="D7" s="688"/>
      <c r="Q7" s="438"/>
      <c r="R7" s="438"/>
      <c r="AN7" s="438"/>
    </row>
    <row r="8" spans="2:46">
      <c r="B8" s="270"/>
      <c r="C8" s="270"/>
      <c r="D8" s="270"/>
      <c r="Q8" s="438"/>
      <c r="R8" s="438"/>
      <c r="AN8" s="438"/>
    </row>
    <row r="9" spans="2:46">
      <c r="B9" s="285"/>
      <c r="C9" s="285"/>
      <c r="D9" s="285"/>
      <c r="Q9" s="438"/>
      <c r="R9" s="438"/>
    </row>
    <row r="10" spans="2:46">
      <c r="B10" s="332"/>
      <c r="C10" s="332"/>
      <c r="D10" s="332"/>
    </row>
    <row r="11" spans="2:46">
      <c r="B11" s="332"/>
      <c r="C11" s="332"/>
      <c r="D11" s="332"/>
    </row>
    <row r="12" spans="2:46" s="450" customFormat="1" ht="26">
      <c r="B12" s="451" t="s">
        <v>741</v>
      </c>
      <c r="C12" s="449"/>
      <c r="D12" s="449"/>
    </row>
    <row r="13" spans="2:46" ht="17" thickBot="1"/>
    <row r="14" spans="2:46" ht="17" thickBot="1">
      <c r="B14" s="97">
        <v>1</v>
      </c>
      <c r="C14" s="606">
        <v>2</v>
      </c>
      <c r="D14" s="606">
        <v>3</v>
      </c>
      <c r="E14" s="606">
        <v>4</v>
      </c>
      <c r="F14" s="606">
        <v>5</v>
      </c>
      <c r="G14" s="606">
        <v>6</v>
      </c>
      <c r="H14" s="606">
        <v>7</v>
      </c>
      <c r="I14" s="606">
        <v>8</v>
      </c>
      <c r="J14" s="606">
        <v>9</v>
      </c>
      <c r="K14" s="606">
        <v>10</v>
      </c>
      <c r="L14" s="606">
        <v>11</v>
      </c>
      <c r="M14" s="606">
        <v>12</v>
      </c>
      <c r="N14" s="606">
        <v>13</v>
      </c>
      <c r="O14" s="606">
        <v>14</v>
      </c>
      <c r="P14" s="606">
        <v>15</v>
      </c>
      <c r="Q14" s="606">
        <v>16</v>
      </c>
      <c r="R14" s="606">
        <v>17</v>
      </c>
      <c r="S14" s="606">
        <v>18</v>
      </c>
      <c r="T14" s="606">
        <v>19</v>
      </c>
      <c r="U14" s="606">
        <v>20</v>
      </c>
      <c r="V14" s="606">
        <v>21</v>
      </c>
      <c r="W14" s="606">
        <v>22</v>
      </c>
      <c r="X14" s="606">
        <v>23</v>
      </c>
      <c r="Y14" s="606">
        <v>24</v>
      </c>
      <c r="Z14" s="606">
        <v>25</v>
      </c>
      <c r="AA14" s="606">
        <v>26</v>
      </c>
      <c r="AB14" s="606">
        <v>27</v>
      </c>
      <c r="AC14" s="606">
        <v>28</v>
      </c>
      <c r="AD14" s="606">
        <v>29</v>
      </c>
      <c r="AE14" s="606">
        <v>30</v>
      </c>
      <c r="AF14" s="606">
        <v>31</v>
      </c>
      <c r="AG14" s="606">
        <v>32</v>
      </c>
      <c r="AH14" s="606">
        <v>33</v>
      </c>
      <c r="AI14" s="606">
        <v>34</v>
      </c>
      <c r="AJ14" s="606">
        <v>35</v>
      </c>
      <c r="AK14" s="606">
        <v>36</v>
      </c>
      <c r="AL14" s="606">
        <v>37</v>
      </c>
      <c r="AM14" s="606">
        <v>38</v>
      </c>
      <c r="AN14" s="606">
        <v>39</v>
      </c>
      <c r="AO14" s="606">
        <v>40</v>
      </c>
      <c r="AP14" s="606">
        <v>41</v>
      </c>
      <c r="AQ14" s="606">
        <v>42</v>
      </c>
      <c r="AR14" s="606">
        <v>43</v>
      </c>
      <c r="AS14" s="606">
        <v>44</v>
      </c>
      <c r="AT14" s="657"/>
    </row>
    <row r="15" spans="2:46" ht="17" thickBot="1">
      <c r="B15" s="103" t="s">
        <v>323</v>
      </c>
      <c r="C15" s="104" t="s">
        <v>338</v>
      </c>
      <c r="D15" s="104" t="s">
        <v>339</v>
      </c>
      <c r="E15" s="104" t="s">
        <v>340</v>
      </c>
      <c r="F15" s="104" t="s">
        <v>341</v>
      </c>
      <c r="G15" s="104" t="s">
        <v>327</v>
      </c>
      <c r="H15" s="104" t="s">
        <v>328</v>
      </c>
      <c r="I15" s="104" t="s">
        <v>329</v>
      </c>
      <c r="J15" s="104" t="s">
        <v>330</v>
      </c>
      <c r="K15" s="104" t="s">
        <v>331</v>
      </c>
      <c r="L15" s="104" t="s">
        <v>332</v>
      </c>
      <c r="M15" s="104" t="s">
        <v>333</v>
      </c>
      <c r="N15" s="104" t="s">
        <v>1155</v>
      </c>
      <c r="O15" s="104" t="s">
        <v>1156</v>
      </c>
      <c r="P15" s="104" t="s">
        <v>325</v>
      </c>
      <c r="Q15" s="104" t="s">
        <v>373</v>
      </c>
      <c r="R15" s="104" t="s">
        <v>362</v>
      </c>
      <c r="S15" s="104" t="s">
        <v>361</v>
      </c>
      <c r="T15" s="104" t="s">
        <v>326</v>
      </c>
      <c r="U15" s="104" t="s">
        <v>372</v>
      </c>
      <c r="V15" s="104" t="s">
        <v>787</v>
      </c>
      <c r="W15" s="104" t="s">
        <v>365</v>
      </c>
      <c r="X15" s="104" t="s">
        <v>370</v>
      </c>
      <c r="Y15" s="104" t="s">
        <v>366</v>
      </c>
      <c r="Z15" s="104" t="s">
        <v>367</v>
      </c>
      <c r="AA15" s="104" t="s">
        <v>371</v>
      </c>
      <c r="AB15" s="104" t="s">
        <v>386</v>
      </c>
      <c r="AC15" s="104" t="s">
        <v>368</v>
      </c>
      <c r="AD15" s="104" t="s">
        <v>374</v>
      </c>
      <c r="AE15" s="104" t="s">
        <v>375</v>
      </c>
      <c r="AF15" s="104" t="s">
        <v>352</v>
      </c>
      <c r="AG15" s="104" t="s">
        <v>369</v>
      </c>
      <c r="AH15" s="104" t="s">
        <v>334</v>
      </c>
      <c r="AI15" s="104" t="s">
        <v>746</v>
      </c>
      <c r="AJ15" s="104" t="s">
        <v>335</v>
      </c>
      <c r="AK15" s="104" t="s">
        <v>474</v>
      </c>
      <c r="AL15" s="104" t="s">
        <v>336</v>
      </c>
      <c r="AM15" s="104" t="s">
        <v>363</v>
      </c>
      <c r="AN15" s="104" t="s">
        <v>364</v>
      </c>
      <c r="AO15" s="104" t="s">
        <v>600</v>
      </c>
      <c r="AP15" s="104" t="s">
        <v>601</v>
      </c>
      <c r="AQ15" s="104" t="s">
        <v>602</v>
      </c>
      <c r="AR15" s="104" t="s">
        <v>1145</v>
      </c>
      <c r="AS15" s="105" t="s">
        <v>1146</v>
      </c>
      <c r="AT15" s="187"/>
    </row>
    <row r="16" spans="2:46">
      <c r="B16" s="95" t="s">
        <v>1065</v>
      </c>
      <c r="C16" s="23">
        <v>0.19800000000000001</v>
      </c>
      <c r="D16" s="23">
        <v>0.90100000000000002</v>
      </c>
      <c r="E16" s="23">
        <v>0.17599999999999999</v>
      </c>
      <c r="F16" s="23">
        <v>0.86699999999999999</v>
      </c>
      <c r="G16" s="439">
        <v>0.2</v>
      </c>
      <c r="H16" s="439">
        <v>0.33</v>
      </c>
      <c r="I16" s="439">
        <v>8.4000000000000005E-2</v>
      </c>
      <c r="J16" s="439">
        <v>0.21</v>
      </c>
      <c r="K16" s="439">
        <v>2.7E-2</v>
      </c>
      <c r="L16" s="439">
        <v>12</v>
      </c>
      <c r="M16" s="439">
        <v>0</v>
      </c>
      <c r="N16" s="658">
        <v>21495.062802837008</v>
      </c>
      <c r="O16" s="658">
        <v>621941.55480664002</v>
      </c>
      <c r="P16" s="649">
        <v>182366.59642596787</v>
      </c>
      <c r="Q16" s="649">
        <v>96063654.132962674</v>
      </c>
      <c r="R16" s="649">
        <v>28877526.166576117</v>
      </c>
      <c r="S16" s="649">
        <v>117664789.37646028</v>
      </c>
      <c r="T16" s="439">
        <v>2051.11</v>
      </c>
      <c r="U16" s="439">
        <v>97200</v>
      </c>
      <c r="V16" s="658">
        <v>212.65899999999999</v>
      </c>
      <c r="W16" s="649">
        <v>126314.36895010466</v>
      </c>
      <c r="X16" s="649">
        <v>15687998.088285549</v>
      </c>
      <c r="Y16" s="658">
        <v>6362.1765942695838</v>
      </c>
      <c r="Z16" s="649">
        <v>126314.36895010466</v>
      </c>
      <c r="AA16" s="649">
        <v>116111.32321239014</v>
      </c>
      <c r="AB16" s="649">
        <v>1007720.6807502108</v>
      </c>
      <c r="AC16" s="649">
        <v>104427.06627719529</v>
      </c>
      <c r="AD16" s="649">
        <v>40993.732679315202</v>
      </c>
      <c r="AE16" s="658">
        <v>4137.8953617879606</v>
      </c>
      <c r="AF16" s="439">
        <v>1957.97</v>
      </c>
      <c r="AG16" s="439">
        <v>1957.97</v>
      </c>
      <c r="AH16" s="649">
        <v>109157.39353183006</v>
      </c>
      <c r="AI16" s="458">
        <v>0.65744509276650764</v>
      </c>
      <c r="AJ16" s="658">
        <v>62194.155480663998</v>
      </c>
      <c r="AK16" s="649">
        <v>1371274.1030305214</v>
      </c>
      <c r="AL16" s="649">
        <v>1340263.5495367288</v>
      </c>
      <c r="AM16" s="498">
        <v>4.9954999999999999E-2</v>
      </c>
      <c r="AN16" s="498">
        <v>0</v>
      </c>
      <c r="AO16" s="649">
        <v>181503.03767355808</v>
      </c>
      <c r="AP16" s="649">
        <v>20891591.017228793</v>
      </c>
      <c r="AQ16" s="649">
        <v>1234072631.5041521</v>
      </c>
      <c r="AR16" s="439">
        <v>100</v>
      </c>
      <c r="AS16" s="664">
        <v>50</v>
      </c>
      <c r="AT16" s="670"/>
    </row>
    <row r="17" spans="2:46">
      <c r="B17" s="157" t="s">
        <v>1066</v>
      </c>
      <c r="C17" s="96">
        <v>0.19800000000000001</v>
      </c>
      <c r="D17" s="96">
        <v>0.90100000000000002</v>
      </c>
      <c r="E17" s="96">
        <v>0.17599999999999999</v>
      </c>
      <c r="F17" s="96">
        <v>0.86699999999999999</v>
      </c>
      <c r="G17" s="87">
        <v>0.2</v>
      </c>
      <c r="H17" s="87">
        <v>0.33</v>
      </c>
      <c r="I17" s="87">
        <v>8.4000000000000005E-2</v>
      </c>
      <c r="J17" s="87">
        <v>0.21</v>
      </c>
      <c r="K17" s="87">
        <v>2.7E-2</v>
      </c>
      <c r="L17" s="87">
        <v>4</v>
      </c>
      <c r="M17" s="87">
        <v>20</v>
      </c>
      <c r="N17" s="659">
        <v>17639.999357540262</v>
      </c>
      <c r="O17" s="659">
        <v>599619.8647838668</v>
      </c>
      <c r="P17" s="650">
        <v>83992.130625675432</v>
      </c>
      <c r="Q17" s="650">
        <v>49165522.944816239</v>
      </c>
      <c r="R17" s="650">
        <v>6904184.7366183242</v>
      </c>
      <c r="S17" s="650">
        <v>72792742.896961749</v>
      </c>
      <c r="T17" s="87">
        <v>8818.77</v>
      </c>
      <c r="U17" s="87">
        <v>629000</v>
      </c>
      <c r="V17" s="659">
        <v>914.56399999999996</v>
      </c>
      <c r="W17" s="650">
        <v>99867.782054493553</v>
      </c>
      <c r="X17" s="650">
        <v>12245558.814884041</v>
      </c>
      <c r="Y17" s="659">
        <v>5030.1292332876255</v>
      </c>
      <c r="Z17" s="650">
        <v>99867.782054493553</v>
      </c>
      <c r="AA17" s="650">
        <v>92713.924186845717</v>
      </c>
      <c r="AB17" s="650">
        <v>796735.74222972814</v>
      </c>
      <c r="AC17" s="650">
        <v>334011.0034385972</v>
      </c>
      <c r="AD17" s="650">
        <v>120753.35843297929</v>
      </c>
      <c r="AE17" s="659">
        <v>11383.532903208692</v>
      </c>
      <c r="AF17" s="87">
        <v>8476.7099999999991</v>
      </c>
      <c r="AG17" s="87">
        <v>8476.7099999999991</v>
      </c>
      <c r="AH17" s="650">
        <v>106925.22452955265</v>
      </c>
      <c r="AI17" s="494">
        <v>0.77237121255990948</v>
      </c>
      <c r="AJ17" s="659">
        <v>59961.986478386687</v>
      </c>
      <c r="AK17" s="650">
        <v>631564.30970680271</v>
      </c>
      <c r="AL17" s="650">
        <v>4389002.0696078278</v>
      </c>
      <c r="AM17" s="499">
        <v>5.0364299999999997E-3</v>
      </c>
      <c r="AN17" s="499">
        <v>3.5378899999999998E-2</v>
      </c>
      <c r="AO17" s="650">
        <v>83594.403514697668</v>
      </c>
      <c r="AP17" s="650">
        <v>12621534.646739937</v>
      </c>
      <c r="AQ17" s="650">
        <v>568373768.54234207</v>
      </c>
      <c r="AR17" s="87">
        <v>100</v>
      </c>
      <c r="AS17" s="517">
        <v>50</v>
      </c>
      <c r="AT17" s="670"/>
    </row>
    <row r="18" spans="2:46">
      <c r="B18" s="95" t="s">
        <v>1067</v>
      </c>
      <c r="C18" s="23">
        <v>0.19800000000000001</v>
      </c>
      <c r="D18" s="23">
        <v>0.90100000000000002</v>
      </c>
      <c r="E18" s="23">
        <v>0.17599999999999999</v>
      </c>
      <c r="F18" s="23">
        <v>0.86699999999999999</v>
      </c>
      <c r="G18" s="439">
        <v>0.2</v>
      </c>
      <c r="H18" s="439">
        <v>0.33</v>
      </c>
      <c r="I18" s="439">
        <v>8.4000000000000005E-2</v>
      </c>
      <c r="J18" s="439">
        <v>0.21</v>
      </c>
      <c r="K18" s="439">
        <v>2.7E-2</v>
      </c>
      <c r="L18" s="439">
        <v>2</v>
      </c>
      <c r="M18" s="439">
        <v>26</v>
      </c>
      <c r="N18" s="658">
        <v>16406.401332972488</v>
      </c>
      <c r="O18" s="658">
        <v>601472.06904287031</v>
      </c>
      <c r="P18" s="649">
        <v>45837.151503050976</v>
      </c>
      <c r="Q18" s="649">
        <v>30725428.669795968</v>
      </c>
      <c r="R18" s="649">
        <v>3170178.2078126254</v>
      </c>
      <c r="S18" s="649">
        <v>40761246.844765991</v>
      </c>
      <c r="T18" s="439">
        <v>10213.4</v>
      </c>
      <c r="U18" s="439">
        <v>795100</v>
      </c>
      <c r="V18" s="658">
        <v>1059.2</v>
      </c>
      <c r="W18" s="649">
        <v>91635.350550813469</v>
      </c>
      <c r="X18" s="649">
        <v>11173978.363473911</v>
      </c>
      <c r="Y18" s="658">
        <v>4615.4598252771948</v>
      </c>
      <c r="Z18" s="649">
        <v>91635.350550813469</v>
      </c>
      <c r="AA18" s="649">
        <v>85430.659786703764</v>
      </c>
      <c r="AB18" s="649">
        <v>731056.8858188896</v>
      </c>
      <c r="AC18" s="649">
        <v>432829.22044784925</v>
      </c>
      <c r="AD18" s="649">
        <v>149986.47500203957</v>
      </c>
      <c r="AE18" s="658">
        <v>14195.144641037265</v>
      </c>
      <c r="AF18" s="439">
        <v>9772.5300000000007</v>
      </c>
      <c r="AG18" s="439">
        <v>9772.5300000000007</v>
      </c>
      <c r="AH18" s="649">
        <v>107110.44495545304</v>
      </c>
      <c r="AI18" s="458">
        <v>0.83301105478975701</v>
      </c>
      <c r="AJ18" s="658">
        <v>60147.206904287035</v>
      </c>
      <c r="AK18" s="649">
        <v>344664.53859787091</v>
      </c>
      <c r="AL18" s="649">
        <v>5576584.5651101321</v>
      </c>
      <c r="AM18" s="498">
        <v>2.3529100000000002E-3</v>
      </c>
      <c r="AN18" s="498">
        <v>4.2979262999999997E-2</v>
      </c>
      <c r="AO18" s="649">
        <v>45620.099289862024</v>
      </c>
      <c r="AP18" s="649">
        <v>8514291.7716252785</v>
      </c>
      <c r="AQ18" s="649">
        <v>310179469.73083895</v>
      </c>
      <c r="AR18" s="439">
        <v>100</v>
      </c>
      <c r="AS18" s="664">
        <v>50</v>
      </c>
      <c r="AT18" s="670"/>
    </row>
    <row r="19" spans="2:46">
      <c r="B19" s="157" t="s">
        <v>1068</v>
      </c>
      <c r="C19" s="96">
        <v>0.8</v>
      </c>
      <c r="D19" s="96">
        <v>0.91</v>
      </c>
      <c r="E19" s="96">
        <v>0.77600000000000002</v>
      </c>
      <c r="F19" s="96">
        <v>0.97</v>
      </c>
      <c r="G19" s="87">
        <v>0.5</v>
      </c>
      <c r="H19" s="87">
        <v>0.61299999999999999</v>
      </c>
      <c r="I19" s="87">
        <v>0.15</v>
      </c>
      <c r="J19" s="87">
        <v>0.54</v>
      </c>
      <c r="K19" s="87">
        <v>0.13</v>
      </c>
      <c r="L19" s="87">
        <v>12</v>
      </c>
      <c r="M19" s="87">
        <v>0</v>
      </c>
      <c r="N19" s="659">
        <v>3792.4848160826746</v>
      </c>
      <c r="O19" s="87">
        <v>27038.6</v>
      </c>
      <c r="P19" s="87">
        <v>20184.3</v>
      </c>
      <c r="Q19" s="87">
        <v>14170800</v>
      </c>
      <c r="R19" s="87">
        <v>2273200</v>
      </c>
      <c r="S19" s="87">
        <v>92058400</v>
      </c>
      <c r="T19" s="87">
        <v>919.56</v>
      </c>
      <c r="U19" s="87">
        <v>37000</v>
      </c>
      <c r="V19" s="659">
        <v>95.359499999999997</v>
      </c>
      <c r="W19" s="650">
        <v>32340.669862298939</v>
      </c>
      <c r="X19" s="650">
        <v>3506694.5452218526</v>
      </c>
      <c r="Y19" s="659">
        <v>1628.924646602371</v>
      </c>
      <c r="Z19" s="650">
        <v>32340.669862298939</v>
      </c>
      <c r="AA19" s="650">
        <v>33292.341807265278</v>
      </c>
      <c r="AB19" s="650">
        <v>27419.417953912198</v>
      </c>
      <c r="AC19" s="650">
        <v>17090.907612318544</v>
      </c>
      <c r="AD19" s="650">
        <v>12641.141618150743</v>
      </c>
      <c r="AE19" s="659">
        <v>699.81132000272873</v>
      </c>
      <c r="AF19" s="87">
        <v>862.17</v>
      </c>
      <c r="AG19" s="87">
        <v>862.17</v>
      </c>
      <c r="AH19" s="87">
        <v>49662</v>
      </c>
      <c r="AI19" s="494">
        <v>0.1619977496817894</v>
      </c>
      <c r="AJ19" s="659">
        <v>2703.86</v>
      </c>
      <c r="AK19" s="87">
        <v>124162</v>
      </c>
      <c r="AL19" s="87">
        <v>950830</v>
      </c>
      <c r="AM19" s="499">
        <v>4.9793700000000003E-2</v>
      </c>
      <c r="AN19" s="499">
        <v>0</v>
      </c>
      <c r="AO19" s="650">
        <v>19880.400000000001</v>
      </c>
      <c r="AP19" s="650">
        <v>5016950</v>
      </c>
      <c r="AQ19" s="87">
        <v>135272000</v>
      </c>
      <c r="AR19" s="87">
        <v>200</v>
      </c>
      <c r="AS19" s="517">
        <v>200</v>
      </c>
      <c r="AT19" s="670"/>
    </row>
    <row r="20" spans="2:46">
      <c r="B20" s="95" t="s">
        <v>1069</v>
      </c>
      <c r="C20" s="23">
        <v>0.8</v>
      </c>
      <c r="D20" s="23">
        <v>0.91</v>
      </c>
      <c r="E20" s="23">
        <v>0.77600000000000002</v>
      </c>
      <c r="F20" s="23">
        <v>0.97</v>
      </c>
      <c r="G20" s="439">
        <v>0.5</v>
      </c>
      <c r="H20" s="439">
        <v>0.61299999999999999</v>
      </c>
      <c r="I20" s="439">
        <v>0.15</v>
      </c>
      <c r="J20" s="439">
        <v>0.54</v>
      </c>
      <c r="K20" s="439">
        <v>0.13</v>
      </c>
      <c r="L20" s="439">
        <v>4</v>
      </c>
      <c r="M20" s="439">
        <v>20</v>
      </c>
      <c r="N20" s="658">
        <v>3598.2060098382531</v>
      </c>
      <c r="O20" s="439">
        <v>100699</v>
      </c>
      <c r="P20" s="439">
        <v>7461</v>
      </c>
      <c r="Q20" s="439">
        <v>6488800</v>
      </c>
      <c r="R20" s="439">
        <v>796407</v>
      </c>
      <c r="S20" s="439">
        <v>29366900</v>
      </c>
      <c r="T20" s="439">
        <v>2615.8200000000002</v>
      </c>
      <c r="U20" s="439">
        <v>140700</v>
      </c>
      <c r="V20" s="658">
        <v>271.27800000000002</v>
      </c>
      <c r="W20" s="649">
        <v>7877.7296016979653</v>
      </c>
      <c r="X20" s="649">
        <v>1151491.2965567312</v>
      </c>
      <c r="Y20" s="658">
        <v>396.78256711660362</v>
      </c>
      <c r="Z20" s="649">
        <v>7877.7296016979653</v>
      </c>
      <c r="AA20" s="649">
        <v>14660.899338313777</v>
      </c>
      <c r="AB20" s="649">
        <v>62847.676412199799</v>
      </c>
      <c r="AC20" s="649">
        <v>85577.217046832913</v>
      </c>
      <c r="AD20" s="649">
        <v>36018.180319880215</v>
      </c>
      <c r="AE20" s="658">
        <v>2146.2017902672137</v>
      </c>
      <c r="AF20" s="24">
        <v>2509.5149999999999</v>
      </c>
      <c r="AG20" s="24">
        <v>2509.5149999999999</v>
      </c>
      <c r="AH20" s="439">
        <v>57060.9</v>
      </c>
      <c r="AI20" s="458">
        <v>0.63589844740166368</v>
      </c>
      <c r="AJ20" s="658">
        <v>10069.9</v>
      </c>
      <c r="AK20" s="439">
        <v>56101.7</v>
      </c>
      <c r="AL20" s="649">
        <v>2517417.7000000002</v>
      </c>
      <c r="AM20" s="498">
        <v>6.0603000000000002E-3</v>
      </c>
      <c r="AN20" s="498">
        <v>4.2571499999999998E-2</v>
      </c>
      <c r="AO20" s="649">
        <v>7425.67</v>
      </c>
      <c r="AP20" s="649">
        <v>1725650</v>
      </c>
      <c r="AQ20" s="439">
        <v>50488500</v>
      </c>
      <c r="AR20" s="439">
        <v>200</v>
      </c>
      <c r="AS20" s="664">
        <v>200</v>
      </c>
      <c r="AT20" s="670"/>
    </row>
    <row r="21" spans="2:46">
      <c r="B21" s="157" t="s">
        <v>1070</v>
      </c>
      <c r="C21" s="96">
        <v>0.8</v>
      </c>
      <c r="D21" s="96">
        <v>0.91</v>
      </c>
      <c r="E21" s="96">
        <v>0.77600000000000002</v>
      </c>
      <c r="F21" s="96">
        <v>0.97</v>
      </c>
      <c r="G21" s="87">
        <v>0.5</v>
      </c>
      <c r="H21" s="87">
        <v>0.61299999999999999</v>
      </c>
      <c r="I21" s="87">
        <v>0.15</v>
      </c>
      <c r="J21" s="87">
        <v>0.54</v>
      </c>
      <c r="K21" s="87">
        <v>0.13</v>
      </c>
      <c r="L21" s="87">
        <v>2</v>
      </c>
      <c r="M21" s="87">
        <v>26</v>
      </c>
      <c r="N21" s="659">
        <v>3592.4026513621311</v>
      </c>
      <c r="O21" s="87">
        <v>122395</v>
      </c>
      <c r="P21" s="650">
        <v>3726.84</v>
      </c>
      <c r="Q21" s="87">
        <v>4633100</v>
      </c>
      <c r="R21" s="87">
        <v>537132</v>
      </c>
      <c r="S21" s="87">
        <v>29415800</v>
      </c>
      <c r="T21" s="87">
        <v>3292.61</v>
      </c>
      <c r="U21" s="87">
        <v>177700</v>
      </c>
      <c r="V21" s="659">
        <v>341.46600000000001</v>
      </c>
      <c r="W21" s="650">
        <v>2324.9601870333499</v>
      </c>
      <c r="X21" s="650">
        <v>706751.0134964477</v>
      </c>
      <c r="Y21" s="659">
        <v>125.991660553529</v>
      </c>
      <c r="Z21" s="650">
        <v>2324.9601870333499</v>
      </c>
      <c r="AA21" s="650">
        <v>6632.3892198950634</v>
      </c>
      <c r="AB21" s="650">
        <v>19956.175673578109</v>
      </c>
      <c r="AC21" s="650">
        <v>107409.539166359</v>
      </c>
      <c r="AD21" s="650">
        <v>41750.99395900582</v>
      </c>
      <c r="AE21" s="659">
        <v>2397.5621270601628</v>
      </c>
      <c r="AF21" s="87">
        <v>3158.49</v>
      </c>
      <c r="AG21" s="87">
        <v>3158.49</v>
      </c>
      <c r="AH21" s="87">
        <v>59202</v>
      </c>
      <c r="AI21" s="494">
        <v>0.77415388903356153</v>
      </c>
      <c r="AJ21" s="659">
        <v>12239.5</v>
      </c>
      <c r="AK21" s="87">
        <v>9731.73</v>
      </c>
      <c r="AL21" s="87">
        <v>3148114</v>
      </c>
      <c r="AM21" s="499">
        <v>2.3904500000000001E-3</v>
      </c>
      <c r="AN21" s="499">
        <v>4.3662699999999999E-2</v>
      </c>
      <c r="AO21" s="650">
        <v>3554.84</v>
      </c>
      <c r="AP21" s="650">
        <v>845405</v>
      </c>
      <c r="AQ21" s="87">
        <v>23736400</v>
      </c>
      <c r="AR21" s="87">
        <v>200</v>
      </c>
      <c r="AS21" s="517">
        <v>200</v>
      </c>
      <c r="AT21" s="670"/>
    </row>
    <row r="22" spans="2:46" ht="17" thickBot="1">
      <c r="B22" s="101" t="s">
        <v>351</v>
      </c>
      <c r="C22" s="89">
        <f>'Summary Table'!C30</f>
        <v>0.8</v>
      </c>
      <c r="D22" s="89">
        <f>'Summary Table'!C31</f>
        <v>0.91</v>
      </c>
      <c r="E22" s="89">
        <f>'Summary Table'!C32</f>
        <v>0.77600000000000002</v>
      </c>
      <c r="F22" s="89">
        <f>'Summary Table'!C33</f>
        <v>0.97</v>
      </c>
      <c r="G22" s="90">
        <f>'Summary Table'!C34</f>
        <v>0.5</v>
      </c>
      <c r="H22" s="91">
        <f>'Summary Table'!C37</f>
        <v>0.61299999999999999</v>
      </c>
      <c r="I22" s="92">
        <f>'Summary Table'!C38</f>
        <v>0.15</v>
      </c>
      <c r="J22" s="92">
        <f>'Summary Table'!C39</f>
        <v>0.54</v>
      </c>
      <c r="K22" s="92">
        <f>'Summary Table'!C40</f>
        <v>0.13</v>
      </c>
      <c r="L22" s="93">
        <f>'Summary Table'!C41</f>
        <v>4</v>
      </c>
      <c r="M22" s="94">
        <f>'Summary Table'!C42</f>
        <v>20</v>
      </c>
      <c r="N22" s="459">
        <f>O22/AI22/'Constants &amp; Conversions'!H21</f>
        <v>3598.0671944021078</v>
      </c>
      <c r="O22" s="92">
        <f>'Carbon Flow'!V22*'Constants &amp; Conversions'!H21</f>
        <v>100695.11512638073</v>
      </c>
      <c r="P22" s="93">
        <f>('Carbon Flow'!E22/'Carbon Flow'!E56)*P20</f>
        <v>7461.0320514780542</v>
      </c>
      <c r="Q22" s="93">
        <f>(P22/P20)^Economics!K26*Q20</f>
        <v>6488818.8156350069</v>
      </c>
      <c r="R22" s="93">
        <f>('Design Calculations'!C377/'Design Calculations'!C375)*R20</f>
        <v>816899.9782059103</v>
      </c>
      <c r="S22" s="93">
        <f>('Carbon Flow'!E22/'Carbon Flow'!E56)*('Carbon Flow'!D56/'Carbon Flow'!D22)*S20*('Summary Table'!H25/'Summary Table'!C111)</f>
        <v>29367033.698558874</v>
      </c>
      <c r="T22" s="92">
        <f>(('Carbon Flow'!O23+'Carbon Flow'!O24)/('Carbon Flow'!O57+'Carbon Flow'!O58))*T20</f>
        <v>2615.8189676370339</v>
      </c>
      <c r="U22" s="93">
        <f>(T22/T20)^Economics!K28*U20</f>
        <v>140699.97112499666</v>
      </c>
      <c r="V22" s="459">
        <f>(('Carbon Flow'!O23+'Carbon Flow'!O24)/('Carbon Flow'!O57+'Carbon Flow'!O58))*V20</f>
        <v>271.27789293706724</v>
      </c>
      <c r="W22" s="93">
        <f>'Design Calculations'!O78</f>
        <v>7877.7296016979653</v>
      </c>
      <c r="X22" s="93">
        <f>(W22/W20)^Economics!K29*X20</f>
        <v>1151491.2965567312</v>
      </c>
      <c r="Y22" s="459">
        <f>(W22/W20)*Y20</f>
        <v>396.78256711660362</v>
      </c>
      <c r="Z22" s="93">
        <f>'Design Calculations'!O78</f>
        <v>7877.7296016979653</v>
      </c>
      <c r="AA22" s="93">
        <f>(Z22/Z20)^Economics!K30*AA20</f>
        <v>14660.899338313777</v>
      </c>
      <c r="AB22" s="93">
        <f>(Z22/Z20)*AB20</f>
        <v>62847.676412199799</v>
      </c>
      <c r="AC22" s="93">
        <f>'Design Calculations'!P78</f>
        <v>85577.217046832928</v>
      </c>
      <c r="AD22" s="93">
        <f>(AC22/AC20)^Economics!K33*AD20</f>
        <v>36018.180319880223</v>
      </c>
      <c r="AE22" s="459">
        <f>(AC22/AC20)*AE20</f>
        <v>2146.2017902672142</v>
      </c>
      <c r="AF22" s="92">
        <f>'Design Calculations'!P75/'Design Calculations'!C126</f>
        <v>2546.4430624373349</v>
      </c>
      <c r="AG22" s="92">
        <f>'Design Calculations'!P75/'Design Calculations'!C126</f>
        <v>2546.4430624373349</v>
      </c>
      <c r="AH22" s="459">
        <f>'Carbon Flow'!C22*'Constants &amp; Conversions'!H21</f>
        <v>57032.749563804085</v>
      </c>
      <c r="AI22" s="91">
        <f>('Design Calculations'!P77/'Constants &amp; Conversions'!H21+'Carbon Flow'!F22+'Carbon Flow'!K22)/('Design Calculations'!P77/'Constants &amp; Conversions'!H21+'Carbon Flow'!F22+'Carbon Flow'!K22+(('Carbon Flow'!E22-'Carbon Flow'!F22)*6/'Summary Table'!C30*(1-'Summary Table'!C30))*3/2+(('Carbon Flow'!J33-'Carbon Flow'!K33)*2/'Summary Table'!C33*(1-'Summary Table'!C33))*2/2+'Design Calculations'!P76/'Constants &amp; Conversions'!H17)</f>
        <v>0.63589844740166368</v>
      </c>
      <c r="AJ22" s="459">
        <f>'Carbon Flow'!X22*'Constants &amp; Conversions'!H21</f>
        <v>10069.511512638073</v>
      </c>
      <c r="AK22" s="459">
        <f>(P22/P20)*AK20</f>
        <v>56101.941005549706</v>
      </c>
      <c r="AL22" s="93">
        <f>('Carbon Flow'!C56/'Carbon Flow'!C22)*(('Carbon Flow'!M24+'Carbon Flow'!H23)/('Carbon Flow'!M58+'Carbon Flow'!H57))*AL20*('Summary Table'!H25/'Summary Table'!C111)</f>
        <v>2517408.2950159041</v>
      </c>
      <c r="AM22" s="500">
        <f>IF('Summary Table'!C41&gt;'Summary Table'!C42,'Summary Table'!C43,'Summary Table'!C43*(L22*'Constants &amp; Conversions'!H20)/(M22*'Constants &amp; Conversions'!H15))</f>
        <v>6.1208876646600165E-3</v>
      </c>
      <c r="AN22" s="500">
        <f>IF('Summary Table'!C41&lt;'Summary Table'!C42,'Summary Table'!C43,'Summary Table'!C43*(M22*'Constants &amp; Conversions'!H15)/(L22*'Constants &amp; Conversions'!H20))</f>
        <v>4.2999999999999997E-2</v>
      </c>
      <c r="AO22" s="93">
        <f>(AK22/AK20)*AO20</f>
        <v>7425.7018997050054</v>
      </c>
      <c r="AP22" s="93">
        <f>(AK22/AK20)^Economics!K27*AP20</f>
        <v>1725654.8185544154</v>
      </c>
      <c r="AQ22" s="93">
        <f>(AK22/AK20)*AQ20</f>
        <v>50488716.891978256</v>
      </c>
      <c r="AR22" s="94">
        <f>'Summary Table'!C35</f>
        <v>200</v>
      </c>
      <c r="AS22" s="461">
        <f>'Summary Table'!C36</f>
        <v>200</v>
      </c>
      <c r="AT22" s="670"/>
    </row>
    <row r="23" spans="2:46">
      <c r="AO23" s="438"/>
      <c r="AP23" s="438"/>
      <c r="AT23" s="9"/>
    </row>
    <row r="27" spans="2:46" ht="26">
      <c r="B27" s="739" t="s">
        <v>742</v>
      </c>
      <c r="C27" s="739"/>
      <c r="AI27" s="4"/>
    </row>
    <row r="28" spans="2:46" ht="17" thickBot="1"/>
    <row r="29" spans="2:46" ht="17" thickBot="1">
      <c r="B29" s="447">
        <v>1</v>
      </c>
      <c r="C29" s="448">
        <v>2</v>
      </c>
      <c r="D29" s="448">
        <v>3</v>
      </c>
      <c r="E29" s="448">
        <v>4</v>
      </c>
      <c r="F29" s="448">
        <v>5</v>
      </c>
      <c r="G29" s="448">
        <v>6</v>
      </c>
      <c r="H29" s="448">
        <v>7</v>
      </c>
      <c r="I29" s="448">
        <v>8</v>
      </c>
      <c r="J29" s="448">
        <v>9</v>
      </c>
      <c r="K29" s="448">
        <v>10</v>
      </c>
      <c r="L29" s="448">
        <v>11</v>
      </c>
      <c r="M29" s="504">
        <v>12</v>
      </c>
      <c r="N29" s="504">
        <v>13</v>
      </c>
      <c r="O29" s="504">
        <v>14</v>
      </c>
      <c r="P29" s="504">
        <v>15</v>
      </c>
      <c r="Q29" s="504">
        <v>16</v>
      </c>
      <c r="R29" s="504">
        <v>17</v>
      </c>
      <c r="S29" s="504">
        <v>18</v>
      </c>
      <c r="T29" s="504">
        <v>19</v>
      </c>
      <c r="U29" s="505">
        <v>20</v>
      </c>
    </row>
    <row r="30" spans="2:46" ht="17" thickBot="1">
      <c r="B30" s="103" t="s">
        <v>323</v>
      </c>
      <c r="C30" s="104" t="s">
        <v>324</v>
      </c>
      <c r="D30" s="104" t="s">
        <v>964</v>
      </c>
      <c r="E30" s="104" t="s">
        <v>325</v>
      </c>
      <c r="F30" s="104" t="s">
        <v>373</v>
      </c>
      <c r="G30" s="104" t="s">
        <v>362</v>
      </c>
      <c r="H30" s="104" t="s">
        <v>361</v>
      </c>
      <c r="I30" s="104" t="s">
        <v>334</v>
      </c>
      <c r="J30" s="104" t="s">
        <v>747</v>
      </c>
      <c r="K30" s="104" t="s">
        <v>335</v>
      </c>
      <c r="L30" s="104" t="s">
        <v>474</v>
      </c>
      <c r="M30" s="104" t="s">
        <v>336</v>
      </c>
      <c r="N30" s="104" t="s">
        <v>600</v>
      </c>
      <c r="O30" s="104" t="s">
        <v>601</v>
      </c>
      <c r="P30" s="104" t="s">
        <v>602</v>
      </c>
      <c r="Q30" s="104" t="s">
        <v>743</v>
      </c>
      <c r="R30" s="104" t="s">
        <v>744</v>
      </c>
      <c r="S30" s="104" t="s">
        <v>745</v>
      </c>
      <c r="T30" s="104" t="s">
        <v>795</v>
      </c>
      <c r="U30" s="105" t="s">
        <v>796</v>
      </c>
    </row>
    <row r="31" spans="2:46">
      <c r="B31" s="95" t="s">
        <v>1065</v>
      </c>
      <c r="C31" s="661">
        <v>18960.661874349313</v>
      </c>
      <c r="D31" s="663">
        <v>536461.64387196046</v>
      </c>
      <c r="E31" s="663">
        <v>182398.61629479486</v>
      </c>
      <c r="F31" s="663">
        <v>135411740.49399206</v>
      </c>
      <c r="G31" s="649">
        <v>36775010.532809436</v>
      </c>
      <c r="H31" s="649">
        <v>745762781.8217442</v>
      </c>
      <c r="I31" s="649">
        <v>186089.31337304163</v>
      </c>
      <c r="J31" s="458">
        <v>0.64288577154308613</v>
      </c>
      <c r="K31" s="658">
        <v>53646.164387196048</v>
      </c>
      <c r="L31" s="649">
        <v>204154.00078334284</v>
      </c>
      <c r="M31" s="649">
        <v>248299.55197023999</v>
      </c>
      <c r="N31" s="649">
        <v>187576.79126501887</v>
      </c>
      <c r="O31" s="649">
        <v>20930454.525875632</v>
      </c>
      <c r="P31" s="649">
        <v>1297647958.8468599</v>
      </c>
      <c r="Q31" s="453">
        <v>0</v>
      </c>
      <c r="R31" s="453">
        <v>0</v>
      </c>
      <c r="S31" s="453">
        <v>0</v>
      </c>
      <c r="T31" s="453">
        <v>0</v>
      </c>
      <c r="U31" s="456">
        <v>0</v>
      </c>
    </row>
    <row r="32" spans="2:46">
      <c r="B32" s="157" t="s">
        <v>1066</v>
      </c>
      <c r="C32" s="662">
        <v>9922.8011906027186</v>
      </c>
      <c r="D32" s="516">
        <v>280589.02865344367</v>
      </c>
      <c r="E32" s="516">
        <v>84006.877937177866</v>
      </c>
      <c r="F32" s="516">
        <v>56750484.871860757</v>
      </c>
      <c r="G32" s="650">
        <v>8792355.1673022341</v>
      </c>
      <c r="H32" s="650">
        <v>225292143.22451845</v>
      </c>
      <c r="I32" s="650">
        <v>394052.97704693355</v>
      </c>
      <c r="J32" s="494">
        <v>0.64251759778751016</v>
      </c>
      <c r="K32" s="659">
        <v>28058.902865344367</v>
      </c>
      <c r="L32" s="650">
        <v>123643.19570090523</v>
      </c>
      <c r="M32" s="650">
        <v>3214238.1865275777</v>
      </c>
      <c r="N32" s="650">
        <v>86391.777129383918</v>
      </c>
      <c r="O32" s="650">
        <v>12645007.210830158</v>
      </c>
      <c r="P32" s="650">
        <v>597654499.24296951</v>
      </c>
      <c r="Q32" s="239">
        <v>3150.13468978849</v>
      </c>
      <c r="R32" s="650">
        <v>2103402.0533329817</v>
      </c>
      <c r="S32" s="650">
        <v>3707776.3894767873</v>
      </c>
      <c r="T32" s="650">
        <v>3140027.6217988101</v>
      </c>
      <c r="U32" s="517">
        <v>168951.31115434945</v>
      </c>
    </row>
    <row r="33" spans="2:37">
      <c r="B33" s="95" t="s">
        <v>1067</v>
      </c>
      <c r="C33" s="661">
        <v>6454.3769045572863</v>
      </c>
      <c r="D33" s="663">
        <v>182388.15117764307</v>
      </c>
      <c r="E33" s="663">
        <v>45845.199575490195</v>
      </c>
      <c r="F33" s="663">
        <v>37707732.449719444</v>
      </c>
      <c r="G33" s="649">
        <v>4037164.9673416265</v>
      </c>
      <c r="H33" s="649">
        <v>184672468.70068291</v>
      </c>
      <c r="I33" s="649">
        <v>484285.97103415761</v>
      </c>
      <c r="J33" s="458">
        <v>0.64208264280563021</v>
      </c>
      <c r="K33" s="658">
        <v>18238.815117764309</v>
      </c>
      <c r="L33" s="649">
        <v>45363.78169438125</v>
      </c>
      <c r="M33" s="649">
        <v>4295893.1108935112</v>
      </c>
      <c r="N33" s="649">
        <v>47146.714190946746</v>
      </c>
      <c r="O33" s="649">
        <v>8530125.99978262</v>
      </c>
      <c r="P33" s="649">
        <v>326158886.84107023</v>
      </c>
      <c r="Q33" s="24">
        <v>4299.8548037220817</v>
      </c>
      <c r="R33" s="649">
        <v>2898072.6135216644</v>
      </c>
      <c r="S33" s="649">
        <v>5061027.6592631461</v>
      </c>
      <c r="T33" s="649">
        <v>4286065.9291711133</v>
      </c>
      <c r="U33" s="664">
        <v>230614.83163666935</v>
      </c>
    </row>
    <row r="34" spans="2:37">
      <c r="B34" s="157" t="s">
        <v>1068</v>
      </c>
      <c r="C34" s="662">
        <v>3362.7357418768465</v>
      </c>
      <c r="D34" s="516">
        <v>14799.4</v>
      </c>
      <c r="E34" s="516">
        <v>20173.8</v>
      </c>
      <c r="F34" s="454">
        <v>21666500</v>
      </c>
      <c r="G34" s="455">
        <v>2748120</v>
      </c>
      <c r="H34" s="455">
        <v>135923000</v>
      </c>
      <c r="I34" s="650">
        <v>60677.4</v>
      </c>
      <c r="J34" s="494">
        <v>9.9999999999999992E-2</v>
      </c>
      <c r="K34" s="659">
        <v>1479.94</v>
      </c>
      <c r="L34" s="650">
        <v>114883</v>
      </c>
      <c r="M34" s="455">
        <v>97000</v>
      </c>
      <c r="N34" s="650">
        <v>20746.5</v>
      </c>
      <c r="O34" s="455">
        <v>5002950</v>
      </c>
      <c r="P34" s="455">
        <v>143518000</v>
      </c>
      <c r="Q34" s="455">
        <v>0</v>
      </c>
      <c r="R34" s="455">
        <v>0</v>
      </c>
      <c r="S34" s="455">
        <v>0</v>
      </c>
      <c r="T34" s="455">
        <v>0</v>
      </c>
      <c r="U34" s="457">
        <v>0</v>
      </c>
      <c r="AJ34" s="4"/>
      <c r="AK34" s="4"/>
    </row>
    <row r="35" spans="2:37">
      <c r="B35" s="95" t="s">
        <v>1069</v>
      </c>
      <c r="C35" s="661">
        <v>1643.8412639560383</v>
      </c>
      <c r="D35" s="663">
        <v>16303</v>
      </c>
      <c r="E35" s="663">
        <v>7462.31</v>
      </c>
      <c r="F35" s="452">
        <v>10774900</v>
      </c>
      <c r="G35" s="453">
        <v>1014210</v>
      </c>
      <c r="H35" s="453">
        <v>50008500</v>
      </c>
      <c r="I35" s="649">
        <v>133017.29999999999</v>
      </c>
      <c r="J35" s="458">
        <v>0.22534933561937409</v>
      </c>
      <c r="K35" s="658">
        <v>1630.3</v>
      </c>
      <c r="L35" s="649">
        <v>42737.4</v>
      </c>
      <c r="M35" s="453">
        <v>2224650</v>
      </c>
      <c r="N35" s="649">
        <v>7674.16</v>
      </c>
      <c r="O35" s="453">
        <v>2556530</v>
      </c>
      <c r="P35" s="453">
        <v>53089500</v>
      </c>
      <c r="Q35" s="453">
        <v>2323.7199999999998</v>
      </c>
      <c r="R35" s="453">
        <v>1368100</v>
      </c>
      <c r="S35" s="453">
        <v>2578550</v>
      </c>
      <c r="T35" s="453">
        <v>2183520</v>
      </c>
      <c r="U35" s="456">
        <v>117486</v>
      </c>
      <c r="AJ35" s="4"/>
    </row>
    <row r="36" spans="2:37">
      <c r="B36" s="157" t="s">
        <v>1070</v>
      </c>
      <c r="C36" s="662">
        <v>1136.8793191277393</v>
      </c>
      <c r="D36" s="516">
        <v>16740.900000000001</v>
      </c>
      <c r="E36" s="516">
        <v>3714.91</v>
      </c>
      <c r="F36" s="454">
        <v>5832100</v>
      </c>
      <c r="G36" s="455">
        <v>507917</v>
      </c>
      <c r="H36" s="676">
        <v>25245100</v>
      </c>
      <c r="I36" s="650">
        <v>154290.20000000001</v>
      </c>
      <c r="J36" s="494">
        <v>0.33459008503128507</v>
      </c>
      <c r="K36" s="659">
        <v>1674.09</v>
      </c>
      <c r="L36" s="650">
        <v>20963.900000000001</v>
      </c>
      <c r="M36" s="455">
        <v>2850900</v>
      </c>
      <c r="N36" s="650">
        <v>3820.38</v>
      </c>
      <c r="O36" s="455">
        <v>902447</v>
      </c>
      <c r="P36" s="455">
        <v>26426800</v>
      </c>
      <c r="Q36" s="455">
        <v>3007.68</v>
      </c>
      <c r="R36" s="455">
        <v>1897100</v>
      </c>
      <c r="S36" s="455">
        <v>3337500</v>
      </c>
      <c r="T36" s="455">
        <v>2826200</v>
      </c>
      <c r="U36" s="457">
        <v>152066</v>
      </c>
    </row>
    <row r="37" spans="2:37" ht="17" thickBot="1">
      <c r="B37" s="101" t="s">
        <v>351</v>
      </c>
      <c r="C37" s="90">
        <f>D37/'Constants &amp; Conversions'!H21/J37</f>
        <v>1643.4941566138932</v>
      </c>
      <c r="D37" s="460">
        <f>('Carbon Flow'!F33+'Carbon Flow'!K33)*'Constants &amp; Conversions'!H21</f>
        <v>16299.557519802504</v>
      </c>
      <c r="E37" s="460">
        <f>('Carbon Flow'!E33/'Carbon Flow'!E56)*E35</f>
        <v>7462.3420571056431</v>
      </c>
      <c r="F37" s="460">
        <f>(E37/E35)^Economics!K26*F35</f>
        <v>10774931.244079897</v>
      </c>
      <c r="G37" s="460">
        <f>('Design Calculations'!C377/'Design Calculations'!C375)*G35</f>
        <v>1040307.4394075093</v>
      </c>
      <c r="H37" s="93">
        <f>('Carbon Flow'!D33/'Carbon Flow'!D67)*('Summary Table'!C88/L20)*H35</f>
        <v>50008500</v>
      </c>
      <c r="I37" s="93">
        <f>'Carbon Flow'!D22*'Constants &amp; Conversions'!H21-D37*0.9</f>
        <v>132988.7514097245</v>
      </c>
      <c r="J37" s="91">
        <f>('Carbon Flow'!F22+'Carbon Flow'!K33)/('Carbon Flow'!F22+'Carbon Flow'!K33+(('Carbon Flow'!E22-'Carbon Flow'!F22)*6/'Summary Table'!C30*(1-'Summary Table'!C30))*3/2+(('Carbon Flow'!J33-'Carbon Flow'!K33)*2/'Summary Table'!C33*(1-'Summary Table'!C33))*2/2)</f>
        <v>0.22534933561937409</v>
      </c>
      <c r="K37" s="459">
        <f>D37*0.1</f>
        <v>1629.9557519802504</v>
      </c>
      <c r="L37" s="459">
        <f>(E37/E35)*L35</f>
        <v>42737.583594268624</v>
      </c>
      <c r="M37" s="93">
        <f>('Carbon Flow'!C56/'Carbon Flow'!C22)*(('Carbon Flow'!M35+'Carbon Flow'!H34)/('Carbon Flow'!M58+'Carbon Flow'!H57))*AL20*('Summary Table'!H25/'Summary Table'!C111)</f>
        <v>2517408.2950159041</v>
      </c>
      <c r="N37" s="93">
        <f>(E37/E35)*N35</f>
        <v>7674.192967185475</v>
      </c>
      <c r="O37" s="93">
        <f>(L37/L35)^Economics!AG27*O35</f>
        <v>2556537.1386311934</v>
      </c>
      <c r="P37" s="93">
        <f>(L37/L35)*('Carbon Flow'!D33/'Carbon Flow'!D67)*P35</f>
        <v>53089728.065533333</v>
      </c>
      <c r="Q37" s="92">
        <f>(M37/M35)*Q35</f>
        <v>2629.5156556286856</v>
      </c>
      <c r="R37" s="93">
        <f>(Q37/Q35)^Economics!AG28*R35</f>
        <v>1491771.1996662617</v>
      </c>
      <c r="S37" s="93">
        <f>(Q37/Q35)*S35</f>
        <v>2917880.6370050386</v>
      </c>
      <c r="T37" s="93">
        <f>(Q37/Q35)*T35</f>
        <v>2470865.6913820719</v>
      </c>
      <c r="U37" s="461">
        <f>(T37/T35)*U35</f>
        <v>132946.85948272244</v>
      </c>
    </row>
    <row r="40" spans="2:37">
      <c r="H40" s="438"/>
    </row>
    <row r="41" spans="2:37">
      <c r="H41" s="660"/>
    </row>
    <row r="42" spans="2:37" ht="26">
      <c r="B42" s="739" t="s">
        <v>752</v>
      </c>
      <c r="C42" s="739"/>
      <c r="H42" s="438"/>
      <c r="K42" s="438"/>
      <c r="L42" s="438"/>
    </row>
    <row r="43" spans="2:37" ht="17" thickBot="1">
      <c r="K43" s="438"/>
      <c r="L43" s="438"/>
      <c r="Q43" s="438"/>
      <c r="R43" s="438"/>
      <c r="AJ43" s="4"/>
    </row>
    <row r="44" spans="2:37" ht="17" thickBot="1">
      <c r="B44" s="97">
        <v>1</v>
      </c>
      <c r="C44" s="98">
        <v>2</v>
      </c>
      <c r="D44" s="99">
        <v>3</v>
      </c>
      <c r="K44" s="438"/>
      <c r="L44" s="438"/>
      <c r="Q44" s="438"/>
      <c r="R44" s="438"/>
      <c r="S44" s="438"/>
      <c r="T44" s="438"/>
      <c r="U44" s="438"/>
      <c r="V44" s="438"/>
      <c r="W44" s="438"/>
    </row>
    <row r="45" spans="2:37" ht="17" thickBot="1">
      <c r="B45" s="103" t="s">
        <v>323</v>
      </c>
      <c r="C45" s="104" t="s">
        <v>753</v>
      </c>
      <c r="D45" s="105" t="s">
        <v>754</v>
      </c>
      <c r="F45" s="4"/>
      <c r="L45" s="438"/>
      <c r="Q45" s="438"/>
      <c r="R45" s="438"/>
      <c r="S45" s="438"/>
      <c r="T45" s="438"/>
      <c r="U45" s="438"/>
      <c r="V45" s="438"/>
      <c r="W45" s="438"/>
    </row>
    <row r="46" spans="2:37">
      <c r="B46" s="95" t="s">
        <v>1065</v>
      </c>
      <c r="C46" s="452">
        <v>1833790</v>
      </c>
      <c r="D46" s="475">
        <v>1833790</v>
      </c>
      <c r="F46" s="656"/>
      <c r="L46" s="438"/>
    </row>
    <row r="47" spans="2:37">
      <c r="B47" s="157" t="s">
        <v>1066</v>
      </c>
      <c r="C47" s="454">
        <v>8302030</v>
      </c>
      <c r="D47" s="476">
        <v>8302030</v>
      </c>
      <c r="L47" s="438"/>
    </row>
    <row r="48" spans="2:37">
      <c r="B48" s="95" t="s">
        <v>1067</v>
      </c>
      <c r="C48" s="452">
        <v>9606430</v>
      </c>
      <c r="D48" s="475">
        <v>9606430</v>
      </c>
      <c r="L48" s="438"/>
    </row>
    <row r="49" spans="2:12">
      <c r="B49" s="157" t="s">
        <v>1068</v>
      </c>
      <c r="C49" s="454">
        <v>822485</v>
      </c>
      <c r="D49" s="476">
        <v>810353</v>
      </c>
      <c r="L49" s="438"/>
    </row>
    <row r="50" spans="2:12">
      <c r="B50" s="95" t="s">
        <v>1069</v>
      </c>
      <c r="C50" s="452">
        <v>2445630</v>
      </c>
      <c r="D50" s="475">
        <v>2426051</v>
      </c>
    </row>
    <row r="51" spans="2:12">
      <c r="B51" s="157" t="s">
        <v>1070</v>
      </c>
      <c r="C51" s="454">
        <v>3093070</v>
      </c>
      <c r="D51" s="476">
        <v>3071222</v>
      </c>
    </row>
    <row r="52" spans="2:12" ht="17" thickBot="1">
      <c r="B52" s="101" t="s">
        <v>351</v>
      </c>
      <c r="C52" s="460">
        <f>(T22/T20)*C50</f>
        <v>2445629.0348044434</v>
      </c>
      <c r="D52" s="477">
        <f>(T22/T20)*D50</f>
        <v>2426050.0425315173</v>
      </c>
    </row>
  </sheetData>
  <mergeCells count="3">
    <mergeCell ref="B5:D7"/>
    <mergeCell ref="B27:C27"/>
    <mergeCell ref="B42:C42"/>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C188C-C516-B041-BF6C-238C3F41851A}">
  <dimension ref="A3:O99"/>
  <sheetViews>
    <sheetView topLeftCell="F5" zoomScale="75" zoomScaleNormal="100" workbookViewId="0">
      <selection activeCell="H17" sqref="H17:J81"/>
    </sheetView>
  </sheetViews>
  <sheetFormatPr baseColWidth="10" defaultRowHeight="16"/>
  <cols>
    <col min="2" max="2" width="54.33203125" bestFit="1" customWidth="1"/>
    <col min="3" max="3" width="12.1640625" bestFit="1" customWidth="1"/>
    <col min="5" max="5" width="14.33203125" bestFit="1" customWidth="1"/>
    <col min="6" max="6" width="26.6640625" bestFit="1" customWidth="1"/>
    <col min="7" max="7" width="14" customWidth="1"/>
    <col min="8" max="8" width="32" bestFit="1" customWidth="1"/>
    <col min="9" max="9" width="37.6640625" bestFit="1" customWidth="1"/>
    <col min="10" max="10" width="61.33203125" customWidth="1"/>
  </cols>
  <sheetData>
    <row r="3" spans="2:10" ht="37">
      <c r="B3" s="689" t="s">
        <v>867</v>
      </c>
      <c r="C3" s="689"/>
      <c r="D3" s="689"/>
      <c r="E3" s="689"/>
      <c r="F3" s="69"/>
      <c r="G3" s="234"/>
      <c r="H3" s="234"/>
      <c r="I3" s="234"/>
    </row>
    <row r="4" spans="2:10">
      <c r="B4" s="69"/>
      <c r="C4" s="69"/>
      <c r="D4" s="69"/>
      <c r="E4" s="69"/>
      <c r="F4" s="69"/>
      <c r="G4" s="234"/>
      <c r="H4" s="234"/>
      <c r="I4" s="234"/>
    </row>
    <row r="5" spans="2:10" ht="16" customHeight="1">
      <c r="B5" s="688" t="s">
        <v>807</v>
      </c>
      <c r="C5" s="688"/>
      <c r="D5" s="688"/>
      <c r="E5" s="688"/>
      <c r="F5" s="688"/>
      <c r="G5" s="286"/>
      <c r="H5" s="286"/>
      <c r="I5" s="234"/>
    </row>
    <row r="6" spans="2:10">
      <c r="B6" s="688"/>
      <c r="C6" s="688"/>
      <c r="D6" s="688"/>
      <c r="E6" s="688"/>
      <c r="F6" s="688"/>
      <c r="G6" s="286"/>
      <c r="H6" s="286"/>
      <c r="I6" s="234"/>
    </row>
    <row r="7" spans="2:10">
      <c r="B7" s="688"/>
      <c r="C7" s="688"/>
      <c r="D7" s="688"/>
      <c r="E7" s="688"/>
      <c r="F7" s="688"/>
      <c r="G7" s="286"/>
      <c r="H7" s="286"/>
      <c r="I7" s="234"/>
    </row>
    <row r="8" spans="2:10">
      <c r="B8" s="522"/>
      <c r="C8" s="522"/>
      <c r="D8" s="522"/>
      <c r="E8" s="522"/>
      <c r="F8" s="522"/>
      <c r="G8" s="286"/>
      <c r="H8" s="286"/>
      <c r="I8" s="234"/>
    </row>
    <row r="9" spans="2:10">
      <c r="B9" s="503"/>
      <c r="C9" s="503"/>
      <c r="D9" s="503"/>
      <c r="E9" s="503"/>
      <c r="F9" s="503"/>
      <c r="G9" s="286"/>
      <c r="H9" s="286"/>
      <c r="I9" s="234"/>
    </row>
    <row r="13" spans="2:10" ht="26">
      <c r="B13" s="268" t="s">
        <v>798</v>
      </c>
      <c r="H13" s="535" t="s">
        <v>865</v>
      </c>
      <c r="I13" s="535"/>
    </row>
    <row r="14" spans="2:10" ht="17" thickBot="1"/>
    <row r="15" spans="2:10" ht="17" thickBot="1">
      <c r="B15" s="114" t="s">
        <v>644</v>
      </c>
      <c r="C15" s="115" t="s">
        <v>218</v>
      </c>
      <c r="D15" s="115" t="s">
        <v>217</v>
      </c>
      <c r="E15" s="116" t="s">
        <v>1028</v>
      </c>
      <c r="H15" s="160" t="s">
        <v>803</v>
      </c>
      <c r="I15" s="167" t="s">
        <v>802</v>
      </c>
      <c r="J15" s="672" t="s">
        <v>864</v>
      </c>
    </row>
    <row r="16" spans="2:10">
      <c r="B16" s="153" t="s">
        <v>69</v>
      </c>
      <c r="C16" s="17"/>
      <c r="D16" s="17"/>
      <c r="E16" s="368"/>
      <c r="H16" s="530" t="s">
        <v>351</v>
      </c>
      <c r="I16" s="532" t="s">
        <v>806</v>
      </c>
      <c r="J16" s="533" t="s">
        <v>806</v>
      </c>
    </row>
    <row r="17" spans="2:10">
      <c r="B17" s="132" t="s">
        <v>67</v>
      </c>
      <c r="C17" s="54">
        <f>0.03/'Constants &amp; Conversions'!D26*('Constants &amp; Conversions'!R19*'Constants &amp; Conversions'!R18/'Constants &amp; Conversions'!D28^2+'Constants &amp; Conversions'!R17/'Constants &amp; Conversions'!D28)</f>
        <v>2.1718683666666665E-2</v>
      </c>
      <c r="D17" s="54" t="s">
        <v>64</v>
      </c>
      <c r="E17" s="55" t="s">
        <v>1030</v>
      </c>
      <c r="H17" s="308" t="s">
        <v>849</v>
      </c>
      <c r="I17" s="9" t="s">
        <v>804</v>
      </c>
      <c r="J17" s="673">
        <f>31.8344608</f>
        <v>31.834460799999999</v>
      </c>
    </row>
    <row r="18" spans="2:10">
      <c r="B18" s="308" t="s">
        <v>1031</v>
      </c>
      <c r="C18" s="9">
        <f>3.91/'Constants &amp; Conversions'!D28/('Constants &amp; Conversions'!D33*'Constants &amp; Conversions'!R20)/'Constants &amp; Conversions'!R21*('Constants &amp; Conversions'!R19*'Constants &amp; Conversions'!R18/'Constants &amp; Conversions'!D28^2+'Constants &amp; Conversions'!R17/'Constants &amp; Conversions'!D28)</f>
        <v>1.0868746646441437E-2</v>
      </c>
      <c r="D18" s="9" t="s">
        <v>64</v>
      </c>
      <c r="E18" s="263" t="s">
        <v>1029</v>
      </c>
      <c r="H18" s="132" t="s">
        <v>816</v>
      </c>
      <c r="I18" s="54" t="s">
        <v>805</v>
      </c>
      <c r="J18" s="525">
        <f>5.543044324</f>
        <v>5.5430443240000002</v>
      </c>
    </row>
    <row r="19" spans="2:10">
      <c r="B19" s="132"/>
      <c r="C19" s="54"/>
      <c r="D19" s="54"/>
      <c r="E19" s="55"/>
      <c r="H19" s="308" t="s">
        <v>850</v>
      </c>
      <c r="I19" s="9" t="s">
        <v>805</v>
      </c>
      <c r="J19" s="673">
        <f>35.8137684</f>
        <v>35.813768400000001</v>
      </c>
    </row>
    <row r="20" spans="2:10">
      <c r="B20" s="153" t="s">
        <v>67</v>
      </c>
      <c r="C20" s="9"/>
      <c r="D20" s="9"/>
      <c r="E20" s="263"/>
      <c r="H20" s="132" t="s">
        <v>841</v>
      </c>
      <c r="I20" s="54" t="s">
        <v>804</v>
      </c>
      <c r="J20" s="525">
        <f>4.323279666</f>
        <v>4.3232796660000004</v>
      </c>
    </row>
    <row r="21" spans="2:10">
      <c r="B21" s="223" t="s">
        <v>351</v>
      </c>
      <c r="C21" s="469" t="s">
        <v>806</v>
      </c>
      <c r="D21" s="54"/>
      <c r="E21" s="55"/>
      <c r="H21" s="308" t="s">
        <v>842</v>
      </c>
      <c r="I21" s="9" t="s">
        <v>804</v>
      </c>
      <c r="J21" s="673">
        <f>17.94</f>
        <v>17.940000000000001</v>
      </c>
    </row>
    <row r="22" spans="2:10">
      <c r="B22" s="308" t="s">
        <v>1019</v>
      </c>
      <c r="C22" s="9">
        <v>0.03</v>
      </c>
      <c r="D22" s="9" t="s">
        <v>344</v>
      </c>
      <c r="E22" s="263"/>
      <c r="H22" s="132" t="s">
        <v>808</v>
      </c>
      <c r="I22" s="54" t="s">
        <v>805</v>
      </c>
      <c r="J22" s="525">
        <f>31.8344608</f>
        <v>31.834460799999999</v>
      </c>
    </row>
    <row r="23" spans="2:10">
      <c r="B23" s="132" t="s">
        <v>1020</v>
      </c>
      <c r="C23" s="54">
        <v>0.10199999999999999</v>
      </c>
      <c r="D23" s="54" t="s">
        <v>344</v>
      </c>
      <c r="E23" s="55"/>
      <c r="H23" s="308" t="s">
        <v>809</v>
      </c>
      <c r="I23" s="9" t="s">
        <v>805</v>
      </c>
      <c r="J23" s="673">
        <f>5</f>
        <v>5</v>
      </c>
    </row>
    <row r="24" spans="2:10">
      <c r="B24" s="308" t="s">
        <v>1021</v>
      </c>
      <c r="C24" s="9">
        <v>6.4799999999999996E-2</v>
      </c>
      <c r="D24" s="9" t="s">
        <v>344</v>
      </c>
      <c r="E24" s="263"/>
      <c r="H24" s="132" t="s">
        <v>843</v>
      </c>
      <c r="I24" s="54" t="s">
        <v>804</v>
      </c>
      <c r="J24" s="525">
        <f>3.714581368</f>
        <v>3.7145813680000002</v>
      </c>
    </row>
    <row r="25" spans="2:10">
      <c r="B25" s="132" t="s">
        <v>1022</v>
      </c>
      <c r="C25" s="54">
        <v>4.4999999999999998E-2</v>
      </c>
      <c r="D25" s="54" t="s">
        <v>344</v>
      </c>
      <c r="E25" s="55"/>
      <c r="H25" s="308" t="s">
        <v>810</v>
      </c>
      <c r="I25" s="9" t="s">
        <v>805</v>
      </c>
      <c r="J25" s="673">
        <f>5</f>
        <v>5</v>
      </c>
    </row>
    <row r="26" spans="2:10">
      <c r="B26" s="308" t="s">
        <v>1023</v>
      </c>
      <c r="C26" s="9">
        <v>4.4999999999999998E-2</v>
      </c>
      <c r="D26" s="9" t="s">
        <v>344</v>
      </c>
      <c r="E26" s="263"/>
      <c r="H26" s="132" t="s">
        <v>811</v>
      </c>
      <c r="I26" s="54" t="s">
        <v>805</v>
      </c>
      <c r="J26" s="525">
        <f>28.14081443</f>
        <v>28.140814429999999</v>
      </c>
    </row>
    <row r="27" spans="2:10">
      <c r="B27" s="132" t="s">
        <v>1024</v>
      </c>
      <c r="C27" s="54">
        <v>1.35E-2</v>
      </c>
      <c r="D27" s="54" t="s">
        <v>344</v>
      </c>
      <c r="E27" s="55"/>
      <c r="H27" s="308" t="s">
        <v>812</v>
      </c>
      <c r="I27" s="9" t="s">
        <v>804</v>
      </c>
      <c r="J27" s="673">
        <f>49.779548</f>
        <v>49.779547999999998</v>
      </c>
    </row>
    <row r="28" spans="2:10" ht="17" thickBot="1">
      <c r="B28" s="312" t="s">
        <v>1025</v>
      </c>
      <c r="C28" s="139">
        <v>0.02</v>
      </c>
      <c r="D28" s="139" t="s">
        <v>344</v>
      </c>
      <c r="E28" s="266"/>
      <c r="H28" s="132" t="s">
        <v>813</v>
      </c>
      <c r="I28" s="54" t="s">
        <v>805</v>
      </c>
      <c r="J28" s="525">
        <f>2.3492</f>
        <v>2.3492000000000002</v>
      </c>
    </row>
    <row r="29" spans="2:10">
      <c r="H29" s="308" t="s">
        <v>814</v>
      </c>
      <c r="I29" s="9" t="s">
        <v>805</v>
      </c>
      <c r="J29" s="673">
        <f>72.8252</f>
        <v>72.825199999999995</v>
      </c>
    </row>
    <row r="30" spans="2:10">
      <c r="H30" s="132" t="s">
        <v>815</v>
      </c>
      <c r="I30" s="54" t="s">
        <v>805</v>
      </c>
      <c r="J30" s="525">
        <f>62.2538</f>
        <v>62.253799999999998</v>
      </c>
    </row>
    <row r="31" spans="2:10">
      <c r="H31" s="308" t="s">
        <v>818</v>
      </c>
      <c r="I31" s="9" t="s">
        <v>805</v>
      </c>
      <c r="J31" s="673">
        <f>52.38716</f>
        <v>52.387160000000002</v>
      </c>
    </row>
    <row r="32" spans="2:10">
      <c r="H32" s="132" t="s">
        <v>844</v>
      </c>
      <c r="I32" s="54" t="s">
        <v>804</v>
      </c>
      <c r="J32" s="525">
        <f>1.246309767</f>
        <v>1.2463097670000001</v>
      </c>
    </row>
    <row r="33" spans="1:15" ht="26">
      <c r="B33" s="268" t="s">
        <v>1034</v>
      </c>
      <c r="H33" s="308" t="s">
        <v>819</v>
      </c>
      <c r="I33" s="9" t="s">
        <v>805</v>
      </c>
      <c r="J33" s="673">
        <f>29.365</f>
        <v>29.364999999999998</v>
      </c>
    </row>
    <row r="34" spans="1:15" ht="17" thickBot="1">
      <c r="H34" s="132" t="s">
        <v>845</v>
      </c>
      <c r="I34" s="54" t="s">
        <v>804</v>
      </c>
      <c r="J34" s="525">
        <f>5.715677025</f>
        <v>5.7156770249999997</v>
      </c>
    </row>
    <row r="35" spans="1:15" ht="17" thickBot="1">
      <c r="B35" s="114" t="s">
        <v>644</v>
      </c>
      <c r="C35" s="115" t="s">
        <v>218</v>
      </c>
      <c r="D35" s="115" t="s">
        <v>217</v>
      </c>
      <c r="H35" s="308" t="s">
        <v>846</v>
      </c>
      <c r="I35" s="9" t="s">
        <v>804</v>
      </c>
      <c r="J35" s="673">
        <f>4.41154092</f>
        <v>4.4115409200000002</v>
      </c>
    </row>
    <row r="36" spans="1:15">
      <c r="B36" s="600" t="s">
        <v>1036</v>
      </c>
      <c r="C36" s="601">
        <v>5250</v>
      </c>
      <c r="D36" s="602" t="s">
        <v>63</v>
      </c>
      <c r="H36" s="132" t="s">
        <v>820</v>
      </c>
      <c r="I36" s="54" t="s">
        <v>805</v>
      </c>
      <c r="J36" s="525">
        <f>34.83492993</f>
        <v>34.834929930000001</v>
      </c>
    </row>
    <row r="37" spans="1:15">
      <c r="B37" s="223" t="s">
        <v>1037</v>
      </c>
      <c r="C37" s="378">
        <v>2200</v>
      </c>
      <c r="D37" s="373" t="s">
        <v>63</v>
      </c>
      <c r="H37" s="308" t="s">
        <v>860</v>
      </c>
      <c r="I37" s="9" t="s">
        <v>805</v>
      </c>
      <c r="J37" s="673">
        <f>39.3491</f>
        <v>39.3491</v>
      </c>
    </row>
    <row r="38" spans="1:15" ht="17" thickBot="1">
      <c r="B38" s="305" t="s">
        <v>1038</v>
      </c>
      <c r="C38" s="528">
        <v>2050</v>
      </c>
      <c r="D38" s="394" t="s">
        <v>63</v>
      </c>
      <c r="H38" s="132" t="s">
        <v>821</v>
      </c>
      <c r="I38" s="54" t="s">
        <v>805</v>
      </c>
      <c r="J38" s="525">
        <f>2.608539</f>
        <v>2.6085389999999999</v>
      </c>
    </row>
    <row r="39" spans="1:15">
      <c r="H39" s="674" t="s">
        <v>861</v>
      </c>
      <c r="I39" s="9" t="s">
        <v>804</v>
      </c>
      <c r="J39" s="673">
        <f>1.176775165</f>
        <v>1.176775165</v>
      </c>
    </row>
    <row r="40" spans="1:15">
      <c r="H40" s="132" t="s">
        <v>822</v>
      </c>
      <c r="I40" s="54" t="s">
        <v>805</v>
      </c>
      <c r="J40" s="525">
        <f>14.0952</f>
        <v>14.0952</v>
      </c>
    </row>
    <row r="41" spans="1:15">
      <c r="H41" s="308" t="s">
        <v>823</v>
      </c>
      <c r="I41" s="9" t="s">
        <v>805</v>
      </c>
      <c r="J41" s="673">
        <f>101.4745521</f>
        <v>101.4745521</v>
      </c>
    </row>
    <row r="42" spans="1:15">
      <c r="H42" s="132" t="s">
        <v>1162</v>
      </c>
      <c r="I42" s="54" t="s">
        <v>805</v>
      </c>
      <c r="J42" s="525">
        <f>40.124336</f>
        <v>40.124336</v>
      </c>
      <c r="M42" s="5"/>
      <c r="N42" s="5"/>
      <c r="O42" s="524"/>
    </row>
    <row r="43" spans="1:15">
      <c r="H43" s="308" t="s">
        <v>1163</v>
      </c>
      <c r="I43" s="9" t="s">
        <v>805</v>
      </c>
      <c r="J43" s="673">
        <f>23.492</f>
        <v>23.492000000000001</v>
      </c>
    </row>
    <row r="44" spans="1:15">
      <c r="A44" s="5"/>
      <c r="B44" s="5"/>
      <c r="C44" s="5"/>
      <c r="D44" s="5"/>
      <c r="E44" s="5"/>
      <c r="F44" s="5"/>
      <c r="H44" s="132" t="s">
        <v>1164</v>
      </c>
      <c r="I44" s="54" t="s">
        <v>805</v>
      </c>
      <c r="J44" s="525">
        <f>19.896538</f>
        <v>19.896538</v>
      </c>
    </row>
    <row r="45" spans="1:15">
      <c r="A45" s="5"/>
      <c r="B45" s="5"/>
      <c r="C45" s="5"/>
      <c r="D45" s="5"/>
      <c r="E45" s="5"/>
      <c r="F45" s="5"/>
      <c r="H45" s="308" t="s">
        <v>852</v>
      </c>
      <c r="I45" s="9" t="s">
        <v>804</v>
      </c>
      <c r="J45" s="673">
        <f>6.5</f>
        <v>6.5</v>
      </c>
    </row>
    <row r="46" spans="1:15">
      <c r="A46" s="5"/>
      <c r="B46" s="5"/>
      <c r="C46" s="5"/>
      <c r="D46" s="5"/>
      <c r="E46" s="5"/>
      <c r="F46" s="5"/>
      <c r="H46" s="132" t="s">
        <v>824</v>
      </c>
      <c r="I46" s="54" t="s">
        <v>805</v>
      </c>
      <c r="J46" s="525">
        <f>3.17955</f>
        <v>3.1795499999999999</v>
      </c>
    </row>
    <row r="47" spans="1:15">
      <c r="A47" s="5"/>
      <c r="B47" s="9"/>
      <c r="C47" s="9"/>
      <c r="D47" s="9"/>
      <c r="E47" s="9"/>
      <c r="F47" s="5"/>
      <c r="H47" s="308" t="s">
        <v>858</v>
      </c>
      <c r="I47" s="9" t="s">
        <v>805</v>
      </c>
      <c r="J47" s="673">
        <f>AVERAGE(J46,J48)</f>
        <v>1.7722605</v>
      </c>
    </row>
    <row r="48" spans="1:15">
      <c r="A48" s="5"/>
      <c r="B48" s="5"/>
      <c r="C48" s="5"/>
      <c r="D48" s="5"/>
      <c r="E48" s="5"/>
      <c r="F48" s="5"/>
      <c r="H48" s="132" t="s">
        <v>825</v>
      </c>
      <c r="I48" s="54" t="s">
        <v>805</v>
      </c>
      <c r="J48" s="525">
        <f>0.364971</f>
        <v>0.36497099999999999</v>
      </c>
    </row>
    <row r="49" spans="1:10">
      <c r="A49" s="5"/>
      <c r="B49" s="5"/>
      <c r="C49" s="5"/>
      <c r="D49" s="5"/>
      <c r="E49" s="5"/>
      <c r="F49" s="5"/>
      <c r="H49" s="308" t="s">
        <v>1165</v>
      </c>
      <c r="I49" s="9" t="s">
        <v>804</v>
      </c>
      <c r="J49" s="673">
        <f>28.1904</f>
        <v>28.1904</v>
      </c>
    </row>
    <row r="50" spans="1:10">
      <c r="A50" s="5"/>
      <c r="B50" s="5"/>
      <c r="C50" s="5"/>
      <c r="D50" s="5"/>
      <c r="E50" s="5"/>
      <c r="F50" s="5"/>
      <c r="H50" s="132" t="s">
        <v>1166</v>
      </c>
      <c r="I50" s="54" t="s">
        <v>805</v>
      </c>
      <c r="J50" s="525">
        <f>35.238</f>
        <v>35.238</v>
      </c>
    </row>
    <row r="51" spans="1:10">
      <c r="H51" s="308" t="s">
        <v>1168</v>
      </c>
      <c r="I51" s="9" t="s">
        <v>805</v>
      </c>
      <c r="J51" s="673">
        <f>31.83446</f>
        <v>31.83446</v>
      </c>
    </row>
    <row r="52" spans="1:10">
      <c r="H52" s="132" t="s">
        <v>826</v>
      </c>
      <c r="I52" s="54" t="s">
        <v>804</v>
      </c>
      <c r="J52" s="525">
        <f>25.75989</f>
        <v>25.759889999999999</v>
      </c>
    </row>
    <row r="53" spans="1:10">
      <c r="H53" s="308" t="s">
        <v>862</v>
      </c>
      <c r="I53" s="9" t="s">
        <v>805</v>
      </c>
      <c r="J53" s="673">
        <f>23.87585</f>
        <v>23.87585</v>
      </c>
    </row>
    <row r="54" spans="1:10">
      <c r="H54" s="132" t="s">
        <v>863</v>
      </c>
      <c r="I54" s="54" t="s">
        <v>817</v>
      </c>
      <c r="J54" s="525">
        <f>23.8758456</f>
        <v>23.875845600000002</v>
      </c>
    </row>
    <row r="55" spans="1:10">
      <c r="H55" s="308" t="s">
        <v>827</v>
      </c>
      <c r="I55" s="9" t="s">
        <v>805</v>
      </c>
      <c r="J55" s="673">
        <f>69.32632641</f>
        <v>69.326326409999993</v>
      </c>
    </row>
    <row r="56" spans="1:10">
      <c r="H56" s="132" t="s">
        <v>859</v>
      </c>
      <c r="I56" s="54" t="s">
        <v>805</v>
      </c>
      <c r="J56" s="525">
        <f>AVERAGE(J55,J57)</f>
        <v>36.598669779999994</v>
      </c>
    </row>
    <row r="57" spans="1:10">
      <c r="H57" s="308" t="s">
        <v>828</v>
      </c>
      <c r="I57" s="9" t="s">
        <v>817</v>
      </c>
      <c r="J57" s="673">
        <f>3.87101315</f>
        <v>3.87101315</v>
      </c>
    </row>
    <row r="58" spans="1:10">
      <c r="H58" s="132" t="s">
        <v>1167</v>
      </c>
      <c r="I58" s="54" t="s">
        <v>804</v>
      </c>
      <c r="J58" s="525">
        <f>19.65777955</f>
        <v>19.657779550000001</v>
      </c>
    </row>
    <row r="59" spans="1:10">
      <c r="H59" s="308" t="s">
        <v>829</v>
      </c>
      <c r="I59" s="9" t="s">
        <v>805</v>
      </c>
      <c r="J59" s="673">
        <f>0.078624328</f>
        <v>7.8624327999999993E-2</v>
      </c>
    </row>
    <row r="60" spans="1:10">
      <c r="H60" s="132" t="s">
        <v>830</v>
      </c>
      <c r="I60" s="54" t="s">
        <v>805</v>
      </c>
      <c r="J60" s="525">
        <f>28.1904</f>
        <v>28.1904</v>
      </c>
    </row>
    <row r="61" spans="1:10">
      <c r="H61" s="308" t="s">
        <v>853</v>
      </c>
      <c r="I61" s="9" t="s">
        <v>805</v>
      </c>
      <c r="J61" s="673">
        <f>23.87585</f>
        <v>23.87585</v>
      </c>
    </row>
    <row r="62" spans="1:10">
      <c r="H62" s="132" t="s">
        <v>854</v>
      </c>
      <c r="I62" s="54" t="s">
        <v>804</v>
      </c>
      <c r="J62" s="525">
        <f>17.94</f>
        <v>17.940000000000001</v>
      </c>
    </row>
    <row r="63" spans="1:10">
      <c r="H63" s="308" t="s">
        <v>855</v>
      </c>
      <c r="I63" s="9" t="s">
        <v>804</v>
      </c>
      <c r="J63" s="673">
        <f>8.69</f>
        <v>8.69</v>
      </c>
    </row>
    <row r="64" spans="1:10">
      <c r="H64" s="132" t="s">
        <v>856</v>
      </c>
      <c r="I64" s="54" t="s">
        <v>804</v>
      </c>
      <c r="J64" s="525">
        <f>5.415651232</f>
        <v>5.4156512320000001</v>
      </c>
    </row>
    <row r="65" spans="8:10">
      <c r="H65" s="308" t="s">
        <v>1169</v>
      </c>
      <c r="I65" s="9" t="s">
        <v>804</v>
      </c>
      <c r="J65" s="673">
        <f>31.8344608</f>
        <v>31.834460799999999</v>
      </c>
    </row>
    <row r="66" spans="8:10">
      <c r="H66" s="132" t="s">
        <v>847</v>
      </c>
      <c r="I66" s="54" t="s">
        <v>804</v>
      </c>
      <c r="J66" s="525">
        <f>6.315244849</f>
        <v>6.3152448489999999</v>
      </c>
    </row>
    <row r="67" spans="8:10">
      <c r="H67" s="308" t="s">
        <v>848</v>
      </c>
      <c r="I67" s="9" t="s">
        <v>804</v>
      </c>
      <c r="J67" s="673">
        <f>1.12000487</f>
        <v>1.12000487</v>
      </c>
    </row>
    <row r="68" spans="8:10">
      <c r="H68" s="132" t="s">
        <v>831</v>
      </c>
      <c r="I68" s="54" t="s">
        <v>805</v>
      </c>
      <c r="J68" s="525">
        <f>3.713606655</f>
        <v>3.713606655</v>
      </c>
    </row>
    <row r="69" spans="8:10">
      <c r="H69" s="308" t="s">
        <v>832</v>
      </c>
      <c r="I69" s="9" t="s">
        <v>805</v>
      </c>
      <c r="J69" s="673">
        <f>20.32058</f>
        <v>20.32058</v>
      </c>
    </row>
    <row r="70" spans="8:10">
      <c r="H70" s="132" t="s">
        <v>833</v>
      </c>
      <c r="I70" s="54" t="s">
        <v>805</v>
      </c>
      <c r="J70" s="525">
        <f>9.150942752</f>
        <v>9.1509427520000006</v>
      </c>
    </row>
    <row r="71" spans="8:10">
      <c r="H71" s="308" t="s">
        <v>851</v>
      </c>
      <c r="I71" s="9" t="s">
        <v>804</v>
      </c>
      <c r="J71" s="673">
        <f>15.89263641</f>
        <v>15.89263641</v>
      </c>
    </row>
    <row r="72" spans="8:10">
      <c r="H72" s="132" t="s">
        <v>834</v>
      </c>
      <c r="I72" s="54" t="s">
        <v>805</v>
      </c>
      <c r="J72" s="525">
        <f>17.619</f>
        <v>17.619</v>
      </c>
    </row>
    <row r="73" spans="8:10">
      <c r="H73" s="308" t="s">
        <v>835</v>
      </c>
      <c r="I73" s="9" t="s">
        <v>805</v>
      </c>
      <c r="J73" s="673">
        <f>137.2432408</f>
        <v>137.2432408</v>
      </c>
    </row>
    <row r="74" spans="8:10">
      <c r="H74" s="132" t="s">
        <v>838</v>
      </c>
      <c r="I74" s="54" t="s">
        <v>804</v>
      </c>
      <c r="J74" s="525">
        <f>46.10305</f>
        <v>46.103050000000003</v>
      </c>
    </row>
    <row r="75" spans="8:10">
      <c r="H75" s="308" t="s">
        <v>839</v>
      </c>
      <c r="I75" s="9" t="s">
        <v>805</v>
      </c>
      <c r="J75" s="673">
        <f>101.4745521</f>
        <v>101.4745521</v>
      </c>
    </row>
    <row r="76" spans="8:10">
      <c r="H76" s="132" t="s">
        <v>1170</v>
      </c>
      <c r="I76" s="54" t="s">
        <v>805</v>
      </c>
      <c r="J76" s="525">
        <f>12.72016</f>
        <v>12.72016</v>
      </c>
    </row>
    <row r="77" spans="8:10">
      <c r="H77" s="308" t="s">
        <v>857</v>
      </c>
      <c r="I77" s="9" t="s">
        <v>804</v>
      </c>
      <c r="J77" s="673">
        <f>3.804364367</f>
        <v>3.8043643669999998</v>
      </c>
    </row>
    <row r="78" spans="8:10">
      <c r="H78" s="132" t="s">
        <v>840</v>
      </c>
      <c r="I78" s="54" t="s">
        <v>804</v>
      </c>
      <c r="J78" s="525">
        <f>4.874086109</f>
        <v>4.8740861090000003</v>
      </c>
    </row>
    <row r="79" spans="8:10">
      <c r="H79" s="308" t="s">
        <v>836</v>
      </c>
      <c r="I79" s="9" t="s">
        <v>805</v>
      </c>
      <c r="J79" s="673">
        <f>24.795</f>
        <v>24.795000000000002</v>
      </c>
    </row>
    <row r="80" spans="8:10">
      <c r="H80" s="132" t="s">
        <v>837</v>
      </c>
      <c r="I80" s="54" t="s">
        <v>805</v>
      </c>
      <c r="J80" s="525">
        <f>0.35942004</f>
        <v>0.35942004</v>
      </c>
    </row>
    <row r="81" spans="2:10" ht="17" thickBot="1">
      <c r="H81" s="312" t="s">
        <v>1171</v>
      </c>
      <c r="I81" s="139" t="s">
        <v>805</v>
      </c>
      <c r="J81" s="675">
        <f>12.23092</f>
        <v>12.230919999999999</v>
      </c>
    </row>
    <row r="87" spans="2:10" ht="26">
      <c r="B87" s="268" t="s">
        <v>421</v>
      </c>
    </row>
    <row r="88" spans="2:10" ht="16" customHeight="1" thickBot="1">
      <c r="B88" s="3"/>
      <c r="C88" s="10"/>
      <c r="D88" s="10"/>
    </row>
    <row r="89" spans="2:10" ht="16" customHeight="1" thickBot="1">
      <c r="B89" s="114" t="s">
        <v>216</v>
      </c>
      <c r="C89" s="709" t="s">
        <v>708</v>
      </c>
      <c r="D89" s="709"/>
      <c r="E89" s="709"/>
      <c r="F89" s="709"/>
      <c r="G89" s="709"/>
      <c r="H89" s="709"/>
      <c r="I89" s="709"/>
      <c r="J89" s="710"/>
    </row>
    <row r="90" spans="2:10" ht="16" customHeight="1">
      <c r="B90" s="579" t="s">
        <v>893</v>
      </c>
      <c r="C90" s="715" t="s">
        <v>976</v>
      </c>
      <c r="D90" s="715"/>
      <c r="E90" s="715"/>
      <c r="F90" s="715"/>
      <c r="G90" s="715"/>
      <c r="H90" s="715"/>
      <c r="I90" s="715"/>
      <c r="J90" s="716"/>
    </row>
    <row r="91" spans="2:10" ht="17" customHeight="1">
      <c r="B91" s="576" t="s">
        <v>894</v>
      </c>
      <c r="C91" s="711" t="s">
        <v>977</v>
      </c>
      <c r="D91" s="711"/>
      <c r="E91" s="711"/>
      <c r="F91" s="711"/>
      <c r="G91" s="711"/>
      <c r="H91" s="711"/>
      <c r="I91" s="711"/>
      <c r="J91" s="712"/>
    </row>
    <row r="92" spans="2:10">
      <c r="B92" s="576" t="s">
        <v>1017</v>
      </c>
      <c r="C92" s="711" t="s">
        <v>1018</v>
      </c>
      <c r="D92" s="711"/>
      <c r="E92" s="711"/>
      <c r="F92" s="711"/>
      <c r="G92" s="711"/>
      <c r="H92" s="711"/>
      <c r="I92" s="711"/>
      <c r="J92" s="712"/>
    </row>
    <row r="93" spans="2:10" ht="17" customHeight="1">
      <c r="B93" s="576" t="s">
        <v>895</v>
      </c>
      <c r="C93" s="711" t="s">
        <v>975</v>
      </c>
      <c r="D93" s="711"/>
      <c r="E93" s="711"/>
      <c r="F93" s="711"/>
      <c r="G93" s="711"/>
      <c r="H93" s="711"/>
      <c r="I93" s="711"/>
      <c r="J93" s="712"/>
    </row>
    <row r="94" spans="2:10">
      <c r="B94" s="576" t="s">
        <v>896</v>
      </c>
      <c r="C94" s="740" t="s">
        <v>978</v>
      </c>
      <c r="D94" s="740"/>
      <c r="E94" s="740"/>
      <c r="F94" s="740"/>
      <c r="G94" s="740"/>
      <c r="H94" s="740"/>
      <c r="I94" s="740"/>
      <c r="J94" s="741"/>
    </row>
    <row r="95" spans="2:10">
      <c r="B95" s="577" t="s">
        <v>897</v>
      </c>
      <c r="C95" s="740" t="s">
        <v>978</v>
      </c>
      <c r="D95" s="740"/>
      <c r="E95" s="740"/>
      <c r="F95" s="740"/>
      <c r="G95" s="740"/>
      <c r="H95" s="740"/>
      <c r="I95" s="740"/>
      <c r="J95" s="741"/>
    </row>
    <row r="96" spans="2:10">
      <c r="B96" s="577" t="s">
        <v>898</v>
      </c>
      <c r="C96" s="711" t="s">
        <v>979</v>
      </c>
      <c r="D96" s="711"/>
      <c r="E96" s="711"/>
      <c r="F96" s="711"/>
      <c r="G96" s="711"/>
      <c r="H96" s="711"/>
      <c r="I96" s="711"/>
      <c r="J96" s="712"/>
    </row>
    <row r="97" spans="2:10">
      <c r="B97" s="577" t="s">
        <v>899</v>
      </c>
      <c r="C97" s="740" t="s">
        <v>980</v>
      </c>
      <c r="D97" s="740"/>
      <c r="E97" s="740"/>
      <c r="F97" s="740"/>
      <c r="G97" s="740"/>
      <c r="H97" s="740"/>
      <c r="I97" s="740"/>
      <c r="J97" s="741"/>
    </row>
    <row r="98" spans="2:10">
      <c r="B98" s="577" t="s">
        <v>1034</v>
      </c>
      <c r="C98" s="711" t="s">
        <v>1035</v>
      </c>
      <c r="D98" s="711"/>
      <c r="E98" s="711"/>
      <c r="F98" s="711"/>
      <c r="G98" s="711"/>
      <c r="H98" s="711"/>
      <c r="I98" s="711"/>
      <c r="J98" s="712"/>
    </row>
    <row r="99" spans="2:10" ht="17" thickBot="1">
      <c r="B99" s="578" t="s">
        <v>865</v>
      </c>
      <c r="C99" s="742" t="s">
        <v>1172</v>
      </c>
      <c r="D99" s="742"/>
      <c r="E99" s="742"/>
      <c r="F99" s="742"/>
      <c r="G99" s="742"/>
      <c r="H99" s="742"/>
      <c r="I99" s="742"/>
      <c r="J99" s="743"/>
    </row>
  </sheetData>
  <mergeCells count="13">
    <mergeCell ref="C96:J96"/>
    <mergeCell ref="C97:J97"/>
    <mergeCell ref="C98:J98"/>
    <mergeCell ref="C99:J99"/>
    <mergeCell ref="C94:J94"/>
    <mergeCell ref="C95:J95"/>
    <mergeCell ref="B5:F7"/>
    <mergeCell ref="B3:E3"/>
    <mergeCell ref="C93:J93"/>
    <mergeCell ref="C91:J91"/>
    <mergeCell ref="C90:J90"/>
    <mergeCell ref="C89:J89"/>
    <mergeCell ref="C92:J9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538C-C58C-CC42-AAF5-98EE6456178B}">
  <dimension ref="B3:Z48"/>
  <sheetViews>
    <sheetView topLeftCell="A2" zoomScale="75" zoomScaleNormal="100" workbookViewId="0">
      <selection activeCell="D17" sqref="D17"/>
    </sheetView>
  </sheetViews>
  <sheetFormatPr baseColWidth="10" defaultRowHeight="16"/>
  <cols>
    <col min="2" max="2" width="27.83203125" bestFit="1" customWidth="1"/>
    <col min="3" max="3" width="19.1640625" bestFit="1" customWidth="1"/>
    <col min="7" max="7" width="28.1640625" customWidth="1"/>
    <col min="8" max="8" width="11.6640625" bestFit="1" customWidth="1"/>
    <col min="11" max="11" width="20.33203125" bestFit="1" customWidth="1"/>
    <col min="17" max="17" width="36.6640625" bestFit="1" customWidth="1"/>
    <col min="22" max="22" width="35.6640625" customWidth="1"/>
    <col min="23" max="23" width="11.1640625" bestFit="1" customWidth="1"/>
    <col min="25" max="25" width="17.5" bestFit="1" customWidth="1"/>
    <col min="26" max="26" width="12.33203125" bestFit="1" customWidth="1"/>
  </cols>
  <sheetData>
    <row r="3" spans="2:26" ht="37">
      <c r="B3" s="689" t="s">
        <v>667</v>
      </c>
      <c r="C3" s="689"/>
      <c r="D3" s="689"/>
      <c r="E3" s="689"/>
      <c r="F3" s="69"/>
      <c r="G3" s="69"/>
    </row>
    <row r="4" spans="2:26">
      <c r="B4" s="69"/>
      <c r="C4" s="69"/>
      <c r="D4" s="69"/>
      <c r="E4" s="69"/>
      <c r="F4" s="69"/>
      <c r="G4" s="69"/>
    </row>
    <row r="5" spans="2:26" ht="16" customHeight="1">
      <c r="B5" s="688" t="s">
        <v>801</v>
      </c>
      <c r="C5" s="688"/>
      <c r="D5" s="688"/>
      <c r="E5" s="688"/>
      <c r="F5" s="688"/>
      <c r="G5" s="688"/>
    </row>
    <row r="6" spans="2:26">
      <c r="B6" s="688"/>
      <c r="C6" s="688"/>
      <c r="D6" s="688"/>
      <c r="E6" s="688"/>
      <c r="F6" s="688"/>
      <c r="G6" s="688"/>
    </row>
    <row r="7" spans="2:26">
      <c r="B7" s="688"/>
      <c r="C7" s="688"/>
      <c r="D7" s="688"/>
      <c r="E7" s="688"/>
      <c r="F7" s="688"/>
      <c r="G7" s="688"/>
    </row>
    <row r="8" spans="2:26">
      <c r="B8" s="270"/>
      <c r="C8" s="270"/>
      <c r="D8" s="270"/>
      <c r="E8" s="270"/>
      <c r="F8" s="270"/>
      <c r="G8" s="522"/>
    </row>
    <row r="11" spans="2:26">
      <c r="O11" s="234"/>
      <c r="V11" s="9"/>
      <c r="W11" s="9"/>
      <c r="X11" s="9"/>
    </row>
    <row r="12" spans="2:26" ht="26">
      <c r="B12" s="268" t="s">
        <v>135</v>
      </c>
      <c r="F12" s="3"/>
      <c r="G12" s="268" t="s">
        <v>136</v>
      </c>
      <c r="K12" s="678" t="s">
        <v>1044</v>
      </c>
      <c r="L12" s="678"/>
      <c r="O12" s="234"/>
      <c r="Q12" s="268" t="s">
        <v>70</v>
      </c>
      <c r="T12" s="234"/>
      <c r="V12" s="268" t="s">
        <v>1094</v>
      </c>
    </row>
    <row r="13" spans="2:26" ht="17" thickBot="1">
      <c r="O13" s="234"/>
      <c r="T13" s="234"/>
    </row>
    <row r="14" spans="2:26" ht="17" thickBot="1">
      <c r="B14" s="114" t="s">
        <v>115</v>
      </c>
      <c r="C14" s="115" t="s">
        <v>116</v>
      </c>
      <c r="D14" s="116" t="s">
        <v>117</v>
      </c>
      <c r="G14" s="114" t="s">
        <v>137</v>
      </c>
      <c r="H14" s="116" t="s">
        <v>966</v>
      </c>
      <c r="K14" s="114" t="s">
        <v>642</v>
      </c>
      <c r="L14" s="115" t="s">
        <v>643</v>
      </c>
      <c r="M14" s="115" t="s">
        <v>218</v>
      </c>
      <c r="N14" s="116" t="s">
        <v>217</v>
      </c>
      <c r="O14" s="17"/>
      <c r="Q14" s="114" t="s">
        <v>644</v>
      </c>
      <c r="R14" s="115" t="s">
        <v>218</v>
      </c>
      <c r="S14" s="116" t="s">
        <v>217</v>
      </c>
      <c r="T14" s="17"/>
      <c r="V14" s="114" t="s">
        <v>708</v>
      </c>
      <c r="W14" s="115" t="s">
        <v>47</v>
      </c>
      <c r="X14" s="115" t="s">
        <v>217</v>
      </c>
      <c r="Y14" s="115" t="s">
        <v>1090</v>
      </c>
      <c r="Z14" s="116" t="s">
        <v>217</v>
      </c>
    </row>
    <row r="15" spans="2:26">
      <c r="B15" s="26" t="s">
        <v>118</v>
      </c>
      <c r="C15" s="32" t="s">
        <v>119</v>
      </c>
      <c r="D15" s="33">
        <v>3.7854100000000002</v>
      </c>
      <c r="G15" s="27" t="s">
        <v>138</v>
      </c>
      <c r="H15" s="313">
        <v>45.017000000000003</v>
      </c>
      <c r="K15" s="27" t="s">
        <v>145</v>
      </c>
      <c r="L15" s="5" t="s">
        <v>143</v>
      </c>
      <c r="M15" s="5">
        <v>8.3140000000000001</v>
      </c>
      <c r="N15" s="28" t="s">
        <v>144</v>
      </c>
      <c r="O15" s="9"/>
      <c r="Q15" s="26" t="s">
        <v>358</v>
      </c>
      <c r="R15" s="32">
        <v>3</v>
      </c>
      <c r="S15" s="33" t="s">
        <v>219</v>
      </c>
      <c r="T15" s="9"/>
      <c r="V15" s="26" t="s">
        <v>1089</v>
      </c>
      <c r="W15" s="32">
        <v>651.80999999999995</v>
      </c>
      <c r="X15" s="32" t="s">
        <v>1092</v>
      </c>
      <c r="Y15" s="32">
        <v>33.6</v>
      </c>
      <c r="Z15" s="33" t="s">
        <v>1091</v>
      </c>
    </row>
    <row r="16" spans="2:26">
      <c r="B16" s="132" t="s">
        <v>119</v>
      </c>
      <c r="C16" s="54" t="s">
        <v>126</v>
      </c>
      <c r="D16" s="55">
        <f>0.001</f>
        <v>1E-3</v>
      </c>
      <c r="G16" s="132" t="s">
        <v>139</v>
      </c>
      <c r="H16" s="362">
        <v>68.007000000000005</v>
      </c>
      <c r="K16" s="132" t="s">
        <v>211</v>
      </c>
      <c r="L16" s="54" t="s">
        <v>213</v>
      </c>
      <c r="M16" s="54">
        <v>9.81</v>
      </c>
      <c r="N16" s="55" t="s">
        <v>214</v>
      </c>
      <c r="O16" s="9"/>
      <c r="Q16" s="132" t="s">
        <v>748</v>
      </c>
      <c r="R16" s="54">
        <v>2256.4</v>
      </c>
      <c r="S16" s="55" t="s">
        <v>749</v>
      </c>
      <c r="T16" s="9"/>
      <c r="V16" s="132" t="s">
        <v>1088</v>
      </c>
      <c r="W16" s="54">
        <v>724.09</v>
      </c>
      <c r="X16" s="54" t="s">
        <v>1092</v>
      </c>
      <c r="Y16" s="54">
        <v>29.2</v>
      </c>
      <c r="Z16" s="55" t="s">
        <v>1091</v>
      </c>
    </row>
    <row r="17" spans="2:26" ht="17" thickBot="1">
      <c r="B17" s="27" t="s">
        <v>121</v>
      </c>
      <c r="C17" s="5" t="s">
        <v>123</v>
      </c>
      <c r="D17" s="28">
        <f>86400*'Summary Table'!H26</f>
        <v>30240000</v>
      </c>
      <c r="G17" s="27" t="s">
        <v>909</v>
      </c>
      <c r="H17" s="313">
        <v>31.998999999999999</v>
      </c>
      <c r="K17" s="29" t="s">
        <v>285</v>
      </c>
      <c r="L17" s="30" t="s">
        <v>286</v>
      </c>
      <c r="M17" s="30">
        <v>96485</v>
      </c>
      <c r="N17" s="31" t="s">
        <v>287</v>
      </c>
      <c r="O17" s="9"/>
      <c r="Q17" s="308" t="s">
        <v>1124</v>
      </c>
      <c r="R17" s="9">
        <v>2188.6999999999998</v>
      </c>
      <c r="S17" s="263" t="s">
        <v>749</v>
      </c>
      <c r="T17" s="9"/>
      <c r="V17" s="308" t="s">
        <v>1087</v>
      </c>
      <c r="W17" s="9">
        <v>1429.62</v>
      </c>
      <c r="X17" s="9" t="s">
        <v>1092</v>
      </c>
      <c r="Y17" s="9">
        <v>9.4</v>
      </c>
      <c r="Z17" s="263" t="s">
        <v>1091</v>
      </c>
    </row>
    <row r="18" spans="2:26" ht="17" thickBot="1">
      <c r="B18" s="132" t="s">
        <v>122</v>
      </c>
      <c r="C18" s="54" t="s">
        <v>123</v>
      </c>
      <c r="D18" s="55">
        <f>1440*'Summary Table'!H26</f>
        <v>504000</v>
      </c>
      <c r="G18" s="132" t="s">
        <v>965</v>
      </c>
      <c r="H18" s="362">
        <v>28.013400000000001</v>
      </c>
      <c r="O18" s="234"/>
      <c r="Q18" s="132" t="s">
        <v>1125</v>
      </c>
      <c r="R18" s="54">
        <v>99.9</v>
      </c>
      <c r="S18" s="55" t="s">
        <v>669</v>
      </c>
      <c r="T18" s="234"/>
      <c r="V18" s="267" t="s">
        <v>1093</v>
      </c>
      <c r="W18" s="130">
        <v>4222.21</v>
      </c>
      <c r="X18" s="130" t="s">
        <v>1092</v>
      </c>
      <c r="Y18" s="130">
        <v>11.6</v>
      </c>
      <c r="Z18" s="260" t="s">
        <v>1091</v>
      </c>
    </row>
    <row r="19" spans="2:26">
      <c r="B19" s="27" t="s">
        <v>120</v>
      </c>
      <c r="C19" s="5" t="s">
        <v>123</v>
      </c>
      <c r="D19" s="28">
        <f>24*'Summary Table'!H26</f>
        <v>8400</v>
      </c>
      <c r="G19" s="27" t="s">
        <v>912</v>
      </c>
      <c r="H19" s="313">
        <v>18.015000000000001</v>
      </c>
      <c r="O19" s="234"/>
      <c r="Q19" s="308" t="s">
        <v>788</v>
      </c>
      <c r="R19" s="5">
        <v>4179.6000000000004</v>
      </c>
      <c r="S19" s="263" t="s">
        <v>789</v>
      </c>
      <c r="T19" s="234"/>
      <c r="V19" s="9"/>
      <c r="W19" s="9"/>
      <c r="X19" s="9"/>
    </row>
    <row r="20" spans="2:26">
      <c r="B20" s="132" t="s">
        <v>775</v>
      </c>
      <c r="C20" s="54" t="s">
        <v>123</v>
      </c>
      <c r="D20" s="55">
        <f>'Summary Table'!H26</f>
        <v>350</v>
      </c>
      <c r="G20" s="132" t="s">
        <v>908</v>
      </c>
      <c r="H20" s="362">
        <v>32.04</v>
      </c>
      <c r="Q20" s="132" t="s">
        <v>1098</v>
      </c>
      <c r="R20" s="54">
        <v>1037</v>
      </c>
      <c r="S20" s="55" t="s">
        <v>1099</v>
      </c>
      <c r="T20" s="234"/>
      <c r="V20" s="9"/>
      <c r="W20" s="9"/>
      <c r="X20" s="9"/>
    </row>
    <row r="21" spans="2:26">
      <c r="B21" s="308" t="s">
        <v>120</v>
      </c>
      <c r="C21" s="9" t="s">
        <v>775</v>
      </c>
      <c r="D21" s="263">
        <v>24</v>
      </c>
      <c r="G21" s="27" t="s">
        <v>911</v>
      </c>
      <c r="H21" s="313">
        <v>44.01</v>
      </c>
      <c r="Q21" s="27" t="s">
        <v>1100</v>
      </c>
      <c r="R21" s="5">
        <v>0.85699999999999998</v>
      </c>
      <c r="S21" s="28" t="s">
        <v>219</v>
      </c>
      <c r="T21" s="234"/>
      <c r="V21" s="9"/>
      <c r="W21" s="9"/>
      <c r="X21" s="9"/>
    </row>
    <row r="22" spans="2:26">
      <c r="B22" s="132" t="s">
        <v>121</v>
      </c>
      <c r="C22" s="54" t="s">
        <v>120</v>
      </c>
      <c r="D22" s="55">
        <v>3600</v>
      </c>
      <c r="G22" s="132" t="s">
        <v>910</v>
      </c>
      <c r="H22" s="362">
        <v>17.030999999999999</v>
      </c>
      <c r="Q22" s="132" t="s">
        <v>1105</v>
      </c>
      <c r="R22" s="54">
        <v>5.4800000000000001E-2</v>
      </c>
      <c r="S22" s="55" t="s">
        <v>1107</v>
      </c>
      <c r="T22" s="234"/>
      <c r="V22" s="9"/>
      <c r="W22" s="9"/>
      <c r="X22" s="9"/>
    </row>
    <row r="23" spans="2:26">
      <c r="B23" s="308" t="s">
        <v>121</v>
      </c>
      <c r="C23" s="9" t="s">
        <v>122</v>
      </c>
      <c r="D23" s="263">
        <v>60</v>
      </c>
      <c r="G23" s="27" t="s">
        <v>140</v>
      </c>
      <c r="H23" s="313">
        <v>92.27</v>
      </c>
      <c r="Q23" s="308" t="s">
        <v>201</v>
      </c>
      <c r="R23" s="5">
        <v>993</v>
      </c>
      <c r="S23" s="28" t="s">
        <v>202</v>
      </c>
      <c r="T23" s="234"/>
      <c r="V23" s="9"/>
      <c r="W23" s="9"/>
      <c r="X23" s="9"/>
    </row>
    <row r="24" spans="2:26" ht="17" thickBot="1">
      <c r="B24" s="132" t="s">
        <v>124</v>
      </c>
      <c r="C24" s="54" t="s">
        <v>125</v>
      </c>
      <c r="D24" s="55">
        <f>24*'Summary Table'!H26</f>
        <v>8400</v>
      </c>
      <c r="G24" s="267" t="s">
        <v>141</v>
      </c>
      <c r="H24" s="586">
        <v>86.09</v>
      </c>
      <c r="Q24" s="132" t="s">
        <v>918</v>
      </c>
      <c r="R24" s="54">
        <v>773.8</v>
      </c>
      <c r="S24" s="55" t="s">
        <v>202</v>
      </c>
      <c r="V24" s="9"/>
      <c r="W24" s="9"/>
      <c r="X24" s="9"/>
    </row>
    <row r="25" spans="2:26" ht="17" thickBot="1">
      <c r="B25" s="308" t="s">
        <v>127</v>
      </c>
      <c r="C25" s="9" t="s">
        <v>124</v>
      </c>
      <c r="D25" s="263">
        <v>0.74570000000000003</v>
      </c>
      <c r="Q25" s="312" t="s">
        <v>1133</v>
      </c>
      <c r="R25" s="139">
        <v>1920</v>
      </c>
      <c r="S25" s="31" t="s">
        <v>202</v>
      </c>
      <c r="V25" s="9"/>
      <c r="W25" s="9"/>
      <c r="X25" s="9"/>
    </row>
    <row r="26" spans="2:26">
      <c r="B26" s="132" t="s">
        <v>73</v>
      </c>
      <c r="C26" s="54" t="s">
        <v>280</v>
      </c>
      <c r="D26" s="55">
        <v>3.6</v>
      </c>
    </row>
    <row r="27" spans="2:26">
      <c r="B27" s="308" t="s">
        <v>294</v>
      </c>
      <c r="C27" s="9" t="s">
        <v>128</v>
      </c>
      <c r="D27" s="263">
        <v>1E-4</v>
      </c>
    </row>
    <row r="28" spans="2:26">
      <c r="B28" s="132" t="s">
        <v>354</v>
      </c>
      <c r="C28" s="54" t="s">
        <v>353</v>
      </c>
      <c r="D28" s="55">
        <v>1000</v>
      </c>
    </row>
    <row r="29" spans="2:26">
      <c r="B29" s="308" t="s">
        <v>355</v>
      </c>
      <c r="C29" s="9" t="s">
        <v>306</v>
      </c>
      <c r="D29" s="263">
        <v>1000000</v>
      </c>
    </row>
    <row r="30" spans="2:26">
      <c r="B30" s="132" t="s">
        <v>356</v>
      </c>
      <c r="C30" s="54" t="s">
        <v>357</v>
      </c>
      <c r="D30" s="55">
        <v>1.1100000000000001</v>
      </c>
    </row>
    <row r="31" spans="2:26">
      <c r="B31" s="308" t="s">
        <v>381</v>
      </c>
      <c r="C31" s="9" t="s">
        <v>380</v>
      </c>
      <c r="D31" s="263">
        <f>1/997</f>
        <v>1.0030090270812437E-3</v>
      </c>
    </row>
    <row r="32" spans="2:26">
      <c r="B32" s="132" t="s">
        <v>74</v>
      </c>
      <c r="C32" s="54" t="s">
        <v>408</v>
      </c>
      <c r="D32" s="55">
        <v>2.2046199999999998</v>
      </c>
    </row>
    <row r="33" spans="2:24" ht="17" thickBot="1">
      <c r="B33" s="312" t="s">
        <v>1104</v>
      </c>
      <c r="C33" s="139" t="s">
        <v>280</v>
      </c>
      <c r="D33" s="266">
        <v>1.0549999999999999E-3</v>
      </c>
      <c r="R33" s="4"/>
    </row>
    <row r="35" spans="2:24">
      <c r="R35" s="4"/>
    </row>
    <row r="38" spans="2:24">
      <c r="X38" s="4"/>
    </row>
    <row r="39" spans="2:24">
      <c r="V39" s="618"/>
    </row>
    <row r="40" spans="2:24">
      <c r="V40" s="618"/>
    </row>
    <row r="41" spans="2:24" ht="26">
      <c r="B41" s="268" t="s">
        <v>421</v>
      </c>
      <c r="V41" s="618"/>
    </row>
    <row r="42" spans="2:24" ht="17" thickBot="1">
      <c r="B42" s="3"/>
      <c r="C42" s="10"/>
      <c r="D42" s="10"/>
      <c r="E42" s="10"/>
      <c r="F42" s="10"/>
      <c r="G42" s="10"/>
      <c r="H42" s="10"/>
      <c r="I42" s="10"/>
    </row>
    <row r="43" spans="2:24" ht="17" thickBot="1">
      <c r="B43" s="160" t="s">
        <v>216</v>
      </c>
      <c r="C43" s="744" t="s">
        <v>708</v>
      </c>
      <c r="D43" s="744"/>
      <c r="E43" s="744"/>
      <c r="F43" s="744"/>
      <c r="G43" s="744"/>
      <c r="H43" s="744"/>
      <c r="I43" s="744"/>
      <c r="J43" s="744"/>
      <c r="K43" s="744"/>
      <c r="L43" s="744"/>
      <c r="M43" s="745"/>
    </row>
    <row r="44" spans="2:24">
      <c r="B44" s="26" t="s">
        <v>1095</v>
      </c>
      <c r="C44" s="715" t="s">
        <v>1096</v>
      </c>
      <c r="D44" s="715"/>
      <c r="E44" s="715"/>
      <c r="F44" s="715"/>
      <c r="G44" s="715"/>
      <c r="H44" s="715"/>
      <c r="I44" s="715"/>
      <c r="J44" s="715"/>
      <c r="K44" s="715"/>
      <c r="L44" s="715"/>
      <c r="M44" s="716"/>
    </row>
    <row r="45" spans="2:24">
      <c r="B45" s="27" t="s">
        <v>1082</v>
      </c>
      <c r="C45" s="711" t="s">
        <v>1097</v>
      </c>
      <c r="D45" s="711"/>
      <c r="E45" s="711"/>
      <c r="F45" s="711"/>
      <c r="G45" s="711"/>
      <c r="H45" s="711"/>
      <c r="I45" s="711"/>
      <c r="J45" s="711"/>
      <c r="K45" s="711"/>
      <c r="L45" s="711"/>
      <c r="M45" s="712"/>
    </row>
    <row r="46" spans="2:24">
      <c r="B46" s="27" t="s">
        <v>1101</v>
      </c>
      <c r="C46" s="711" t="s">
        <v>1102</v>
      </c>
      <c r="D46" s="711"/>
      <c r="E46" s="711"/>
      <c r="F46" s="711"/>
      <c r="G46" s="711"/>
      <c r="H46" s="711"/>
      <c r="I46" s="711"/>
      <c r="J46" s="711"/>
      <c r="K46" s="711"/>
      <c r="L46" s="711"/>
      <c r="M46" s="712"/>
    </row>
    <row r="47" spans="2:24">
      <c r="B47" s="308" t="s">
        <v>1100</v>
      </c>
      <c r="C47" s="740" t="s">
        <v>1103</v>
      </c>
      <c r="D47" s="711"/>
      <c r="E47" s="711"/>
      <c r="F47" s="711"/>
      <c r="G47" s="711"/>
      <c r="H47" s="711"/>
      <c r="I47" s="711"/>
      <c r="J47" s="711"/>
      <c r="K47" s="711"/>
      <c r="L47" s="711"/>
      <c r="M47" s="712"/>
    </row>
    <row r="48" spans="2:24" ht="17" thickBot="1">
      <c r="B48" s="312" t="s">
        <v>1105</v>
      </c>
      <c r="C48" s="717" t="s">
        <v>1106</v>
      </c>
      <c r="D48" s="717"/>
      <c r="E48" s="717"/>
      <c r="F48" s="717"/>
      <c r="G48" s="717"/>
      <c r="H48" s="717"/>
      <c r="I48" s="717"/>
      <c r="J48" s="717"/>
      <c r="K48" s="717"/>
      <c r="L48" s="717"/>
      <c r="M48" s="718"/>
    </row>
  </sheetData>
  <mergeCells count="9">
    <mergeCell ref="C45:M45"/>
    <mergeCell ref="C46:M46"/>
    <mergeCell ref="C47:M47"/>
    <mergeCell ref="C48:M48"/>
    <mergeCell ref="B3:E3"/>
    <mergeCell ref="B5:G7"/>
    <mergeCell ref="K12:L12"/>
    <mergeCell ref="C43:M43"/>
    <mergeCell ref="C44:M4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Summary Table</vt:lpstr>
      <vt:lpstr>Carbon Flow</vt:lpstr>
      <vt:lpstr>Economics</vt:lpstr>
      <vt:lpstr>Design Calculations</vt:lpstr>
      <vt:lpstr>Process Emissions</vt:lpstr>
      <vt:lpstr>ASPEN Material Balance Example</vt:lpstr>
      <vt:lpstr>Scenarios Data</vt:lpstr>
      <vt:lpstr>Market Variable Data</vt:lpstr>
      <vt:lpstr>Constants &amp; Conversions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William Ruttinger</dc:creator>
  <cp:lastModifiedBy>Andrew William Ruttinger</cp:lastModifiedBy>
  <dcterms:created xsi:type="dcterms:W3CDTF">2020-07-27T16:02:34Z</dcterms:created>
  <dcterms:modified xsi:type="dcterms:W3CDTF">2022-01-09T21:39:21Z</dcterms:modified>
</cp:coreProperties>
</file>