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ger\Desktop\"/>
    </mc:Choice>
  </mc:AlternateContent>
  <bookViews>
    <workbookView xWindow="0" yWindow="0" windowWidth="19200" windowHeight="7050" activeTab="2"/>
  </bookViews>
  <sheets>
    <sheet name="One-pot procedure" sheetId="1" r:id="rId1"/>
    <sheet name="One-pot procedure E-factor" sheetId="2" r:id="rId2"/>
    <sheet name="Step-by-step procedure" sheetId="3" r:id="rId3"/>
    <sheet name="Step-by-step E-factor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05" i="1" l="1"/>
  <c r="X105" i="1" l="1"/>
  <c r="X74" i="1"/>
  <c r="AE102" i="1"/>
  <c r="AE101" i="1"/>
  <c r="X79" i="1"/>
  <c r="AE100" i="1"/>
  <c r="X93" i="1"/>
  <c r="AE99" i="1"/>
  <c r="P104" i="1"/>
  <c r="Y134" i="3" l="1"/>
  <c r="Y133" i="3"/>
  <c r="AA131" i="3"/>
  <c r="Z131" i="3"/>
  <c r="Y132" i="3"/>
  <c r="Y131" i="3"/>
  <c r="Y129" i="3"/>
  <c r="P34" i="1"/>
  <c r="AF25" i="1"/>
  <c r="AE25" i="1"/>
  <c r="AD25" i="1"/>
  <c r="R69" i="1"/>
  <c r="P69" i="1"/>
  <c r="AE62" i="1"/>
  <c r="AD62" i="1"/>
  <c r="X58" i="1"/>
  <c r="AF96" i="1" l="1"/>
  <c r="AE96" i="1"/>
  <c r="AD34" i="1" l="1"/>
  <c r="C133" i="3" l="1"/>
  <c r="T135" i="3"/>
  <c r="T134" i="3"/>
  <c r="T133" i="3"/>
  <c r="O90" i="3"/>
  <c r="R134" i="3"/>
  <c r="X117" i="3"/>
  <c r="AD68" i="3"/>
  <c r="L118" i="3"/>
  <c r="M118" i="3" s="1"/>
  <c r="R133" i="3"/>
  <c r="R131" i="3"/>
  <c r="P128" i="3"/>
  <c r="Q128" i="3" s="1"/>
  <c r="U127" i="3"/>
  <c r="O127" i="3"/>
  <c r="L127" i="3" s="1"/>
  <c r="U126" i="3"/>
  <c r="O126" i="3"/>
  <c r="J126" i="3" s="1"/>
  <c r="L126" i="3"/>
  <c r="M126" i="3" s="1"/>
  <c r="U125" i="3"/>
  <c r="S125" i="3"/>
  <c r="O125" i="3"/>
  <c r="J125" i="3" s="1"/>
  <c r="U124" i="3"/>
  <c r="S124" i="3"/>
  <c r="O124" i="3"/>
  <c r="J124" i="3" s="1"/>
  <c r="U123" i="3"/>
  <c r="O123" i="3"/>
  <c r="L123" i="3" s="1"/>
  <c r="S122" i="3"/>
  <c r="U122" i="3" s="1"/>
  <c r="O122" i="3"/>
  <c r="J122" i="3" s="1"/>
  <c r="U121" i="3"/>
  <c r="O121" i="3"/>
  <c r="L121" i="3" s="1"/>
  <c r="N121" i="3" s="1"/>
  <c r="U120" i="3"/>
  <c r="O120" i="3"/>
  <c r="J120" i="3" s="1"/>
  <c r="U119" i="3"/>
  <c r="O119" i="3"/>
  <c r="L119" i="3" s="1"/>
  <c r="J118" i="3"/>
  <c r="AB117" i="3"/>
  <c r="R116" i="3"/>
  <c r="P116" i="3" s="1"/>
  <c r="Q116" i="3" s="1"/>
  <c r="S115" i="3"/>
  <c r="U115" i="3" s="1"/>
  <c r="O115" i="3"/>
  <c r="L115" i="3"/>
  <c r="N115" i="3" s="1"/>
  <c r="J115" i="3"/>
  <c r="S114" i="3"/>
  <c r="U114" i="3" s="1"/>
  <c r="O114" i="3"/>
  <c r="L114" i="3" s="1"/>
  <c r="S113" i="3"/>
  <c r="U113" i="3" s="1"/>
  <c r="O113" i="3"/>
  <c r="J113" i="3" s="1"/>
  <c r="I113" i="3"/>
  <c r="H113" i="3"/>
  <c r="L113" i="3" s="1"/>
  <c r="Y112" i="3"/>
  <c r="U112" i="3"/>
  <c r="O112" i="3"/>
  <c r="L112" i="3"/>
  <c r="M112" i="3" s="1"/>
  <c r="J112" i="3"/>
  <c r="U111" i="3"/>
  <c r="O111" i="3"/>
  <c r="L111" i="3" s="1"/>
  <c r="S110" i="3"/>
  <c r="U110" i="3" s="1"/>
  <c r="O110" i="3"/>
  <c r="L110" i="3"/>
  <c r="N110" i="3" s="1"/>
  <c r="J110" i="3"/>
  <c r="S109" i="3"/>
  <c r="U109" i="3" s="1"/>
  <c r="Y109" i="3" s="1"/>
  <c r="O109" i="3"/>
  <c r="L109" i="3"/>
  <c r="N109" i="3" s="1"/>
  <c r="J109" i="3"/>
  <c r="S108" i="3"/>
  <c r="U108" i="3" s="1"/>
  <c r="O108" i="3"/>
  <c r="L108" i="3" s="1"/>
  <c r="J108" i="3"/>
  <c r="S107" i="3"/>
  <c r="U107" i="3" s="1"/>
  <c r="Y107" i="3" s="1"/>
  <c r="O107" i="3"/>
  <c r="L107" i="3" s="1"/>
  <c r="J107" i="3"/>
  <c r="L106" i="3"/>
  <c r="M106" i="3" s="1"/>
  <c r="J106" i="3"/>
  <c r="R104" i="3"/>
  <c r="X100" i="3" s="1"/>
  <c r="P104" i="3"/>
  <c r="Q104" i="3" s="1"/>
  <c r="U103" i="3"/>
  <c r="S103" i="3"/>
  <c r="O103" i="3"/>
  <c r="L103" i="3" s="1"/>
  <c r="U102" i="3"/>
  <c r="Y102" i="3" s="1"/>
  <c r="S102" i="3"/>
  <c r="O102" i="3"/>
  <c r="L102" i="3" s="1"/>
  <c r="L101" i="3"/>
  <c r="M101" i="3" s="1"/>
  <c r="J101" i="3"/>
  <c r="R99" i="3"/>
  <c r="P99" i="3"/>
  <c r="Q99" i="3" s="1"/>
  <c r="S98" i="3"/>
  <c r="U98" i="3" s="1"/>
  <c r="O98" i="3"/>
  <c r="L98" i="3" s="1"/>
  <c r="U97" i="3"/>
  <c r="O97" i="3"/>
  <c r="L97" i="3" s="1"/>
  <c r="M96" i="3"/>
  <c r="L96" i="3"/>
  <c r="J96" i="3"/>
  <c r="X95" i="3"/>
  <c r="R94" i="3"/>
  <c r="P94" i="3" s="1"/>
  <c r="Q94" i="3" s="1"/>
  <c r="U93" i="3"/>
  <c r="S93" i="3"/>
  <c r="U92" i="3"/>
  <c r="S92" i="3"/>
  <c r="U91" i="3"/>
  <c r="S91" i="3"/>
  <c r="U90" i="3"/>
  <c r="Y90" i="3" s="1"/>
  <c r="S90" i="3"/>
  <c r="J90" i="3"/>
  <c r="L90" i="3"/>
  <c r="N90" i="3" s="1"/>
  <c r="O47" i="3"/>
  <c r="AE64" i="3"/>
  <c r="AD64" i="3"/>
  <c r="AD66" i="3"/>
  <c r="L63" i="3"/>
  <c r="R73" i="3"/>
  <c r="O32" i="3"/>
  <c r="L32" i="3"/>
  <c r="R85" i="3"/>
  <c r="J63" i="3"/>
  <c r="X31" i="3"/>
  <c r="P42" i="3"/>
  <c r="AE43" i="3"/>
  <c r="R42" i="3"/>
  <c r="AD43" i="3"/>
  <c r="L20" i="3"/>
  <c r="P18" i="3"/>
  <c r="Y97" i="3" l="1"/>
  <c r="Y103" i="3"/>
  <c r="N114" i="3"/>
  <c r="M114" i="3"/>
  <c r="N111" i="3"/>
  <c r="M111" i="3"/>
  <c r="Y114" i="3"/>
  <c r="Y108" i="3"/>
  <c r="M110" i="3"/>
  <c r="Y110" i="3"/>
  <c r="N112" i="3"/>
  <c r="Y113" i="3"/>
  <c r="M115" i="3"/>
  <c r="M109" i="3"/>
  <c r="J111" i="3"/>
  <c r="J114" i="3"/>
  <c r="Y111" i="3"/>
  <c r="Y115" i="3"/>
  <c r="L122" i="3"/>
  <c r="N122" i="3" s="1"/>
  <c r="L125" i="3"/>
  <c r="M125" i="3" s="1"/>
  <c r="L120" i="3"/>
  <c r="M120" i="3" s="1"/>
  <c r="J121" i="3"/>
  <c r="Y121" i="3"/>
  <c r="Y126" i="3"/>
  <c r="Y122" i="3"/>
  <c r="J119" i="3"/>
  <c r="N119" i="3"/>
  <c r="M119" i="3"/>
  <c r="N123" i="3"/>
  <c r="M123" i="3"/>
  <c r="N120" i="3"/>
  <c r="Y127" i="3"/>
  <c r="M122" i="3"/>
  <c r="L124" i="3"/>
  <c r="Y120" i="3"/>
  <c r="Y125" i="3"/>
  <c r="Y119" i="3"/>
  <c r="J123" i="3"/>
  <c r="N126" i="3"/>
  <c r="N125" i="3"/>
  <c r="Y123" i="3"/>
  <c r="X105" i="3"/>
  <c r="Y124" i="3"/>
  <c r="N113" i="3"/>
  <c r="M113" i="3"/>
  <c r="N108" i="3"/>
  <c r="M108" i="3"/>
  <c r="M98" i="3"/>
  <c r="N98" i="3"/>
  <c r="N127" i="3"/>
  <c r="M127" i="3"/>
  <c r="N102" i="3"/>
  <c r="M102" i="3"/>
  <c r="N103" i="3"/>
  <c r="M103" i="3"/>
  <c r="N107" i="3"/>
  <c r="M107" i="3"/>
  <c r="M97" i="3"/>
  <c r="N97" i="3"/>
  <c r="M90" i="3"/>
  <c r="O91" i="3"/>
  <c r="O92" i="3"/>
  <c r="O93" i="3"/>
  <c r="M121" i="3"/>
  <c r="Y98" i="3"/>
  <c r="J102" i="3"/>
  <c r="J103" i="3"/>
  <c r="J98" i="3"/>
  <c r="X90" i="3"/>
  <c r="J97" i="3"/>
  <c r="J127" i="3"/>
  <c r="R30" i="3"/>
  <c r="M124" i="3" l="1"/>
  <c r="N124" i="3"/>
  <c r="X129" i="3"/>
  <c r="J93" i="3"/>
  <c r="L93" i="3"/>
  <c r="J92" i="3"/>
  <c r="L92" i="3"/>
  <c r="L91" i="3"/>
  <c r="M91" i="3" s="1"/>
  <c r="J91" i="3"/>
  <c r="Y91" i="3"/>
  <c r="Y92" i="3"/>
  <c r="Y93" i="3"/>
  <c r="N93" i="3" l="1"/>
  <c r="M93" i="3"/>
  <c r="N92" i="3"/>
  <c r="M92" i="3"/>
  <c r="R34" i="1" l="1"/>
  <c r="X23" i="1" s="1"/>
  <c r="AF34" i="1"/>
  <c r="AE34" i="1"/>
  <c r="R57" i="1" l="1"/>
  <c r="X44" i="1"/>
  <c r="X9" i="3" l="1"/>
  <c r="X4" i="3"/>
  <c r="D11" i="2" l="1"/>
  <c r="D13" i="4"/>
  <c r="U76" i="3" l="1"/>
  <c r="U33" i="3"/>
  <c r="U95" i="1"/>
  <c r="U60" i="1"/>
  <c r="U25" i="1"/>
  <c r="S59" i="3"/>
  <c r="U59" i="3" s="1"/>
  <c r="U54" i="3"/>
  <c r="S16" i="3"/>
  <c r="U16" i="3" s="1"/>
  <c r="S11" i="3"/>
  <c r="U11" i="3" s="1"/>
  <c r="S81" i="1"/>
  <c r="U81" i="1" s="1"/>
  <c r="S46" i="1"/>
  <c r="U46" i="1" s="1"/>
  <c r="S11" i="1"/>
  <c r="U11" i="1" s="1"/>
  <c r="S81" i="3" l="1"/>
  <c r="U81" i="3" s="1"/>
  <c r="S72" i="3"/>
  <c r="U72" i="3" s="1"/>
  <c r="S38" i="3"/>
  <c r="U38" i="3" s="1"/>
  <c r="S29" i="3"/>
  <c r="U29" i="3" s="1"/>
  <c r="S100" i="1"/>
  <c r="U100" i="1" s="1"/>
  <c r="S65" i="1"/>
  <c r="U65" i="1" s="1"/>
  <c r="S30" i="1"/>
  <c r="U30" i="1" s="1"/>
  <c r="AB31" i="3" l="1"/>
  <c r="AB74" i="3"/>
  <c r="L15" i="3" l="1"/>
  <c r="F17" i="4" l="1"/>
  <c r="C146" i="3"/>
  <c r="E6" i="4" s="1"/>
  <c r="C141" i="3"/>
  <c r="E5" i="4" s="1"/>
  <c r="C135" i="3"/>
  <c r="D4" i="4" s="1"/>
  <c r="D157" i="3"/>
  <c r="F8" i="4" s="1"/>
  <c r="J58" i="3"/>
  <c r="C153" i="3"/>
  <c r="B8" i="4" s="1"/>
  <c r="C148" i="3"/>
  <c r="B7" i="4" s="1"/>
  <c r="C143" i="3"/>
  <c r="B6" i="4" s="1"/>
  <c r="C138" i="3"/>
  <c r="B5" i="4" s="1"/>
  <c r="L94" i="1"/>
  <c r="R51" i="3"/>
  <c r="P51" i="3" s="1"/>
  <c r="R56" i="3"/>
  <c r="X52" i="3" s="1"/>
  <c r="R61" i="3"/>
  <c r="X57" i="3" s="1"/>
  <c r="P85" i="3"/>
  <c r="M63" i="3"/>
  <c r="L58" i="3"/>
  <c r="M58" i="3" s="1"/>
  <c r="L53" i="3"/>
  <c r="M53" i="3" s="1"/>
  <c r="L47" i="3"/>
  <c r="M47" i="3" s="1"/>
  <c r="U84" i="3"/>
  <c r="U83" i="3"/>
  <c r="S82" i="3"/>
  <c r="U82" i="3" s="1"/>
  <c r="U80" i="3"/>
  <c r="S79" i="3"/>
  <c r="U79" i="3" s="1"/>
  <c r="U78" i="3"/>
  <c r="U77" i="3"/>
  <c r="S71" i="3"/>
  <c r="U71" i="3" s="1"/>
  <c r="S70" i="3"/>
  <c r="I70" i="3"/>
  <c r="H70" i="3"/>
  <c r="U69" i="3"/>
  <c r="U68" i="3"/>
  <c r="S67" i="3"/>
  <c r="U67" i="3" s="1"/>
  <c r="S66" i="3"/>
  <c r="U66" i="3" s="1"/>
  <c r="S65" i="3"/>
  <c r="U65" i="3" s="1"/>
  <c r="S64" i="3"/>
  <c r="U64" i="3" s="1"/>
  <c r="S60" i="3"/>
  <c r="U60" i="3" s="1"/>
  <c r="S55" i="3"/>
  <c r="U55" i="3" s="1"/>
  <c r="J53" i="3"/>
  <c r="S50" i="3"/>
  <c r="U50" i="3" s="1"/>
  <c r="S49" i="3"/>
  <c r="U49" i="3" s="1"/>
  <c r="S48" i="3"/>
  <c r="U48" i="3" s="1"/>
  <c r="S47" i="3"/>
  <c r="U47" i="3" s="1"/>
  <c r="U41" i="3"/>
  <c r="O41" i="3"/>
  <c r="N41" i="3"/>
  <c r="M41" i="3"/>
  <c r="U40" i="3"/>
  <c r="O40" i="3"/>
  <c r="N40" i="3"/>
  <c r="M40" i="3"/>
  <c r="S39" i="3"/>
  <c r="U39" i="3" s="1"/>
  <c r="O39" i="3"/>
  <c r="N39" i="3"/>
  <c r="M39" i="3"/>
  <c r="O38" i="3"/>
  <c r="N38" i="3"/>
  <c r="M38" i="3"/>
  <c r="U37" i="3"/>
  <c r="O37" i="3"/>
  <c r="N37" i="3"/>
  <c r="M37" i="3"/>
  <c r="S36" i="3"/>
  <c r="U36" i="3" s="1"/>
  <c r="O36" i="3"/>
  <c r="N36" i="3"/>
  <c r="M36" i="3"/>
  <c r="U35" i="3"/>
  <c r="O35" i="3"/>
  <c r="N35" i="3"/>
  <c r="M35" i="3"/>
  <c r="U34" i="3"/>
  <c r="O34" i="3"/>
  <c r="N34" i="3"/>
  <c r="M34" i="3"/>
  <c r="L33" i="3"/>
  <c r="O33" i="3" s="1"/>
  <c r="Y33" i="3" s="1"/>
  <c r="M32" i="3"/>
  <c r="P30" i="3"/>
  <c r="Q30" i="3" s="1"/>
  <c r="L29" i="3"/>
  <c r="O29" i="3" s="1"/>
  <c r="S27" i="3"/>
  <c r="I27" i="3"/>
  <c r="L27" i="3" s="1"/>
  <c r="H27" i="3"/>
  <c r="L26" i="3"/>
  <c r="O26" i="3" s="1"/>
  <c r="N22" i="3"/>
  <c r="L22" i="3" s="1"/>
  <c r="S28" i="3"/>
  <c r="U28" i="3" s="1"/>
  <c r="L28" i="3"/>
  <c r="O28" i="3" s="1"/>
  <c r="U26" i="3"/>
  <c r="U25" i="3"/>
  <c r="O25" i="3"/>
  <c r="N25" i="3"/>
  <c r="M25" i="3"/>
  <c r="S24" i="3"/>
  <c r="U24" i="3" s="1"/>
  <c r="O24" i="3"/>
  <c r="N24" i="3"/>
  <c r="M24" i="3"/>
  <c r="S23" i="3"/>
  <c r="U23" i="3" s="1"/>
  <c r="L23" i="3"/>
  <c r="O23" i="3" s="1"/>
  <c r="S22" i="3"/>
  <c r="U22" i="3" s="1"/>
  <c r="S21" i="3"/>
  <c r="U21" i="3" s="1"/>
  <c r="O21" i="3"/>
  <c r="N21" i="3"/>
  <c r="M21" i="3"/>
  <c r="O20" i="3"/>
  <c r="Q18" i="3"/>
  <c r="S17" i="3"/>
  <c r="U17" i="3" s="1"/>
  <c r="N17" i="3"/>
  <c r="O17" i="3"/>
  <c r="L16" i="3"/>
  <c r="M16" i="3" s="1"/>
  <c r="O15" i="3"/>
  <c r="J15" i="3" s="1"/>
  <c r="M15" i="3"/>
  <c r="P13" i="3"/>
  <c r="Q13" i="3" s="1"/>
  <c r="N12" i="3"/>
  <c r="L11" i="3"/>
  <c r="O11" i="3" s="1"/>
  <c r="S12" i="3"/>
  <c r="U12" i="3" s="1"/>
  <c r="O12" i="3"/>
  <c r="M12" i="3"/>
  <c r="L10" i="3"/>
  <c r="O10" i="3" s="1"/>
  <c r="J10" i="3" s="1"/>
  <c r="U70" i="3" l="1"/>
  <c r="Y26" i="3"/>
  <c r="U27" i="3"/>
  <c r="Y35" i="3"/>
  <c r="J23" i="3"/>
  <c r="O66" i="3" s="1"/>
  <c r="J66" i="3" s="1"/>
  <c r="T87" i="3"/>
  <c r="J29" i="3"/>
  <c r="O72" i="3" s="1"/>
  <c r="Y24" i="3"/>
  <c r="Y17" i="3"/>
  <c r="Y40" i="3"/>
  <c r="Y41" i="3"/>
  <c r="Y39" i="3"/>
  <c r="M23" i="3"/>
  <c r="Y25" i="3"/>
  <c r="Y34" i="3"/>
  <c r="Y38" i="3"/>
  <c r="J39" i="3"/>
  <c r="J21" i="3"/>
  <c r="O64" i="3" s="1"/>
  <c r="Y64" i="3" s="1"/>
  <c r="J20" i="3"/>
  <c r="J28" i="3"/>
  <c r="O71" i="3" s="1"/>
  <c r="Y71" i="3" s="1"/>
  <c r="J11" i="3"/>
  <c r="O54" i="3" s="1"/>
  <c r="L54" i="3" s="1"/>
  <c r="M54" i="3" s="1"/>
  <c r="X19" i="3"/>
  <c r="J12" i="3"/>
  <c r="O55" i="3" s="1"/>
  <c r="J26" i="3"/>
  <c r="O69" i="3" s="1"/>
  <c r="L69" i="3" s="1"/>
  <c r="M69" i="3" s="1"/>
  <c r="X47" i="3"/>
  <c r="J17" i="3"/>
  <c r="O60" i="3" s="1"/>
  <c r="J24" i="3"/>
  <c r="O67" i="3" s="1"/>
  <c r="Y36" i="3"/>
  <c r="Q42" i="3"/>
  <c r="R13" i="3"/>
  <c r="J25" i="3"/>
  <c r="O68" i="3" s="1"/>
  <c r="L68" i="3" s="1"/>
  <c r="M68" i="3" s="1"/>
  <c r="Y37" i="3"/>
  <c r="D152" i="3"/>
  <c r="F7" i="4" s="1"/>
  <c r="S87" i="3"/>
  <c r="D137" i="3"/>
  <c r="F4" i="4" s="1"/>
  <c r="D142" i="3"/>
  <c r="F5" i="4" s="1"/>
  <c r="N47" i="3"/>
  <c r="P56" i="3"/>
  <c r="R44" i="3" s="1"/>
  <c r="P61" i="3"/>
  <c r="Q44" i="3" s="1"/>
  <c r="Q51" i="3"/>
  <c r="J47" i="3"/>
  <c r="Q85" i="3"/>
  <c r="Y47" i="3"/>
  <c r="M33" i="3"/>
  <c r="Y29" i="3"/>
  <c r="M29" i="3"/>
  <c r="Y28" i="3"/>
  <c r="M28" i="3"/>
  <c r="O27" i="3"/>
  <c r="J27" i="3" s="1"/>
  <c r="O70" i="3" s="1"/>
  <c r="Y70" i="3" s="1"/>
  <c r="M26" i="3"/>
  <c r="O22" i="3"/>
  <c r="J22" i="3" s="1"/>
  <c r="O65" i="3" s="1"/>
  <c r="Y65" i="3" s="1"/>
  <c r="M22" i="3"/>
  <c r="Y21" i="3"/>
  <c r="Y23" i="3"/>
  <c r="M27" i="3"/>
  <c r="M20" i="3"/>
  <c r="R18" i="3"/>
  <c r="X14" i="3" s="1"/>
  <c r="M17" i="3"/>
  <c r="O16" i="3"/>
  <c r="M11" i="3"/>
  <c r="Y11" i="3"/>
  <c r="Y12" i="3"/>
  <c r="M10" i="3"/>
  <c r="G15" i="2"/>
  <c r="P8" i="3"/>
  <c r="R8" i="3" s="1"/>
  <c r="S7" i="3"/>
  <c r="U7" i="3" s="1"/>
  <c r="O7" i="3"/>
  <c r="N7" i="3"/>
  <c r="M7" i="3"/>
  <c r="S6" i="3"/>
  <c r="U6" i="3" s="1"/>
  <c r="O6" i="3"/>
  <c r="N6" i="3"/>
  <c r="M6" i="3"/>
  <c r="S5" i="3"/>
  <c r="U5" i="3" s="1"/>
  <c r="O5" i="3"/>
  <c r="M5" i="3"/>
  <c r="S4" i="3"/>
  <c r="U4" i="3" s="1"/>
  <c r="O4" i="3"/>
  <c r="J4" i="3" s="1"/>
  <c r="N4" i="3"/>
  <c r="M4" i="3"/>
  <c r="C111" i="1"/>
  <c r="D4" i="2" s="1"/>
  <c r="U103" i="1"/>
  <c r="O103" i="1"/>
  <c r="J103" i="1" s="1"/>
  <c r="U102" i="1"/>
  <c r="S101" i="1"/>
  <c r="U101" i="1" s="1"/>
  <c r="U99" i="1"/>
  <c r="S98" i="1"/>
  <c r="U98" i="1" s="1"/>
  <c r="U97" i="1"/>
  <c r="U96" i="1"/>
  <c r="M94" i="1"/>
  <c r="C119" i="1" s="1"/>
  <c r="B6" i="2" s="1"/>
  <c r="J94" i="1"/>
  <c r="R92" i="1"/>
  <c r="P92" i="1" s="1"/>
  <c r="S91" i="1"/>
  <c r="U91" i="1" s="1"/>
  <c r="S90" i="1"/>
  <c r="U90" i="1" s="1"/>
  <c r="U89" i="1"/>
  <c r="U88" i="1"/>
  <c r="S87" i="1"/>
  <c r="U87" i="1" s="1"/>
  <c r="S86" i="1"/>
  <c r="U86" i="1" s="1"/>
  <c r="S85" i="1"/>
  <c r="U85" i="1" s="1"/>
  <c r="S84" i="1"/>
  <c r="U84" i="1" s="1"/>
  <c r="U83" i="1"/>
  <c r="S82" i="1"/>
  <c r="U82" i="1" s="1"/>
  <c r="L80" i="1"/>
  <c r="M80" i="1" s="1"/>
  <c r="C114" i="1" s="1"/>
  <c r="B5" i="2" s="1"/>
  <c r="J80" i="1"/>
  <c r="R78" i="1"/>
  <c r="P78" i="1" s="1"/>
  <c r="Q78" i="1" s="1"/>
  <c r="D113" i="1" s="1"/>
  <c r="F4" i="2" s="1"/>
  <c r="S77" i="1"/>
  <c r="U77" i="1" s="1"/>
  <c r="S76" i="1"/>
  <c r="U76" i="1" s="1"/>
  <c r="S75" i="1"/>
  <c r="U75" i="1" s="1"/>
  <c r="S74" i="1"/>
  <c r="U74" i="1" s="1"/>
  <c r="Y74" i="1" s="1"/>
  <c r="L74" i="1"/>
  <c r="N74" i="1" s="1"/>
  <c r="J74" i="1"/>
  <c r="O68" i="1"/>
  <c r="L68" i="1" s="1"/>
  <c r="N68" i="1" s="1"/>
  <c r="R43" i="1"/>
  <c r="X39" i="1" s="1"/>
  <c r="L59" i="1"/>
  <c r="M59" i="1" s="1"/>
  <c r="L45" i="1"/>
  <c r="M45" i="1" s="1"/>
  <c r="L39" i="1"/>
  <c r="M39" i="1" s="1"/>
  <c r="U68" i="1"/>
  <c r="U67" i="1"/>
  <c r="S66" i="1"/>
  <c r="U66" i="1" s="1"/>
  <c r="U64" i="1"/>
  <c r="S63" i="1"/>
  <c r="U63" i="1" s="1"/>
  <c r="U62" i="1"/>
  <c r="U61" i="1"/>
  <c r="S56" i="1"/>
  <c r="U56" i="1" s="1"/>
  <c r="S55" i="1"/>
  <c r="U55" i="1" s="1"/>
  <c r="U54" i="1"/>
  <c r="U53" i="1"/>
  <c r="S52" i="1"/>
  <c r="U52" i="1" s="1"/>
  <c r="S51" i="1"/>
  <c r="U51" i="1" s="1"/>
  <c r="S50" i="1"/>
  <c r="U50" i="1" s="1"/>
  <c r="S49" i="1"/>
  <c r="U49" i="1" s="1"/>
  <c r="U48" i="1"/>
  <c r="S47" i="1"/>
  <c r="U47" i="1" s="1"/>
  <c r="S42" i="1"/>
  <c r="U42" i="1" s="1"/>
  <c r="S41" i="1"/>
  <c r="U41" i="1" s="1"/>
  <c r="S40" i="1"/>
  <c r="U40" i="1" s="1"/>
  <c r="S39" i="1"/>
  <c r="U39" i="1" s="1"/>
  <c r="Y39" i="1" s="1"/>
  <c r="J39" i="1"/>
  <c r="J72" i="3" l="1"/>
  <c r="J40" i="3"/>
  <c r="J34" i="3"/>
  <c r="J33" i="3"/>
  <c r="N68" i="3"/>
  <c r="Y66" i="3"/>
  <c r="J5" i="3"/>
  <c r="O48" i="3" s="1"/>
  <c r="Y48" i="3" s="1"/>
  <c r="J37" i="3"/>
  <c r="L66" i="3"/>
  <c r="N66" i="3" s="1"/>
  <c r="D147" i="3"/>
  <c r="F6" i="4" s="1"/>
  <c r="Y72" i="3"/>
  <c r="L72" i="3"/>
  <c r="M72" i="3" s="1"/>
  <c r="J41" i="3"/>
  <c r="Q56" i="3"/>
  <c r="N69" i="3"/>
  <c r="Q104" i="1"/>
  <c r="D123" i="1" s="1"/>
  <c r="F6" i="2" s="1"/>
  <c r="R71" i="1"/>
  <c r="Y54" i="3"/>
  <c r="N54" i="3"/>
  <c r="Q92" i="1"/>
  <c r="D118" i="1" s="1"/>
  <c r="F5" i="2" s="1"/>
  <c r="J54" i="3"/>
  <c r="Y7" i="3"/>
  <c r="Y22" i="3"/>
  <c r="J6" i="3"/>
  <c r="O49" i="3" s="1"/>
  <c r="L49" i="3" s="1"/>
  <c r="M49" i="3" s="1"/>
  <c r="J38" i="3"/>
  <c r="J35" i="3"/>
  <c r="Y5" i="3"/>
  <c r="R87" i="3"/>
  <c r="Y4" i="3"/>
  <c r="J32" i="3"/>
  <c r="J36" i="3"/>
  <c r="J16" i="3"/>
  <c r="O59" i="3" s="1"/>
  <c r="Y16" i="3"/>
  <c r="Q61" i="3"/>
  <c r="J67" i="3"/>
  <c r="L67" i="3"/>
  <c r="Y67" i="3"/>
  <c r="Y27" i="3"/>
  <c r="J70" i="3"/>
  <c r="L70" i="3"/>
  <c r="Q87" i="3"/>
  <c r="L60" i="3"/>
  <c r="J60" i="3"/>
  <c r="S44" i="3"/>
  <c r="Y6" i="3"/>
  <c r="Y68" i="3"/>
  <c r="L55" i="3"/>
  <c r="J55" i="3"/>
  <c r="Y55" i="3"/>
  <c r="J64" i="3"/>
  <c r="L64" i="3"/>
  <c r="L65" i="3"/>
  <c r="J65" i="3"/>
  <c r="J68" i="3"/>
  <c r="J71" i="3"/>
  <c r="L71" i="3"/>
  <c r="Y60" i="3"/>
  <c r="Y69" i="3"/>
  <c r="J69" i="3"/>
  <c r="J7" i="3"/>
  <c r="O50" i="3" s="1"/>
  <c r="Q8" i="3"/>
  <c r="L103" i="1"/>
  <c r="N103" i="1" s="1"/>
  <c r="M74" i="1"/>
  <c r="Y103" i="1"/>
  <c r="M68" i="1"/>
  <c r="Y68" i="1"/>
  <c r="P43" i="1"/>
  <c r="P57" i="1"/>
  <c r="P71" i="1" s="1"/>
  <c r="N39" i="1"/>
  <c r="J59" i="1"/>
  <c r="J68" i="1"/>
  <c r="J45" i="1"/>
  <c r="Q69" i="1"/>
  <c r="L48" i="3" l="1"/>
  <c r="M48" i="3" s="1"/>
  <c r="M66" i="3"/>
  <c r="J48" i="3"/>
  <c r="N72" i="3"/>
  <c r="C109" i="1"/>
  <c r="B4" i="4"/>
  <c r="Y49" i="3"/>
  <c r="N49" i="3"/>
  <c r="J49" i="3"/>
  <c r="N71" i="3"/>
  <c r="M71" i="3"/>
  <c r="N64" i="3"/>
  <c r="M64" i="3"/>
  <c r="N67" i="3"/>
  <c r="M67" i="3"/>
  <c r="M60" i="3"/>
  <c r="N60" i="3"/>
  <c r="N55" i="3"/>
  <c r="M55" i="3"/>
  <c r="J50" i="3"/>
  <c r="L50" i="3"/>
  <c r="Y50" i="3"/>
  <c r="N70" i="3"/>
  <c r="M70" i="3"/>
  <c r="J59" i="3"/>
  <c r="Y59" i="3"/>
  <c r="L59" i="3"/>
  <c r="M65" i="3"/>
  <c r="N65" i="3"/>
  <c r="Q57" i="1"/>
  <c r="Q43" i="1"/>
  <c r="Q71" i="1"/>
  <c r="M103" i="1"/>
  <c r="H4" i="4" l="1"/>
  <c r="G4" i="4"/>
  <c r="C139" i="3"/>
  <c r="C5" i="4" s="1"/>
  <c r="B9" i="4"/>
  <c r="B4" i="2"/>
  <c r="C151" i="3"/>
  <c r="E7" i="4" s="1"/>
  <c r="N59" i="3"/>
  <c r="M59" i="3"/>
  <c r="C145" i="3"/>
  <c r="D6" i="4" s="1"/>
  <c r="C149" i="3"/>
  <c r="M50" i="3"/>
  <c r="N50" i="3"/>
  <c r="H4" i="2" l="1"/>
  <c r="G4" i="2"/>
  <c r="G6" i="4"/>
  <c r="H6" i="4"/>
  <c r="C140" i="3"/>
  <c r="D5" i="4" s="1"/>
  <c r="C150" i="3"/>
  <c r="D7" i="4" s="1"/>
  <c r="C7" i="4"/>
  <c r="A14" i="4"/>
  <c r="B7" i="2"/>
  <c r="C136" i="3"/>
  <c r="E4" i="4" s="1"/>
  <c r="C144" i="3"/>
  <c r="C134" i="3"/>
  <c r="G5" i="4" l="1"/>
  <c r="H5" i="4"/>
  <c r="K5" i="4"/>
  <c r="I5" i="4"/>
  <c r="J5" i="4"/>
  <c r="L5" i="4" s="1"/>
  <c r="J7" i="4"/>
  <c r="L7" i="4" s="1"/>
  <c r="I7" i="4"/>
  <c r="H7" i="4"/>
  <c r="G7" i="4"/>
  <c r="K7" i="4"/>
  <c r="C4" i="4"/>
  <c r="A12" i="2"/>
  <c r="U32" i="1"/>
  <c r="U29" i="1"/>
  <c r="U27" i="1"/>
  <c r="L25" i="1"/>
  <c r="L24" i="1"/>
  <c r="P22" i="1"/>
  <c r="S20" i="1"/>
  <c r="U20" i="1" s="1"/>
  <c r="U19" i="1"/>
  <c r="L19" i="1"/>
  <c r="S17" i="1"/>
  <c r="S16" i="1"/>
  <c r="U16" i="1" s="1"/>
  <c r="S31" i="1"/>
  <c r="U31" i="1" s="1"/>
  <c r="S15" i="1"/>
  <c r="U15" i="1" s="1"/>
  <c r="S12" i="1"/>
  <c r="L10" i="1"/>
  <c r="P8" i="1"/>
  <c r="Q36" i="1" s="1"/>
  <c r="S28" i="1"/>
  <c r="U28" i="1" s="1"/>
  <c r="S21" i="1"/>
  <c r="U21" i="1" s="1"/>
  <c r="S6" i="1"/>
  <c r="U6" i="1" s="1"/>
  <c r="I4" i="4" l="1"/>
  <c r="J4" i="4"/>
  <c r="L4" i="4" s="1"/>
  <c r="K4" i="4"/>
  <c r="C6" i="4"/>
  <c r="Q34" i="1"/>
  <c r="U33" i="1"/>
  <c r="O33" i="1"/>
  <c r="N33" i="1"/>
  <c r="M33" i="1"/>
  <c r="O32" i="1"/>
  <c r="N32" i="1"/>
  <c r="M32" i="1"/>
  <c r="O31" i="1"/>
  <c r="N31" i="1"/>
  <c r="M31" i="1"/>
  <c r="O30" i="1"/>
  <c r="Y30" i="1" s="1"/>
  <c r="N30" i="1"/>
  <c r="M30" i="1"/>
  <c r="O29" i="1"/>
  <c r="N29" i="1"/>
  <c r="M29" i="1"/>
  <c r="O28" i="1"/>
  <c r="Y28" i="1" s="1"/>
  <c r="N28" i="1"/>
  <c r="M28" i="1"/>
  <c r="O27" i="1"/>
  <c r="N27" i="1"/>
  <c r="M27" i="1"/>
  <c r="U26" i="1"/>
  <c r="O26" i="1"/>
  <c r="N26" i="1"/>
  <c r="M26" i="1"/>
  <c r="O24" i="1"/>
  <c r="M24" i="1"/>
  <c r="R22" i="1"/>
  <c r="Q22" i="1"/>
  <c r="L21" i="1"/>
  <c r="O21" i="1" s="1"/>
  <c r="L20" i="1"/>
  <c r="O20" i="1" s="1"/>
  <c r="O19" i="1"/>
  <c r="U18" i="1"/>
  <c r="O18" i="1"/>
  <c r="N18" i="1"/>
  <c r="M18" i="1"/>
  <c r="U17" i="1"/>
  <c r="O17" i="1"/>
  <c r="N17" i="1"/>
  <c r="M17" i="1"/>
  <c r="L16" i="1"/>
  <c r="O16" i="1" s="1"/>
  <c r="N15" i="1"/>
  <c r="L15" i="1" s="1"/>
  <c r="S14" i="1"/>
  <c r="U14" i="1" s="1"/>
  <c r="O14" i="1"/>
  <c r="N14" i="1"/>
  <c r="M14" i="1"/>
  <c r="U13" i="1"/>
  <c r="O13" i="1"/>
  <c r="N13" i="1"/>
  <c r="M13" i="1"/>
  <c r="U12" i="1"/>
  <c r="O12" i="1"/>
  <c r="N12" i="1"/>
  <c r="M12" i="1"/>
  <c r="L11" i="1"/>
  <c r="M11" i="1" s="1"/>
  <c r="O10" i="1"/>
  <c r="M10" i="1"/>
  <c r="R8" i="1"/>
  <c r="Q8" i="1"/>
  <c r="S7" i="1"/>
  <c r="U7" i="1" s="1"/>
  <c r="O7" i="1"/>
  <c r="N7" i="1"/>
  <c r="M7" i="1"/>
  <c r="O6" i="1"/>
  <c r="Y6" i="1" s="1"/>
  <c r="N6" i="1"/>
  <c r="M6" i="1"/>
  <c r="S5" i="1"/>
  <c r="U5" i="1" s="1"/>
  <c r="O5" i="1"/>
  <c r="M5" i="1"/>
  <c r="S4" i="1"/>
  <c r="U4" i="1" s="1"/>
  <c r="O4" i="1"/>
  <c r="J4" i="1" s="1"/>
  <c r="N4" i="1"/>
  <c r="M4" i="1"/>
  <c r="I6" i="4" l="1"/>
  <c r="J6" i="4"/>
  <c r="L6" i="4" s="1"/>
  <c r="K6" i="4"/>
  <c r="Y33" i="1"/>
  <c r="Y26" i="1"/>
  <c r="X9" i="1"/>
  <c r="X4" i="1"/>
  <c r="J30" i="1"/>
  <c r="O65" i="1" s="1"/>
  <c r="Y17" i="1"/>
  <c r="Y16" i="1"/>
  <c r="J33" i="1"/>
  <c r="J29" i="1"/>
  <c r="O64" i="1" s="1"/>
  <c r="Y5" i="1"/>
  <c r="J27" i="1"/>
  <c r="O62" i="1" s="1"/>
  <c r="Y31" i="1"/>
  <c r="M16" i="1"/>
  <c r="Y7" i="1"/>
  <c r="Y13" i="1"/>
  <c r="Y18" i="1"/>
  <c r="J26" i="1"/>
  <c r="O61" i="1" s="1"/>
  <c r="M19" i="1"/>
  <c r="J24" i="1"/>
  <c r="Y27" i="1"/>
  <c r="Y29" i="1"/>
  <c r="Y4" i="1"/>
  <c r="J18" i="1"/>
  <c r="O53" i="1" s="1"/>
  <c r="J5" i="1"/>
  <c r="O40" i="1" s="1"/>
  <c r="J28" i="1"/>
  <c r="O63" i="1" s="1"/>
  <c r="J31" i="1"/>
  <c r="O66" i="1" s="1"/>
  <c r="J32" i="1"/>
  <c r="O67" i="1" s="1"/>
  <c r="Y12" i="1"/>
  <c r="Y14" i="1"/>
  <c r="Y32" i="1"/>
  <c r="J12" i="1"/>
  <c r="O47" i="1" s="1"/>
  <c r="J14" i="1"/>
  <c r="O49" i="1" s="1"/>
  <c r="J19" i="1"/>
  <c r="O54" i="1" s="1"/>
  <c r="J10" i="1"/>
  <c r="J20" i="1"/>
  <c r="O55" i="1" s="1"/>
  <c r="J21" i="1"/>
  <c r="O56" i="1" s="1"/>
  <c r="J16" i="1"/>
  <c r="O51" i="1" s="1"/>
  <c r="J13" i="1"/>
  <c r="O48" i="1" s="1"/>
  <c r="O15" i="1"/>
  <c r="J15" i="1" s="1"/>
  <c r="O50" i="1" s="1"/>
  <c r="M15" i="1"/>
  <c r="Y21" i="1"/>
  <c r="J17" i="1"/>
  <c r="O52" i="1" s="1"/>
  <c r="M21" i="1"/>
  <c r="J7" i="1"/>
  <c r="O42" i="1" s="1"/>
  <c r="O11" i="1"/>
  <c r="J11" i="1" s="1"/>
  <c r="O46" i="1" s="1"/>
  <c r="Y19" i="1"/>
  <c r="J6" i="1"/>
  <c r="O41" i="1" s="1"/>
  <c r="M20" i="1"/>
  <c r="L51" i="1" l="1"/>
  <c r="Y51" i="1"/>
  <c r="J51" i="1"/>
  <c r="O86" i="1" s="1"/>
  <c r="L65" i="1"/>
  <c r="N65" i="1" s="1"/>
  <c r="Y65" i="1"/>
  <c r="J65" i="1"/>
  <c r="O100" i="1" s="1"/>
  <c r="L56" i="1"/>
  <c r="Y56" i="1"/>
  <c r="J56" i="1"/>
  <c r="O91" i="1" s="1"/>
  <c r="L48" i="1"/>
  <c r="N48" i="1" s="1"/>
  <c r="J48" i="1"/>
  <c r="O83" i="1" s="1"/>
  <c r="Y48" i="1"/>
  <c r="L46" i="1"/>
  <c r="J46" i="1"/>
  <c r="O81" i="1" s="1"/>
  <c r="Y46" i="1"/>
  <c r="J42" i="1"/>
  <c r="O77" i="1" s="1"/>
  <c r="L42" i="1"/>
  <c r="Y42" i="1"/>
  <c r="L55" i="1"/>
  <c r="J55" i="1"/>
  <c r="O90" i="1" s="1"/>
  <c r="Y90" i="1" s="1"/>
  <c r="L67" i="1"/>
  <c r="N67" i="1" s="1"/>
  <c r="J67" i="1"/>
  <c r="O102" i="1" s="1"/>
  <c r="Y67" i="1"/>
  <c r="L62" i="1"/>
  <c r="N62" i="1" s="1"/>
  <c r="L61" i="1"/>
  <c r="N61" i="1" s="1"/>
  <c r="Y62" i="1"/>
  <c r="J62" i="1"/>
  <c r="O97" i="1" s="1"/>
  <c r="J52" i="1"/>
  <c r="O87" i="1" s="1"/>
  <c r="L52" i="1"/>
  <c r="N52" i="1" s="1"/>
  <c r="Y52" i="1"/>
  <c r="L66" i="1"/>
  <c r="N66" i="1" s="1"/>
  <c r="J66" i="1"/>
  <c r="O101" i="1" s="1"/>
  <c r="Y66" i="1"/>
  <c r="L54" i="1"/>
  <c r="J54" i="1"/>
  <c r="O89" i="1" s="1"/>
  <c r="Y54" i="1"/>
  <c r="L63" i="1"/>
  <c r="N63" i="1" s="1"/>
  <c r="J63" i="1"/>
  <c r="O98" i="1" s="1"/>
  <c r="Y63" i="1"/>
  <c r="J61" i="1"/>
  <c r="O96" i="1" s="1"/>
  <c r="Y61" i="1"/>
  <c r="L64" i="1"/>
  <c r="N64" i="1" s="1"/>
  <c r="Y64" i="1"/>
  <c r="J64" i="1"/>
  <c r="O99" i="1" s="1"/>
  <c r="J49" i="1"/>
  <c r="O84" i="1" s="1"/>
  <c r="L49" i="1"/>
  <c r="N49" i="1" s="1"/>
  <c r="Y49" i="1"/>
  <c r="L40" i="1"/>
  <c r="M40" i="1" s="1"/>
  <c r="J40" i="1"/>
  <c r="O75" i="1" s="1"/>
  <c r="Y40" i="1"/>
  <c r="J41" i="1"/>
  <c r="O76" i="1" s="1"/>
  <c r="L41" i="1"/>
  <c r="Y41" i="1"/>
  <c r="L50" i="1"/>
  <c r="Y50" i="1"/>
  <c r="J50" i="1"/>
  <c r="O85" i="1" s="1"/>
  <c r="J47" i="1"/>
  <c r="O82" i="1" s="1"/>
  <c r="L47" i="1"/>
  <c r="N47" i="1" s="1"/>
  <c r="Y47" i="1"/>
  <c r="L53" i="1"/>
  <c r="N53" i="1" s="1"/>
  <c r="J53" i="1"/>
  <c r="O88" i="1" s="1"/>
  <c r="Y53" i="1"/>
  <c r="Y11" i="1"/>
  <c r="Y15" i="1"/>
  <c r="M55" i="1" l="1"/>
  <c r="N55" i="1"/>
  <c r="M54" i="1"/>
  <c r="N54" i="1"/>
  <c r="M51" i="1"/>
  <c r="N51" i="1"/>
  <c r="M50" i="1"/>
  <c r="N50" i="1"/>
  <c r="M46" i="1"/>
  <c r="N46" i="1"/>
  <c r="M56" i="1"/>
  <c r="N56" i="1"/>
  <c r="L81" i="1"/>
  <c r="J81" i="1"/>
  <c r="Y81" i="1"/>
  <c r="L84" i="1"/>
  <c r="N84" i="1" s="1"/>
  <c r="J84" i="1"/>
  <c r="Y84" i="1"/>
  <c r="M67" i="1"/>
  <c r="M53" i="1"/>
  <c r="L87" i="1"/>
  <c r="N87" i="1" s="1"/>
  <c r="Y87" i="1"/>
  <c r="J87" i="1"/>
  <c r="L76" i="1"/>
  <c r="J76" i="1"/>
  <c r="Y76" i="1"/>
  <c r="M65" i="1"/>
  <c r="J82" i="1"/>
  <c r="L82" i="1"/>
  <c r="N82" i="1" s="1"/>
  <c r="Y82" i="1"/>
  <c r="L75" i="1"/>
  <c r="M75" i="1" s="1"/>
  <c r="Y75" i="1"/>
  <c r="J75" i="1"/>
  <c r="M61" i="1"/>
  <c r="N42" i="1"/>
  <c r="M42" i="1"/>
  <c r="J83" i="1"/>
  <c r="L83" i="1"/>
  <c r="N83" i="1" s="1"/>
  <c r="Y83" i="1"/>
  <c r="L86" i="1"/>
  <c r="J86" i="1"/>
  <c r="Y86" i="1"/>
  <c r="J98" i="1"/>
  <c r="L98" i="1"/>
  <c r="N98" i="1" s="1"/>
  <c r="Y98" i="1"/>
  <c r="Y108" i="1" s="1"/>
  <c r="L102" i="1"/>
  <c r="N102" i="1" s="1"/>
  <c r="J102" i="1"/>
  <c r="Y102" i="1"/>
  <c r="L88" i="1"/>
  <c r="N88" i="1" s="1"/>
  <c r="J88" i="1"/>
  <c r="Y88" i="1"/>
  <c r="M52" i="1"/>
  <c r="M41" i="1"/>
  <c r="N41" i="1"/>
  <c r="L100" i="1"/>
  <c r="N100" i="1" s="1"/>
  <c r="Y100" i="1"/>
  <c r="J100" i="1"/>
  <c r="L96" i="1"/>
  <c r="N96" i="1" s="1"/>
  <c r="J97" i="1"/>
  <c r="L97" i="1"/>
  <c r="N97" i="1" s="1"/>
  <c r="Y97" i="1"/>
  <c r="M47" i="1"/>
  <c r="M64" i="1"/>
  <c r="J96" i="1"/>
  <c r="Y96" i="1"/>
  <c r="L101" i="1"/>
  <c r="N101" i="1" s="1"/>
  <c r="J101" i="1"/>
  <c r="Y101" i="1"/>
  <c r="M62" i="1"/>
  <c r="J77" i="1"/>
  <c r="Y77" i="1"/>
  <c r="L77" i="1"/>
  <c r="M48" i="1"/>
  <c r="M49" i="1"/>
  <c r="M63" i="1"/>
  <c r="J99" i="1"/>
  <c r="L99" i="1"/>
  <c r="N99" i="1" s="1"/>
  <c r="Y99" i="1"/>
  <c r="J90" i="1"/>
  <c r="L90" i="1"/>
  <c r="J89" i="1"/>
  <c r="L89" i="1"/>
  <c r="Y89" i="1"/>
  <c r="L85" i="1"/>
  <c r="Y85" i="1"/>
  <c r="J85" i="1"/>
  <c r="M66" i="1"/>
  <c r="L91" i="1"/>
  <c r="J91" i="1"/>
  <c r="Y91" i="1"/>
  <c r="M81" i="1" l="1"/>
  <c r="N81" i="1"/>
  <c r="M85" i="1"/>
  <c r="N85" i="1"/>
  <c r="M89" i="1"/>
  <c r="N89" i="1"/>
  <c r="M91" i="1"/>
  <c r="C117" i="1" s="1"/>
  <c r="E5" i="2" s="1"/>
  <c r="N91" i="1"/>
  <c r="M90" i="1"/>
  <c r="N90" i="1"/>
  <c r="M86" i="1"/>
  <c r="N86" i="1"/>
  <c r="M101" i="1"/>
  <c r="M97" i="1"/>
  <c r="M76" i="1"/>
  <c r="N76" i="1"/>
  <c r="M98" i="1"/>
  <c r="C122" i="1" s="1"/>
  <c r="E6" i="2" s="1"/>
  <c r="M83" i="1"/>
  <c r="N77" i="1"/>
  <c r="M77" i="1"/>
  <c r="C110" i="1" s="1"/>
  <c r="M96" i="1"/>
  <c r="M84" i="1"/>
  <c r="M102" i="1"/>
  <c r="M82" i="1"/>
  <c r="M88" i="1"/>
  <c r="M99" i="1"/>
  <c r="M87" i="1"/>
  <c r="M100" i="1"/>
  <c r="C115" i="1" l="1"/>
  <c r="C116" i="1"/>
  <c r="D5" i="2" s="1"/>
  <c r="C112" i="1"/>
  <c r="E4" i="2" s="1"/>
  <c r="E7" i="2" s="1"/>
  <c r="D12" i="2" s="1"/>
  <c r="C121" i="1"/>
  <c r="D6" i="2" s="1"/>
  <c r="C4" i="2"/>
  <c r="C5" i="2"/>
  <c r="O25" i="1"/>
  <c r="J5" i="2" l="1"/>
  <c r="L5" i="2" s="1"/>
  <c r="I5" i="2"/>
  <c r="I4" i="2"/>
  <c r="J4" i="2"/>
  <c r="L4" i="2" s="1"/>
  <c r="K4" i="2"/>
  <c r="H6" i="2"/>
  <c r="G6" i="2"/>
  <c r="H5" i="2"/>
  <c r="G5" i="2"/>
  <c r="K5" i="2"/>
  <c r="D7" i="2"/>
  <c r="Y25" i="1"/>
  <c r="J25" i="1"/>
  <c r="O60" i="1" s="1"/>
  <c r="M25" i="1"/>
  <c r="H7" i="2" l="1"/>
  <c r="G13" i="2" s="1"/>
  <c r="C12" i="2"/>
  <c r="L60" i="1"/>
  <c r="Y60" i="1"/>
  <c r="J60" i="1"/>
  <c r="O95" i="1" s="1"/>
  <c r="M60" i="1" l="1"/>
  <c r="N60" i="1"/>
  <c r="L95" i="1"/>
  <c r="J95" i="1"/>
  <c r="Y95" i="1"/>
  <c r="Y107" i="1" l="1"/>
  <c r="M95" i="1"/>
  <c r="N95" i="1"/>
  <c r="Y110" i="1" l="1"/>
  <c r="Z107" i="1"/>
  <c r="AA107" i="1" s="1"/>
  <c r="Y109" i="1" s="1"/>
  <c r="C120" i="1"/>
  <c r="C6" i="2" l="1"/>
  <c r="I6" i="2" l="1"/>
  <c r="J6" i="2"/>
  <c r="L6" i="2" s="1"/>
  <c r="K6" i="2"/>
  <c r="C7" i="2"/>
  <c r="B12" i="2" l="1"/>
  <c r="J7" i="2"/>
  <c r="K7" i="2"/>
  <c r="I13" i="2" s="1"/>
  <c r="L7" i="2" l="1"/>
  <c r="H13" i="2"/>
  <c r="L79" i="3" l="1"/>
  <c r="N79" i="3" s="1"/>
  <c r="M79" i="3"/>
  <c r="J76" i="3"/>
  <c r="J83" i="3"/>
  <c r="L81" i="3"/>
  <c r="N81" i="3" s="1"/>
  <c r="M81" i="3"/>
  <c r="O80" i="3"/>
  <c r="J80" i="3" s="1"/>
  <c r="Y80" i="3"/>
  <c r="O77" i="3"/>
  <c r="J77" i="3" s="1"/>
  <c r="Y77" i="3"/>
  <c r="O78" i="3"/>
  <c r="Y78" i="3" s="1"/>
  <c r="O84" i="3"/>
  <c r="J84" i="3" s="1"/>
  <c r="Y84" i="3"/>
  <c r="O79" i="3"/>
  <c r="Y79" i="3" s="1"/>
  <c r="O81" i="3"/>
  <c r="J81" i="3" s="1"/>
  <c r="Y81" i="3"/>
  <c r="Y76" i="3"/>
  <c r="M76" i="3"/>
  <c r="O76" i="3"/>
  <c r="L76" i="3"/>
  <c r="N76" i="3"/>
  <c r="O83" i="3"/>
  <c r="L83" i="3" s="1"/>
  <c r="Y83" i="3"/>
  <c r="O82" i="3"/>
  <c r="L82" i="3" s="1"/>
  <c r="Y82" i="3"/>
  <c r="P73" i="3"/>
  <c r="X62" i="3"/>
  <c r="J75" i="3"/>
  <c r="X74" i="3"/>
  <c r="L75" i="3"/>
  <c r="M75" i="3" s="1"/>
  <c r="N82" i="3" l="1"/>
  <c r="M82" i="3"/>
  <c r="P44" i="3"/>
  <c r="Q73" i="3"/>
  <c r="P87" i="3"/>
  <c r="M83" i="3"/>
  <c r="N83" i="3"/>
  <c r="L80" i="3"/>
  <c r="J79" i="3"/>
  <c r="L77" i="3"/>
  <c r="J82" i="3"/>
  <c r="L84" i="3"/>
  <c r="L78" i="3"/>
  <c r="J78" i="3"/>
  <c r="M78" i="3" l="1"/>
  <c r="N78" i="3"/>
  <c r="M77" i="3"/>
  <c r="N77" i="3"/>
  <c r="M84" i="3"/>
  <c r="N84" i="3"/>
  <c r="N80" i="3"/>
  <c r="M80" i="3"/>
  <c r="C154" i="3" l="1"/>
  <c r="C8" i="4" s="1"/>
  <c r="C155" i="3"/>
  <c r="D8" i="4" s="1"/>
  <c r="C156" i="3"/>
  <c r="E8" i="4" s="1"/>
  <c r="E9" i="4" s="1"/>
  <c r="D14" i="4" s="1"/>
  <c r="H8" i="4" l="1"/>
  <c r="D9" i="4"/>
  <c r="K8" i="4"/>
  <c r="G8" i="4"/>
  <c r="J8" i="4"/>
  <c r="L8" i="4" s="1"/>
  <c r="C9" i="4"/>
  <c r="I8" i="4"/>
  <c r="J9" i="4" l="1"/>
  <c r="B14" i="4"/>
  <c r="H9" i="4"/>
  <c r="F15" i="4" s="1"/>
  <c r="C14" i="4"/>
  <c r="K9" i="4"/>
  <c r="H15" i="4" s="1"/>
  <c r="L9" i="4" l="1"/>
  <c r="G15" i="4"/>
</calcChain>
</file>

<file path=xl/comments1.xml><?xml version="1.0" encoding="utf-8"?>
<comments xmlns="http://schemas.openxmlformats.org/spreadsheetml/2006/main">
  <authors>
    <author>Microsoft Office User</author>
  </authors>
  <commentList>
    <comment ref="F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u/>
            <sz val="10"/>
            <color indexed="81"/>
            <rFont val="Calibri"/>
            <family val="2"/>
          </rPr>
          <t xml:space="preserve">A choice of: </t>
        </r>
        <r>
          <rPr>
            <sz val="10"/>
            <color indexed="81"/>
            <rFont val="Calibri"/>
            <family val="2"/>
          </rPr>
          <t xml:space="preserve">
Raw material
Solvent
Reagent
Water
Intermediate (internal/ external)</t>
        </r>
      </text>
    </comment>
    <comment ref="J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38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u/>
            <sz val="10"/>
            <color indexed="81"/>
            <rFont val="Calibri"/>
            <family val="2"/>
          </rPr>
          <t xml:space="preserve">A choice of: </t>
        </r>
        <r>
          <rPr>
            <sz val="10"/>
            <color indexed="81"/>
            <rFont val="Calibri"/>
            <family val="2"/>
          </rPr>
          <t xml:space="preserve">
Raw material
Solvent
Reagent
Water
Intermediate (internal/ external)</t>
        </r>
      </text>
    </comment>
    <comment ref="J38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38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38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7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u/>
            <sz val="10"/>
            <color indexed="81"/>
            <rFont val="Calibri"/>
            <family val="2"/>
          </rPr>
          <t xml:space="preserve">A choice of: </t>
        </r>
        <r>
          <rPr>
            <sz val="10"/>
            <color indexed="81"/>
            <rFont val="Calibri"/>
            <family val="2"/>
          </rPr>
          <t xml:space="preserve">
Raw material
Solvent
Reagent
Water
Intermediate (internal/ external)</t>
        </r>
      </text>
    </comment>
    <comment ref="J7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7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7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Microsoft Office User</author>
  </authors>
  <commentList>
    <comment ref="F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u/>
            <sz val="10"/>
            <color indexed="81"/>
            <rFont val="Calibri"/>
            <family val="2"/>
          </rPr>
          <t xml:space="preserve">A choice of: </t>
        </r>
        <r>
          <rPr>
            <sz val="10"/>
            <color indexed="81"/>
            <rFont val="Calibri"/>
            <family val="2"/>
          </rPr>
          <t xml:space="preserve">
Raw material
Solvent
Reagent
Water
Intermediate (internal/ external)</t>
        </r>
      </text>
    </comment>
    <comment ref="J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46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u/>
            <sz val="10"/>
            <color indexed="81"/>
            <rFont val="Calibri"/>
            <family val="2"/>
          </rPr>
          <t xml:space="preserve">A choice of: </t>
        </r>
        <r>
          <rPr>
            <sz val="10"/>
            <color indexed="81"/>
            <rFont val="Calibri"/>
            <family val="2"/>
          </rPr>
          <t xml:space="preserve">
Raw material
Solvent
Reagent
Water
Intermediate (internal/ external)</t>
        </r>
      </text>
    </comment>
    <comment ref="J46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46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46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89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u/>
            <sz val="10"/>
            <color indexed="81"/>
            <rFont val="Calibri"/>
            <family val="2"/>
          </rPr>
          <t xml:space="preserve">A choice of: </t>
        </r>
        <r>
          <rPr>
            <sz val="10"/>
            <color indexed="81"/>
            <rFont val="Calibri"/>
            <family val="2"/>
          </rPr>
          <t xml:space="preserve">
Raw material
Solvent
Reagent
Water
Intermediate (internal/ external)</t>
        </r>
      </text>
    </comment>
    <comment ref="J89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89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89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<sst xmlns="http://schemas.openxmlformats.org/spreadsheetml/2006/main" count="1464" uniqueCount="243">
  <si>
    <r>
      <t xml:space="preserve">Table 1C: Chemical material quantities, cost and operating conditions per synthesis step to produce bis-THF alcohol as per experimental procedure (Moore et al., 2017) - </t>
    </r>
    <r>
      <rPr>
        <b/>
        <sz val="12"/>
        <color rgb="FFFF0000"/>
        <rFont val="Calibri (Body)_x0000_"/>
      </rPr>
      <t>Masses between synthesis steps do not balance</t>
    </r>
  </si>
  <si>
    <t>Step No.</t>
  </si>
  <si>
    <t>Input Schematic No.</t>
  </si>
  <si>
    <t>Output Schematic No.</t>
  </si>
  <si>
    <t>Input Material Name</t>
  </si>
  <si>
    <t>Condensed Chemical Formula</t>
  </si>
  <si>
    <t>Material Category</t>
  </si>
  <si>
    <t>Output Material Name</t>
  </si>
  <si>
    <t>Molecular Weight (g/mol)</t>
  </si>
  <si>
    <t>Density (g/ml)</t>
  </si>
  <si>
    <t>Molar Equivalence</t>
  </si>
  <si>
    <t>Concentration</t>
  </si>
  <si>
    <t>Input Mass (g)</t>
  </si>
  <si>
    <t>Input Mass (kg)</t>
  </si>
  <si>
    <t>Input Volume (ml)</t>
  </si>
  <si>
    <t>Input mol</t>
  </si>
  <si>
    <t>Output Mass (g)</t>
  </si>
  <si>
    <t>Output Mass (kg)</t>
  </si>
  <si>
    <t>Output mol</t>
  </si>
  <si>
    <r>
      <t xml:space="preserve">Sigma-Aldrich Catalogue Price ($/unit) - </t>
    </r>
    <r>
      <rPr>
        <b/>
        <sz val="12"/>
        <color theme="1"/>
        <rFont val="Calibri (Body)_x0000_"/>
      </rPr>
      <t>February 2019</t>
    </r>
  </si>
  <si>
    <t>Unit</t>
  </si>
  <si>
    <t>Cost per mol ($/mol)</t>
  </si>
  <si>
    <t>Sigma-Aldrich Catalogue No.</t>
  </si>
  <si>
    <t>CAS No.</t>
  </si>
  <si>
    <t>Yield</t>
  </si>
  <si>
    <t>Cost of Material ($)</t>
  </si>
  <si>
    <t>Temperature (℃)</t>
  </si>
  <si>
    <t xml:space="preserve"> Pressure (atm)</t>
  </si>
  <si>
    <t>Reaction Time (hr)</t>
  </si>
  <si>
    <t>Potassium Isocitrate</t>
  </si>
  <si>
    <t>58790-1G</t>
  </si>
  <si>
    <t>20226-99-7</t>
  </si>
  <si>
    <t>Amberlyst 15</t>
  </si>
  <si>
    <t>Filter</t>
  </si>
  <si>
    <t>1 kg</t>
  </si>
  <si>
    <t>06423-1KG</t>
  </si>
  <si>
    <t>39389-20-3</t>
  </si>
  <si>
    <t>Water</t>
  </si>
  <si>
    <r>
      <t>H</t>
    </r>
    <r>
      <rPr>
        <vertAlign val="subscript"/>
        <sz val="12"/>
        <color rgb="FF0070C0"/>
        <rFont val="Calibri"/>
        <family val="2"/>
        <scheme val="minor"/>
      </rPr>
      <t>2</t>
    </r>
    <r>
      <rPr>
        <sz val="12"/>
        <color rgb="FF0070C0"/>
        <rFont val="Calibri"/>
        <family val="2"/>
        <scheme val="minor"/>
      </rPr>
      <t>O</t>
    </r>
  </si>
  <si>
    <t>1 L</t>
  </si>
  <si>
    <t>7732-18-5</t>
  </si>
  <si>
    <r>
      <t>C</t>
    </r>
    <r>
      <rPr>
        <vertAlign val="subscript"/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 xml:space="preserve">O </t>
    </r>
  </si>
  <si>
    <t>Solvent</t>
  </si>
  <si>
    <t>20 L</t>
  </si>
  <si>
    <t>155810-20L</t>
  </si>
  <si>
    <t>96-47-9</t>
  </si>
  <si>
    <r>
      <t>C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6</t>
    </r>
  </si>
  <si>
    <t>Intermediate (external)</t>
  </si>
  <si>
    <t xml:space="preserve">(2R,3S)-5-Oxytetrahydrofuran-2,3-dicarboxylic acid </t>
  </si>
  <si>
    <r>
      <t>C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12</t>
    </r>
    <r>
      <rPr>
        <sz val="12"/>
        <color theme="1"/>
        <rFont val="Calibri"/>
        <family val="2"/>
        <scheme val="minor"/>
      </rPr>
      <t>O</t>
    </r>
  </si>
  <si>
    <t>200 L</t>
  </si>
  <si>
    <t>5614-37-90</t>
  </si>
  <si>
    <r>
      <t>C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</si>
  <si>
    <t>Reagent</t>
  </si>
  <si>
    <t>320102-1L</t>
  </si>
  <si>
    <t>108-24-7</t>
  </si>
  <si>
    <r>
      <t>C</t>
    </r>
    <r>
      <rPr>
        <vertAlign val="subscript"/>
        <sz val="12"/>
        <color theme="1"/>
        <rFont val="Calibri (Body)"/>
      </rPr>
      <t>6</t>
    </r>
    <r>
      <rPr>
        <sz val="12"/>
        <color theme="1"/>
        <rFont val="Calibri (Body)"/>
      </rPr>
      <t>H</t>
    </r>
    <r>
      <rPr>
        <vertAlign val="subscript"/>
        <sz val="12"/>
        <color theme="1"/>
        <rFont val="Calibri (Body)"/>
      </rPr>
      <t>4</t>
    </r>
    <r>
      <rPr>
        <sz val="12"/>
        <color theme="1"/>
        <rFont val="Calibri (Body)"/>
      </rPr>
      <t>O</t>
    </r>
    <r>
      <rPr>
        <vertAlign val="subscript"/>
        <sz val="12"/>
        <color theme="1"/>
        <rFont val="Calibri (Body)"/>
      </rPr>
      <t>5</t>
    </r>
  </si>
  <si>
    <r>
      <t>C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O</t>
    </r>
  </si>
  <si>
    <t>16 L</t>
  </si>
  <si>
    <t xml:space="preserve">676829-4X4L </t>
  </si>
  <si>
    <t>64-17-5</t>
  </si>
  <si>
    <r>
      <t>C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Cl</t>
    </r>
    <r>
      <rPr>
        <vertAlign val="subscript"/>
        <sz val="12"/>
        <color theme="1"/>
        <rFont val="Calibri"/>
        <family val="2"/>
        <scheme val="minor"/>
      </rPr>
      <t xml:space="preserve">2 </t>
    </r>
  </si>
  <si>
    <t>221015-10KG</t>
  </si>
  <si>
    <t>79-37-8</t>
  </si>
  <si>
    <r>
      <t>CH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Cl</t>
    </r>
    <r>
      <rPr>
        <vertAlign val="subscript"/>
        <sz val="12"/>
        <color theme="1"/>
        <rFont val="Calibri"/>
        <family val="2"/>
        <scheme val="minor"/>
      </rPr>
      <t>2</t>
    </r>
  </si>
  <si>
    <t>8 L</t>
  </si>
  <si>
    <t>75,09-2</t>
  </si>
  <si>
    <r>
      <t>C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NO</t>
    </r>
  </si>
  <si>
    <t>68,12,2</t>
  </si>
  <si>
    <t xml:space="preserve">N-Methylaniline </t>
  </si>
  <si>
    <r>
      <t>C</t>
    </r>
    <r>
      <rPr>
        <vertAlign val="subscript"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N</t>
    </r>
  </si>
  <si>
    <t>M29304-1KG</t>
  </si>
  <si>
    <t xml:space="preserve">100-61-8 </t>
  </si>
  <si>
    <r>
      <t>C</t>
    </r>
    <r>
      <rPr>
        <vertAlign val="subscript"/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N</t>
    </r>
  </si>
  <si>
    <t>270970-4X2L</t>
  </si>
  <si>
    <t xml:space="preserve">110-86-1 </t>
  </si>
  <si>
    <t>Hydrochloric Acid</t>
  </si>
  <si>
    <t>HCl</t>
  </si>
  <si>
    <t>1N</t>
  </si>
  <si>
    <t>7647-01-0</t>
  </si>
  <si>
    <t>Sodium Carbonate</t>
  </si>
  <si>
    <r>
      <t>CNa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</si>
  <si>
    <t>7732,18,5</t>
  </si>
  <si>
    <r>
      <t>C</t>
    </r>
    <r>
      <rPr>
        <vertAlign val="subscript"/>
        <sz val="12"/>
        <color theme="1"/>
        <rFont val="Calibri (Body)"/>
      </rPr>
      <t>15</t>
    </r>
    <r>
      <rPr>
        <sz val="12"/>
        <color theme="1"/>
        <rFont val="Calibri (Body)"/>
      </rPr>
      <t>H</t>
    </r>
    <r>
      <rPr>
        <vertAlign val="subscript"/>
        <sz val="12"/>
        <color theme="1"/>
        <rFont val="Calibri (Body)"/>
      </rPr>
      <t>17</t>
    </r>
    <r>
      <rPr>
        <sz val="12"/>
        <color theme="1"/>
        <rFont val="Calibri (Body)"/>
      </rPr>
      <t>O</t>
    </r>
    <r>
      <rPr>
        <vertAlign val="subscript"/>
        <sz val="12"/>
        <color theme="1"/>
        <rFont val="Calibri (Body)"/>
      </rPr>
      <t>5</t>
    </r>
    <r>
      <rPr>
        <sz val="12"/>
        <color theme="1"/>
        <rFont val="Calibri (Body)"/>
      </rPr>
      <t>N</t>
    </r>
  </si>
  <si>
    <t>Ethyl (2R,3S)-3-(methyl(phenyl)carbomoyl)-5-oxotetrahydrofuran-2-carboxylate</t>
  </si>
  <si>
    <r>
      <t>C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O</t>
    </r>
  </si>
  <si>
    <t>109-99-9</t>
  </si>
  <si>
    <r>
      <t>LiAlH</t>
    </r>
    <r>
      <rPr>
        <vertAlign val="subscript"/>
        <sz val="12"/>
        <color theme="1"/>
        <rFont val="Calibri"/>
        <family val="2"/>
        <scheme val="minor"/>
      </rPr>
      <t>4</t>
    </r>
  </si>
  <si>
    <t xml:space="preserve">1 kg </t>
  </si>
  <si>
    <t>199877-1KG</t>
  </si>
  <si>
    <t>16853-85-3</t>
  </si>
  <si>
    <t xml:space="preserve">Sulfuric Acid </t>
  </si>
  <si>
    <r>
      <t>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SO</t>
    </r>
    <r>
      <rPr>
        <vertAlign val="subscript"/>
        <sz val="12"/>
        <color theme="1"/>
        <rFont val="Calibri"/>
        <family val="2"/>
        <scheme val="minor"/>
      </rPr>
      <t>4</t>
    </r>
  </si>
  <si>
    <t>7664-93-9</t>
  </si>
  <si>
    <t>Sodium Hydroxide</t>
  </si>
  <si>
    <t>NaOH</t>
  </si>
  <si>
    <t>1310-73-2</t>
  </si>
  <si>
    <r>
      <t>C</t>
    </r>
    <r>
      <rPr>
        <vertAlign val="subscript"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8</t>
    </r>
  </si>
  <si>
    <t>108,88,3</t>
  </si>
  <si>
    <r>
      <t>CH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Cl</t>
    </r>
  </si>
  <si>
    <r>
      <t>C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2</t>
    </r>
  </si>
  <si>
    <t>18 L</t>
  </si>
  <si>
    <t>141-78-6</t>
  </si>
  <si>
    <t>Silica gel</t>
  </si>
  <si>
    <r>
      <t>SiO</t>
    </r>
    <r>
      <rPr>
        <vertAlign val="subscript"/>
        <sz val="12"/>
        <color theme="5" tint="-0.249977111117893"/>
        <rFont val="Calibri"/>
        <family val="2"/>
        <scheme val="minor"/>
      </rPr>
      <t>2</t>
    </r>
  </si>
  <si>
    <t>25 kg</t>
  </si>
  <si>
    <t>227196-25KG</t>
  </si>
  <si>
    <t>112926-00-8</t>
  </si>
  <si>
    <r>
      <t>C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</si>
  <si>
    <t>(3R,3aS,6aR)-Hexahydrofuro[2,3-b]furan-3-ol</t>
  </si>
  <si>
    <r>
      <t>C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K O</t>
    </r>
    <r>
      <rPr>
        <vertAlign val="subscript"/>
        <sz val="12"/>
        <color theme="1"/>
        <rFont val="Calibri"/>
        <family val="2"/>
        <scheme val="minor"/>
      </rPr>
      <t>7</t>
    </r>
  </si>
  <si>
    <t>-</t>
  </si>
  <si>
    <t>320072-4X4L</t>
  </si>
  <si>
    <t>Target molecule</t>
  </si>
  <si>
    <t>45 - 100</t>
  </si>
  <si>
    <t>Cyclopentyl Methyl Ether (CPME)</t>
  </si>
  <si>
    <t>0 - 108</t>
  </si>
  <si>
    <t>2M in DCM</t>
  </si>
  <si>
    <t>Dichloromethane (DCM)</t>
  </si>
  <si>
    <t>N,N-Dimethylformamide (DMF)</t>
  </si>
  <si>
    <t>270997-20L-P2</t>
  </si>
  <si>
    <t>227056-18L</t>
  </si>
  <si>
    <t>320331-6X2.5L</t>
  </si>
  <si>
    <t>15 L</t>
  </si>
  <si>
    <t>497-19-8</t>
  </si>
  <si>
    <t>223530-12KG</t>
  </si>
  <si>
    <t>12 kg</t>
  </si>
  <si>
    <t>10 kg</t>
  </si>
  <si>
    <t>0 - 80</t>
  </si>
  <si>
    <t>Tetrahydrofuran (THF)</t>
  </si>
  <si>
    <t xml:space="preserve">Lithium Aluminum Hydride </t>
  </si>
  <si>
    <t>1M</t>
  </si>
  <si>
    <t>2.5 L</t>
  </si>
  <si>
    <t>320501-2.5L</t>
  </si>
  <si>
    <t>50 kg</t>
  </si>
  <si>
    <t>221465-50KG</t>
  </si>
  <si>
    <t>Ethyl Acetate (EtOAc)</t>
  </si>
  <si>
    <t>319902-200L</t>
  </si>
  <si>
    <t>Crude ratio</t>
  </si>
  <si>
    <t>Step No.:</t>
  </si>
  <si>
    <t>Material Accumulated (kg)</t>
  </si>
  <si>
    <t>Step Product (kg)</t>
  </si>
  <si>
    <t>Step No. </t>
  </si>
  <si>
    <t>Process Complexity</t>
  </si>
  <si>
    <t>Table 5C: Simple, complete and traditional E-Factor calculations for route C synthesis to 1kg bis-THF alcohol</t>
  </si>
  <si>
    <t>Total</t>
  </si>
  <si>
    <t>Green Score card input data</t>
  </si>
  <si>
    <t>Complexity =      Construction steps</t>
  </si>
  <si>
    <t xml:space="preserve">(3aS,6aR)-dihydrofuro[3,4-b]furan-2,4,6(3H)-trione </t>
  </si>
  <si>
    <t>10 - 105</t>
  </si>
  <si>
    <t>16L</t>
  </si>
  <si>
    <t>676829-4X4L</t>
  </si>
  <si>
    <r>
      <t>C</t>
    </r>
    <r>
      <rPr>
        <vertAlign val="subscript"/>
        <sz val="12"/>
        <color theme="1"/>
        <rFont val="Calibri (Body)"/>
      </rPr>
      <t>8</t>
    </r>
    <r>
      <rPr>
        <sz val="12"/>
        <color theme="1"/>
        <rFont val="Calibri (Body)"/>
      </rPr>
      <t>H</t>
    </r>
    <r>
      <rPr>
        <vertAlign val="subscript"/>
        <sz val="12"/>
        <color theme="1"/>
        <rFont val="Calibri (Body)"/>
      </rPr>
      <t>10</t>
    </r>
    <r>
      <rPr>
        <sz val="12"/>
        <color theme="1"/>
        <rFont val="Calibri (Body)"/>
      </rPr>
      <t>O</t>
    </r>
    <r>
      <rPr>
        <vertAlign val="subscript"/>
        <sz val="12"/>
        <color theme="1"/>
        <rFont val="Calibri (Body)"/>
      </rPr>
      <t>6</t>
    </r>
  </si>
  <si>
    <t>(2R,3S)-2-(ethoxycarbonyl)-5-oxotetrahydrofuran-3-carboxylic acid</t>
  </si>
  <si>
    <t xml:space="preserve">(2R,3S)-2-(ethoxycarbonyl)-5-oxotetrahydrofuran-3-carboxylic acid </t>
  </si>
  <si>
    <t>0 -20</t>
  </si>
  <si>
    <t>Sodium Chloride</t>
  </si>
  <si>
    <t>NaCl</t>
  </si>
  <si>
    <t>S9888-50KG</t>
  </si>
  <si>
    <t>7647-14-5</t>
  </si>
  <si>
    <t>0 - 40</t>
  </si>
  <si>
    <t>Crude Ratio</t>
  </si>
  <si>
    <t xml:space="preserve">Overall exp yield </t>
  </si>
  <si>
    <t>Overall exp yield</t>
  </si>
  <si>
    <t xml:space="preserve">Table 4C: Summation of chemical materials per category per synthesis step for the production of 1kg bis-THF alcohol </t>
  </si>
  <si>
    <r>
      <t xml:space="preserve">Table 8C: Chemical material quantities, cost and operating conditions per synthesis step to produce bis-THF alcohol as per experimental procedure (Moore et al., 2017) - </t>
    </r>
    <r>
      <rPr>
        <b/>
        <sz val="12"/>
        <color rgb="FFFF0000"/>
        <rFont val="Calibri (Body)_x0000_"/>
      </rPr>
      <t>Masses between synthesis steps do not balance</t>
    </r>
  </si>
  <si>
    <t>Target Molecule</t>
  </si>
  <si>
    <r>
      <t>Acetic anhydride (Ac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O)</t>
    </r>
  </si>
  <si>
    <t>Pyridine (Py)</t>
  </si>
  <si>
    <t>Toluene (PhMe)</t>
  </si>
  <si>
    <r>
      <t>Oxalyl Chloride (COCl)</t>
    </r>
    <r>
      <rPr>
        <vertAlign val="subscript"/>
        <sz val="12"/>
        <color theme="1"/>
        <rFont val="Calibri"/>
        <family val="2"/>
        <scheme val="minor"/>
      </rPr>
      <t xml:space="preserve">2 </t>
    </r>
  </si>
  <si>
    <t>Ethanol (EtOH)</t>
  </si>
  <si>
    <t>-5 - 85</t>
  </si>
  <si>
    <r>
      <t>C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KO</t>
    </r>
    <r>
      <rPr>
        <vertAlign val="subscript"/>
        <sz val="12"/>
        <color theme="1"/>
        <rFont val="Calibri"/>
        <family val="2"/>
        <scheme val="minor"/>
      </rPr>
      <t>7</t>
    </r>
  </si>
  <si>
    <t>distillation at 44</t>
  </si>
  <si>
    <t>distillation at 80</t>
  </si>
  <si>
    <t>distillation at 106</t>
  </si>
  <si>
    <t>distillation at 2</t>
  </si>
  <si>
    <t>TX0735-20</t>
  </si>
  <si>
    <t>6759989 – 195L</t>
  </si>
  <si>
    <t>195 L</t>
  </si>
  <si>
    <t>TX0280-20</t>
  </si>
  <si>
    <t xml:space="preserve"> </t>
  </si>
  <si>
    <t>ROUTE C: Main synthesis one-pot procedure</t>
  </si>
  <si>
    <t>ROUTE C: Main synthesis step-by-step procedure</t>
  </si>
  <si>
    <t>ROUTE C: E-Factor main synthesis step-by-step procedure</t>
  </si>
  <si>
    <t>ROUTE C: E-Factor main synthesis one-pot procedure</t>
  </si>
  <si>
    <t>Table 13C: Total material mass per category for route C step-by-step procedure</t>
  </si>
  <si>
    <t>Table 14C: sEF, cEF and E-Factor summary for route C step-by-step procedure</t>
  </si>
  <si>
    <t>Table 6C: Total material mass per category for route C one-pot procedure</t>
  </si>
  <si>
    <t>Table 7C: sEF, cEF and E-Factor summary for route C one-pot procedure</t>
  </si>
  <si>
    <t xml:space="preserve">Table 11C: Summation of chemical materials per category per synthesis step for step-by-step procedure route C in producing of 1kg bis-THF alcohol </t>
  </si>
  <si>
    <t>Table 12C: Simple. complete and traditional E-Factor calculations for route C synthesis to 1kg bis-THF alcohol</t>
  </si>
  <si>
    <t>Solvents (kg)</t>
  </si>
  <si>
    <t>Reagents (kg)</t>
  </si>
  <si>
    <t>Water (kg)</t>
  </si>
  <si>
    <t>Step sE-factor (kg/kg)</t>
  </si>
  <si>
    <t>sE-Factor Contribution to Process (kg/kg)</t>
  </si>
  <si>
    <t>Step cE-Factor (kg/kg)</t>
  </si>
  <si>
    <t>cE-Factor Contribution to Process (kg/kg)</t>
  </si>
  <si>
    <t>E-Factor Contribution to Process (kg/kg)</t>
  </si>
  <si>
    <t>Process Mass Intensity (PMI) (kg/kg)</t>
  </si>
  <si>
    <t>sEF (kg/kg)</t>
  </si>
  <si>
    <t>cEF (kg/kg)</t>
  </si>
  <si>
    <t>E-factor (kg/kg)</t>
  </si>
  <si>
    <t>Anhydrous Ethanol (EtOH)</t>
  </si>
  <si>
    <t>Methyl Tetrahydrofuran (Me-THF)</t>
  </si>
  <si>
    <t>Catalyst</t>
  </si>
  <si>
    <t>11 mol%</t>
  </si>
  <si>
    <t>23 mol%</t>
  </si>
  <si>
    <t>23mol%</t>
  </si>
  <si>
    <t>Starting Material</t>
  </si>
  <si>
    <t>Starting Material/ Intermediate (external) (kg)</t>
  </si>
  <si>
    <t>Starting Material (kg)</t>
  </si>
  <si>
    <r>
      <t xml:space="preserve">Table 2C: Chemical material quantities, cost and operating conditions per synthesis step to produce 7,55g bis-THF alcohol - </t>
    </r>
    <r>
      <rPr>
        <b/>
        <sz val="12"/>
        <color rgb="FFFF0000"/>
        <rFont val="Calibri (Body)_x0000_"/>
      </rPr>
      <t>Masses between synthesis steps balance</t>
    </r>
  </si>
  <si>
    <r>
      <t xml:space="preserve">Table 3C: Chemical material quantities, cost and operating conditions per synthesis step to produce 1kg bis-THF alcohol - </t>
    </r>
    <r>
      <rPr>
        <b/>
        <sz val="12"/>
        <color rgb="FFFF0000"/>
        <rFont val="Calibri (Body)_x0000_"/>
      </rPr>
      <t>Masses between synthesis steps balance</t>
    </r>
  </si>
  <si>
    <r>
      <t xml:space="preserve">Table 10C: Chemical material quantities, cost and operating conditions per synthesis step to produce 1kg bis-THF alcohol - </t>
    </r>
    <r>
      <rPr>
        <b/>
        <sz val="12"/>
        <color rgb="FFFF0000"/>
        <rFont val="Calibri (Body)_x0000_"/>
      </rPr>
      <t>Masses between synthesis steps balance</t>
    </r>
  </si>
  <si>
    <r>
      <t xml:space="preserve">Table 9C: Chemical material quantities, cost and operating conditions per synthesis step to produce 7,55g bis-THF alcohol - </t>
    </r>
    <r>
      <rPr>
        <b/>
        <sz val="12"/>
        <color rgb="FFFF0000"/>
        <rFont val="Calibri (Body)_x0000_"/>
      </rPr>
      <t>Masses between synthesis steps balance</t>
    </r>
  </si>
  <si>
    <t xml:space="preserve">Output Moles </t>
  </si>
  <si>
    <t>Output Mass</t>
  </si>
  <si>
    <t>Output Assay Mass</t>
  </si>
  <si>
    <t>Table 1</t>
  </si>
  <si>
    <t>Table 2</t>
  </si>
  <si>
    <t>Recalculating output moles accounting for 1.4% diastereomer thus 74.6% yield</t>
  </si>
  <si>
    <t>Input moles</t>
  </si>
  <si>
    <t>output mass</t>
  </si>
  <si>
    <t xml:space="preserve">moles  input </t>
  </si>
  <si>
    <t>mass input</t>
  </si>
  <si>
    <t xml:space="preserve">Solvents </t>
  </si>
  <si>
    <t>E-Factor</t>
  </si>
  <si>
    <t>sE-Factor</t>
  </si>
  <si>
    <t>Solvents</t>
  </si>
  <si>
    <r>
      <t>1C</t>
    </r>
    <r>
      <rPr>
        <b/>
        <sz val="12"/>
        <color rgb="FFFF0000"/>
        <rFont val="Calibri (Body)"/>
      </rPr>
      <t xml:space="preserve"> </t>
    </r>
  </si>
  <si>
    <t xml:space="preserve">2C </t>
  </si>
  <si>
    <t xml:space="preserve">22 </t>
  </si>
  <si>
    <t xml:space="preserve">5C </t>
  </si>
  <si>
    <t xml:space="preserve">(-)-1 </t>
  </si>
  <si>
    <t xml:space="preserve">1C </t>
  </si>
  <si>
    <r>
      <t>5C</t>
    </r>
    <r>
      <rPr>
        <b/>
        <sz val="12"/>
        <color rgb="FFFF0000"/>
        <rFont val="Calibri (Body)"/>
      </rPr>
      <t xml:space="preserve"> </t>
    </r>
  </si>
  <si>
    <r>
      <t>3C</t>
    </r>
    <r>
      <rPr>
        <b/>
        <sz val="12"/>
        <color rgb="FFFF0000"/>
        <rFont val="Calibri (Body)"/>
      </rPr>
      <t xml:space="preserve"> </t>
    </r>
  </si>
  <si>
    <t xml:space="preserve">4C </t>
  </si>
  <si>
    <t xml:space="preserve">3C </t>
  </si>
  <si>
    <r>
      <t>4C</t>
    </r>
    <r>
      <rPr>
        <b/>
        <sz val="12"/>
        <color rgb="FFFF0000"/>
        <rFont val="Calibri (Body)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</si>
</sst>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"/>
    <numFmt numFmtId="165" formatCode="0.000"/>
    <numFmt numFmtId="166" formatCode="0.00000"/>
    <numFmt numFmtId="167" formatCode="0.0"/>
    <numFmt numFmtId="168" formatCode="0.000000"/>
    <numFmt numFmtId="169" formatCode="0.0000000"/>
    <numFmt numFmtId="170" formatCode="0.0%"/>
  </numFmts>
  <fonts count="3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0"/>
      <color theme="1"/>
      <name val="Calibri (Body)_x0000_"/>
    </font>
    <font>
      <b/>
      <sz val="12"/>
      <color rgb="FFFF0000"/>
      <name val="Calibri (Body)_x0000_"/>
    </font>
    <font>
      <b/>
      <sz val="12"/>
      <color rgb="FF000000"/>
      <name val="Calibri"/>
      <family val="2"/>
      <scheme val="minor"/>
    </font>
    <font>
      <b/>
      <sz val="12"/>
      <color theme="1"/>
      <name val="Calibri (Body)_x0000_"/>
    </font>
    <font>
      <b/>
      <sz val="12"/>
      <color theme="1"/>
      <name val="Calibri (Body)"/>
    </font>
    <font>
      <vertAlign val="subscript"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vertAlign val="subscript"/>
      <sz val="12"/>
      <color rgb="FF0070C0"/>
      <name val="Calibri"/>
      <family val="2"/>
      <scheme val="minor"/>
    </font>
    <font>
      <sz val="12"/>
      <color theme="1"/>
      <name val="Calibri (Body)"/>
    </font>
    <font>
      <vertAlign val="subscript"/>
      <sz val="12"/>
      <color theme="1"/>
      <name val="Calibri (Body)"/>
    </font>
    <font>
      <sz val="12"/>
      <color rgb="FF000000"/>
      <name val="Calibri"/>
      <family val="2"/>
      <scheme val="minor"/>
    </font>
    <font>
      <sz val="12"/>
      <color theme="8" tint="-0.249977111117893"/>
      <name val="Calibri"/>
      <family val="2"/>
      <scheme val="minor"/>
    </font>
    <font>
      <vertAlign val="subscript"/>
      <sz val="12"/>
      <color theme="5" tint="-0.249977111117893"/>
      <name val="Calibri"/>
      <family val="2"/>
      <scheme val="minor"/>
    </font>
    <font>
      <b/>
      <sz val="10"/>
      <color indexed="81"/>
      <name val="Calibri"/>
      <family val="2"/>
    </font>
    <font>
      <sz val="10"/>
      <color indexed="81"/>
      <name val="Calibri"/>
      <family val="2"/>
    </font>
    <font>
      <u/>
      <sz val="10"/>
      <color indexed="81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FF2F92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FF0000"/>
      <name val="Calibri (Body)"/>
    </font>
  </fonts>
  <fills count="2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6FB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A1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3FB79"/>
        <bgColor indexed="64"/>
      </patternFill>
    </fill>
    <fill>
      <patternFill patternType="solid">
        <fgColor rgb="FF00E300"/>
        <bgColor indexed="64"/>
      </patternFill>
    </fill>
    <fill>
      <patternFill patternType="solid">
        <fgColor rgb="FF00D24B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27E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6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92">
    <xf numFmtId="0" fontId="0" fillId="0" borderId="0" xfId="0"/>
    <xf numFmtId="0" fontId="3" fillId="0" borderId="7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12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2" applyFont="1" applyBorder="1" applyAlignment="1">
      <alignment horizontal="center"/>
    </xf>
    <xf numFmtId="2" fontId="13" fillId="0" borderId="14" xfId="0" applyNumberFormat="1" applyFont="1" applyBorder="1" applyAlignment="1">
      <alignment horizontal="center"/>
    </xf>
    <xf numFmtId="2" fontId="14" fillId="0" borderId="0" xfId="0" applyNumberFormat="1" applyFont="1" applyAlignment="1">
      <alignment horizontal="center"/>
    </xf>
    <xf numFmtId="2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2" fontId="15" fillId="0" borderId="14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2" fontId="0" fillId="0" borderId="14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1" fillId="0" borderId="11" xfId="0" applyFont="1" applyBorder="1" applyAlignment="1">
      <alignment horizontal="center"/>
    </xf>
    <xf numFmtId="2" fontId="11" fillId="0" borderId="11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5" borderId="0" xfId="0" applyFill="1" applyAlignment="1">
      <alignment horizontal="center"/>
    </xf>
    <xf numFmtId="2" fontId="0" fillId="5" borderId="0" xfId="0" applyNumberForma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0" fontId="19" fillId="0" borderId="0" xfId="0" applyFont="1" applyAlignment="1">
      <alignment horizontal="center"/>
    </xf>
    <xf numFmtId="2" fontId="0" fillId="0" borderId="1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4" xfId="0" applyBorder="1"/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5" fontId="0" fillId="5" borderId="0" xfId="0" applyNumberFormat="1" applyFill="1" applyAlignment="1">
      <alignment horizont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0" fontId="0" fillId="0" borderId="5" xfId="0" applyNumberForma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horizontal="center" wrapText="1"/>
    </xf>
    <xf numFmtId="2" fontId="15" fillId="0" borderId="0" xfId="0" applyNumberFormat="1" applyFont="1" applyAlignment="1">
      <alignment horizontal="center" wrapText="1"/>
    </xf>
    <xf numFmtId="2" fontId="0" fillId="0" borderId="0" xfId="0" applyNumberFormat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2" fontId="0" fillId="4" borderId="1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2" fontId="0" fillId="0" borderId="11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11" xfId="0" applyNumberFormat="1" applyFont="1" applyBorder="1" applyAlignment="1">
      <alignment horizontal="center" wrapText="1"/>
    </xf>
    <xf numFmtId="2" fontId="0" fillId="0" borderId="13" xfId="0" applyNumberFormat="1" applyFont="1" applyBorder="1" applyAlignment="1">
      <alignment horizontal="center"/>
    </xf>
    <xf numFmtId="0" fontId="0" fillId="0" borderId="0" xfId="0" applyFont="1"/>
    <xf numFmtId="2" fontId="1" fillId="0" borderId="11" xfId="2" applyNumberFormat="1" applyFont="1" applyBorder="1" applyAlignment="1">
      <alignment horizontal="center"/>
    </xf>
    <xf numFmtId="165" fontId="0" fillId="3" borderId="11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/>
    </xf>
    <xf numFmtId="2" fontId="0" fillId="6" borderId="0" xfId="0" applyNumberFormat="1" applyFont="1" applyFill="1" applyAlignment="1">
      <alignment horizontal="center" wrapText="1"/>
    </xf>
    <xf numFmtId="164" fontId="0" fillId="6" borderId="0" xfId="0" applyNumberFormat="1" applyFont="1" applyFill="1" applyAlignment="1">
      <alignment horizontal="center"/>
    </xf>
    <xf numFmtId="2" fontId="0" fillId="6" borderId="0" xfId="0" applyNumberFormat="1" applyFont="1" applyFill="1" applyAlignment="1">
      <alignment horizontal="center"/>
    </xf>
    <xf numFmtId="0" fontId="29" fillId="0" borderId="0" xfId="0" applyFont="1" applyAlignment="1">
      <alignment horizontal="center"/>
    </xf>
    <xf numFmtId="0" fontId="17" fillId="6" borderId="5" xfId="0" applyFon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Alignment="1">
      <alignment horizontal="center"/>
    </xf>
    <xf numFmtId="165" fontId="20" fillId="0" borderId="0" xfId="0" applyNumberFormat="1" applyFont="1" applyAlignment="1">
      <alignment horizontal="center"/>
    </xf>
    <xf numFmtId="165" fontId="13" fillId="0" borderId="0" xfId="0" applyNumberFormat="1" applyFont="1" applyAlignment="1">
      <alignment horizontal="center"/>
    </xf>
    <xf numFmtId="165" fontId="15" fillId="0" borderId="0" xfId="0" applyNumberFormat="1" applyFont="1" applyAlignment="1">
      <alignment horizontal="center"/>
    </xf>
    <xf numFmtId="0" fontId="0" fillId="6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6" borderId="5" xfId="0" applyNumberFormat="1" applyFont="1" applyFill="1" applyBorder="1" applyAlignment="1">
      <alignment horizontal="center" wrapText="1"/>
    </xf>
    <xf numFmtId="168" fontId="0" fillId="6" borderId="5" xfId="0" applyNumberFormat="1" applyFont="1" applyFill="1" applyBorder="1" applyAlignment="1">
      <alignment horizontal="center"/>
    </xf>
    <xf numFmtId="164" fontId="0" fillId="6" borderId="5" xfId="0" applyNumberFormat="1" applyFont="1" applyFill="1" applyBorder="1" applyAlignment="1">
      <alignment horizontal="center"/>
    </xf>
    <xf numFmtId="2" fontId="0" fillId="0" borderId="0" xfId="0" applyNumberFormat="1"/>
    <xf numFmtId="0" fontId="0" fillId="7" borderId="0" xfId="0" applyFill="1" applyAlignment="1">
      <alignment horizontal="center"/>
    </xf>
    <xf numFmtId="166" fontId="0" fillId="6" borderId="5" xfId="0" applyNumberFormat="1" applyFont="1" applyFill="1" applyBorder="1" applyAlignment="1">
      <alignment horizontal="center"/>
    </xf>
    <xf numFmtId="165" fontId="0" fillId="6" borderId="5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Fill="1"/>
    <xf numFmtId="165" fontId="0" fillId="7" borderId="0" xfId="0" applyNumberFormat="1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0" fillId="6" borderId="5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165" fontId="0" fillId="0" borderId="0" xfId="0" applyNumberFormat="1"/>
    <xf numFmtId="0" fontId="3" fillId="10" borderId="7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0" fontId="3" fillId="9" borderId="7" xfId="0" applyFont="1" applyFill="1" applyBorder="1" applyAlignment="1">
      <alignment horizontal="center"/>
    </xf>
    <xf numFmtId="0" fontId="3" fillId="11" borderId="7" xfId="0" applyFont="1" applyFill="1" applyBorder="1" applyAlignment="1">
      <alignment horizontal="center"/>
    </xf>
    <xf numFmtId="0" fontId="2" fillId="12" borderId="4" xfId="0" applyFont="1" applyFill="1" applyBorder="1" applyAlignment="1">
      <alignment horizontal="center"/>
    </xf>
    <xf numFmtId="2" fontId="2" fillId="12" borderId="0" xfId="0" applyNumberFormat="1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0" fillId="0" borderId="10" xfId="0" applyBorder="1"/>
    <xf numFmtId="0" fontId="2" fillId="12" borderId="14" xfId="0" applyFont="1" applyFill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2" fontId="2" fillId="12" borderId="0" xfId="0" applyNumberFormat="1" applyFont="1" applyFill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2" fontId="13" fillId="0" borderId="0" xfId="0" applyNumberFormat="1" applyFont="1" applyBorder="1" applyAlignment="1">
      <alignment horizontal="center"/>
    </xf>
    <xf numFmtId="165" fontId="13" fillId="0" borderId="0" xfId="0" applyNumberFormat="1" applyFont="1" applyBorder="1" applyAlignment="1">
      <alignment horizontal="center"/>
    </xf>
    <xf numFmtId="2" fontId="13" fillId="0" borderId="0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165" fontId="15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 wrapText="1"/>
    </xf>
    <xf numFmtId="2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 wrapText="1"/>
    </xf>
    <xf numFmtId="0" fontId="0" fillId="6" borderId="5" xfId="0" applyFill="1" applyBorder="1" applyAlignment="1">
      <alignment horizontal="center" vertical="center"/>
    </xf>
    <xf numFmtId="2" fontId="0" fillId="6" borderId="5" xfId="0" applyNumberFormat="1" applyFont="1" applyFill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2" fontId="3" fillId="13" borderId="7" xfId="0" applyNumberFormat="1" applyFont="1" applyFill="1" applyBorder="1" applyAlignment="1">
      <alignment horizontal="center"/>
    </xf>
    <xf numFmtId="0" fontId="0" fillId="0" borderId="12" xfId="0" applyBorder="1"/>
    <xf numFmtId="0" fontId="17" fillId="6" borderId="0" xfId="0" applyFont="1" applyFill="1" applyBorder="1" applyAlignment="1">
      <alignment horizontal="center"/>
    </xf>
    <xf numFmtId="2" fontId="0" fillId="6" borderId="0" xfId="0" applyNumberFormat="1" applyFill="1" applyAlignment="1">
      <alignment horizontal="center"/>
    </xf>
    <xf numFmtId="164" fontId="0" fillId="6" borderId="0" xfId="0" applyNumberFormat="1" applyFill="1" applyAlignment="1">
      <alignment horizontal="center"/>
    </xf>
    <xf numFmtId="165" fontId="0" fillId="6" borderId="0" xfId="0" applyNumberFormat="1" applyFill="1" applyAlignment="1">
      <alignment horizontal="center"/>
    </xf>
    <xf numFmtId="2" fontId="20" fillId="0" borderId="0" xfId="0" applyNumberFormat="1" applyFont="1" applyAlignment="1">
      <alignment horizontal="center"/>
    </xf>
    <xf numFmtId="0" fontId="29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2" fontId="0" fillId="0" borderId="10" xfId="0" applyNumberFormat="1" applyFill="1" applyBorder="1" applyAlignment="1">
      <alignment horizontal="center"/>
    </xf>
    <xf numFmtId="2" fontId="15" fillId="0" borderId="10" xfId="0" applyNumberFormat="1" applyFont="1" applyBorder="1" applyAlignment="1">
      <alignment horizontal="center"/>
    </xf>
    <xf numFmtId="2" fontId="0" fillId="3" borderId="0" xfId="0" applyNumberForma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9" fontId="3" fillId="0" borderId="0" xfId="0" applyNumberFormat="1" applyFont="1" applyAlignment="1">
      <alignment horizontal="center"/>
    </xf>
    <xf numFmtId="1" fontId="3" fillId="0" borderId="11" xfId="0" applyNumberFormat="1" applyFont="1" applyBorder="1" applyAlignment="1">
      <alignment horizontal="center"/>
    </xf>
    <xf numFmtId="0" fontId="3" fillId="14" borderId="7" xfId="0" applyFont="1" applyFill="1" applyBorder="1" applyAlignment="1">
      <alignment horizontal="center"/>
    </xf>
    <xf numFmtId="0" fontId="7" fillId="15" borderId="10" xfId="0" applyFont="1" applyFill="1" applyBorder="1" applyAlignment="1">
      <alignment horizontal="center"/>
    </xf>
    <xf numFmtId="0" fontId="19" fillId="15" borderId="10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0" fontId="0" fillId="0" borderId="0" xfId="0" applyFill="1" applyAlignment="1">
      <alignment horizontal="center" wrapText="1"/>
    </xf>
    <xf numFmtId="2" fontId="0" fillId="0" borderId="14" xfId="0" applyNumberForma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3" fillId="3" borderId="5" xfId="0" applyNumberFormat="1" applyFont="1" applyFill="1" applyBorder="1" applyAlignment="1">
      <alignment horizontal="center"/>
    </xf>
    <xf numFmtId="0" fontId="7" fillId="15" borderId="7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 wrapText="1"/>
    </xf>
    <xf numFmtId="0" fontId="0" fillId="0" borderId="0" xfId="0" applyBorder="1"/>
    <xf numFmtId="2" fontId="0" fillId="0" borderId="1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5" fontId="0" fillId="0" borderId="11" xfId="0" applyNumberFormat="1" applyFont="1" applyFill="1" applyBorder="1" applyAlignment="1">
      <alignment horizontal="center"/>
    </xf>
    <xf numFmtId="2" fontId="0" fillId="0" borderId="11" xfId="0" applyNumberFormat="1" applyFont="1" applyFill="1" applyBorder="1" applyAlignment="1">
      <alignment horizontal="center" wrapText="1"/>
    </xf>
    <xf numFmtId="2" fontId="1" fillId="0" borderId="11" xfId="2" applyNumberFormat="1" applyFont="1" applyFill="1" applyBorder="1" applyAlignment="1">
      <alignment horizontal="center"/>
    </xf>
    <xf numFmtId="2" fontId="0" fillId="0" borderId="13" xfId="0" applyNumberFormat="1" applyFont="1" applyFill="1" applyBorder="1" applyAlignment="1">
      <alignment horizontal="center"/>
    </xf>
    <xf numFmtId="167" fontId="0" fillId="0" borderId="0" xfId="0" applyNumberFormat="1" applyFill="1" applyAlignment="1">
      <alignment horizontal="center"/>
    </xf>
    <xf numFmtId="0" fontId="12" fillId="0" borderId="0" xfId="0" applyFont="1" applyFill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2" fontId="3" fillId="16" borderId="5" xfId="0" applyNumberFormat="1" applyFont="1" applyFill="1" applyBorder="1" applyAlignment="1">
      <alignment horizontal="center"/>
    </xf>
    <xf numFmtId="10" fontId="0" fillId="0" borderId="0" xfId="1" applyNumberFormat="1" applyFont="1" applyFill="1" applyAlignment="1">
      <alignment horizontal="center"/>
    </xf>
    <xf numFmtId="14" fontId="0" fillId="0" borderId="0" xfId="0" applyNumberFormat="1" applyFill="1" applyAlignment="1">
      <alignment horizontal="center"/>
    </xf>
    <xf numFmtId="0" fontId="0" fillId="0" borderId="15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9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17" borderId="7" xfId="0" applyFill="1" applyBorder="1" applyAlignment="1">
      <alignment horizontal="center"/>
    </xf>
    <xf numFmtId="2" fontId="0" fillId="3" borderId="11" xfId="0" applyNumberFormat="1" applyFont="1" applyFill="1" applyBorder="1" applyAlignment="1">
      <alignment horizontal="center"/>
    </xf>
    <xf numFmtId="2" fontId="3" fillId="18" borderId="5" xfId="0" applyNumberFormat="1" applyFont="1" applyFill="1" applyBorder="1" applyAlignment="1">
      <alignment horizontal="center" wrapText="1"/>
    </xf>
    <xf numFmtId="2" fontId="3" fillId="18" borderId="5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28" fillId="0" borderId="0" xfId="0" applyFon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0" fillId="0" borderId="0" xfId="0" applyFill="1" applyBorder="1"/>
    <xf numFmtId="0" fontId="14" fillId="0" borderId="0" xfId="0" applyFont="1" applyBorder="1" applyAlignment="1">
      <alignment horizontal="center"/>
    </xf>
    <xf numFmtId="165" fontId="20" fillId="0" borderId="0" xfId="0" applyNumberFormat="1" applyFont="1" applyBorder="1" applyAlignment="1">
      <alignment horizontal="center"/>
    </xf>
    <xf numFmtId="2" fontId="20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2" fontId="3" fillId="8" borderId="0" xfId="0" applyNumberFormat="1" applyFont="1" applyFill="1" applyAlignment="1">
      <alignment horizontal="center"/>
    </xf>
    <xf numFmtId="0" fontId="3" fillId="0" borderId="5" xfId="0" quotePrefix="1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2" fontId="0" fillId="0" borderId="0" xfId="0" applyNumberFormat="1" applyFill="1"/>
    <xf numFmtId="2" fontId="0" fillId="0" borderId="0" xfId="0" quotePrefix="1" applyNumberFormat="1" applyFill="1" applyAlignment="1">
      <alignment horizontal="center"/>
    </xf>
    <xf numFmtId="2" fontId="0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center"/>
    </xf>
    <xf numFmtId="2" fontId="0" fillId="19" borderId="5" xfId="0" applyNumberFormat="1" applyFont="1" applyFill="1" applyBorder="1" applyAlignment="1">
      <alignment horizontal="center" wrapText="1"/>
    </xf>
    <xf numFmtId="164" fontId="0" fillId="19" borderId="5" xfId="0" applyNumberFormat="1" applyFont="1" applyFill="1" applyBorder="1" applyAlignment="1">
      <alignment horizontal="center"/>
    </xf>
    <xf numFmtId="165" fontId="0" fillId="19" borderId="5" xfId="0" applyNumberFormat="1" applyFont="1" applyFill="1" applyBorder="1" applyAlignment="1">
      <alignment horizontal="center"/>
    </xf>
    <xf numFmtId="2" fontId="0" fillId="19" borderId="0" xfId="0" applyNumberFormat="1" applyFill="1" applyAlignment="1">
      <alignment horizontal="center"/>
    </xf>
    <xf numFmtId="164" fontId="0" fillId="19" borderId="0" xfId="0" applyNumberFormat="1" applyFill="1" applyAlignment="1">
      <alignment horizontal="center"/>
    </xf>
    <xf numFmtId="165" fontId="0" fillId="19" borderId="0" xfId="0" applyNumberFormat="1" applyFill="1" applyAlignment="1">
      <alignment horizontal="center"/>
    </xf>
    <xf numFmtId="165" fontId="0" fillId="20" borderId="0" xfId="0" applyNumberFormat="1" applyFill="1" applyAlignment="1">
      <alignment horizontal="center"/>
    </xf>
    <xf numFmtId="165" fontId="19" fillId="19" borderId="0" xfId="0" applyNumberFormat="1" applyFont="1" applyFill="1" applyAlignment="1">
      <alignment horizontal="center"/>
    </xf>
    <xf numFmtId="2" fontId="3" fillId="0" borderId="5" xfId="0" applyNumberFormat="1" applyFont="1" applyFill="1" applyBorder="1" applyAlignment="1">
      <alignment horizontal="center" wrapText="1"/>
    </xf>
    <xf numFmtId="2" fontId="3" fillId="0" borderId="5" xfId="0" applyNumberFormat="1" applyFont="1" applyFill="1" applyBorder="1" applyAlignment="1">
      <alignment horizontal="center"/>
    </xf>
    <xf numFmtId="2" fontId="0" fillId="20" borderId="0" xfId="0" applyNumberFormat="1" applyFill="1" applyAlignment="1">
      <alignment horizontal="center"/>
    </xf>
    <xf numFmtId="2" fontId="19" fillId="6" borderId="0" xfId="0" applyNumberFormat="1" applyFont="1" applyFill="1" applyAlignment="1">
      <alignment horizontal="center"/>
    </xf>
    <xf numFmtId="9" fontId="3" fillId="0" borderId="0" xfId="0" applyNumberFormat="1" applyFont="1" applyFill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9" fontId="3" fillId="18" borderId="12" xfId="1" applyFont="1" applyFill="1" applyBorder="1" applyAlignment="1">
      <alignment horizontal="center" vertical="center"/>
    </xf>
    <xf numFmtId="9" fontId="3" fillId="18" borderId="10" xfId="1" applyFont="1" applyFill="1" applyBorder="1" applyAlignment="1">
      <alignment horizontal="center" vertical="center"/>
    </xf>
    <xf numFmtId="9" fontId="3" fillId="18" borderId="15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9" fontId="3" fillId="18" borderId="12" xfId="1" applyNumberFormat="1" applyFont="1" applyFill="1" applyBorder="1" applyAlignment="1">
      <alignment horizontal="center" vertical="center"/>
    </xf>
    <xf numFmtId="9" fontId="3" fillId="18" borderId="10" xfId="1" applyNumberFormat="1" applyFont="1" applyFill="1" applyBorder="1" applyAlignment="1">
      <alignment horizontal="center" vertical="center"/>
    </xf>
    <xf numFmtId="9" fontId="3" fillId="18" borderId="15" xfId="1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9" fontId="3" fillId="0" borderId="12" xfId="1" applyFont="1" applyBorder="1" applyAlignment="1">
      <alignment horizontal="center" vertical="center"/>
    </xf>
    <xf numFmtId="9" fontId="3" fillId="0" borderId="10" xfId="1" applyFont="1" applyBorder="1" applyAlignment="1">
      <alignment horizontal="center" vertical="center"/>
    </xf>
    <xf numFmtId="9" fontId="3" fillId="0" borderId="15" xfId="1" applyFont="1" applyBorder="1" applyAlignment="1">
      <alignment horizontal="center" vertical="center"/>
    </xf>
    <xf numFmtId="9" fontId="3" fillId="0" borderId="12" xfId="1" applyNumberFormat="1" applyFont="1" applyBorder="1" applyAlignment="1">
      <alignment horizontal="center" vertical="center"/>
    </xf>
    <xf numFmtId="9" fontId="3" fillId="0" borderId="10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/>
    </xf>
    <xf numFmtId="1" fontId="3" fillId="13" borderId="7" xfId="0" applyNumberFormat="1" applyFont="1" applyFill="1" applyBorder="1" applyAlignment="1">
      <alignment horizontal="center"/>
    </xf>
    <xf numFmtId="0" fontId="3" fillId="13" borderId="7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/>
    </xf>
    <xf numFmtId="9" fontId="3" fillId="0" borderId="12" xfId="1" applyFont="1" applyFill="1" applyBorder="1" applyAlignment="1">
      <alignment horizontal="center" vertical="center"/>
    </xf>
    <xf numFmtId="9" fontId="3" fillId="0" borderId="10" xfId="1" applyFont="1" applyFill="1" applyBorder="1" applyAlignment="1">
      <alignment horizontal="center" vertical="center"/>
    </xf>
    <xf numFmtId="9" fontId="3" fillId="0" borderId="15" xfId="1" applyFont="1" applyFill="1" applyBorder="1" applyAlignment="1">
      <alignment horizontal="center" vertical="center"/>
    </xf>
    <xf numFmtId="170" fontId="3" fillId="0" borderId="12" xfId="1" applyNumberFormat="1" applyFont="1" applyFill="1" applyBorder="1" applyAlignment="1">
      <alignment horizontal="center" vertical="center"/>
    </xf>
    <xf numFmtId="170" fontId="3" fillId="0" borderId="10" xfId="1" applyNumberFormat="1" applyFont="1" applyFill="1" applyBorder="1" applyAlignment="1">
      <alignment horizontal="center" vertical="center"/>
    </xf>
    <xf numFmtId="170" fontId="3" fillId="0" borderId="15" xfId="1" applyNumberFormat="1" applyFont="1" applyFill="1" applyBorder="1" applyAlignment="1">
      <alignment horizontal="center" vertical="center"/>
    </xf>
    <xf numFmtId="0" fontId="0" fillId="0" borderId="12" xfId="0" quotePrefix="1" applyBorder="1" applyAlignment="1">
      <alignment horizontal="center" vertical="center"/>
    </xf>
    <xf numFmtId="0" fontId="0" fillId="0" borderId="10" xfId="0" quotePrefix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9" fontId="3" fillId="0" borderId="12" xfId="1" applyNumberFormat="1" applyFont="1" applyFill="1" applyBorder="1" applyAlignment="1">
      <alignment horizontal="center" vertical="center"/>
    </xf>
    <xf numFmtId="9" fontId="3" fillId="0" borderId="10" xfId="1" applyNumberFormat="1" applyFont="1" applyFill="1" applyBorder="1" applyAlignment="1">
      <alignment horizontal="center" vertical="center"/>
    </xf>
    <xf numFmtId="9" fontId="3" fillId="0" borderId="15" xfId="1" applyNumberFormat="1" applyFont="1" applyFill="1" applyBorder="1" applyAlignment="1">
      <alignment horizontal="center" vertical="center"/>
    </xf>
    <xf numFmtId="9" fontId="3" fillId="0" borderId="15" xfId="1" applyNumberFormat="1" applyFont="1" applyBorder="1" applyAlignment="1">
      <alignment horizontal="center" vertic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C6FF"/>
      <color rgb="FFFF9EFC"/>
      <color rgb="FFFF94E9"/>
      <color rgb="FFFF27EF"/>
      <color rgb="FFCB25BB"/>
      <color rgb="FFFF40FF"/>
      <color rgb="FFFAF400"/>
      <color rgb="FF00E300"/>
      <color rgb="FF9341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Figure 2C: Route C one-pot procedure E-factor composition</a:t>
            </a:r>
            <a:endParaRPr lang="en-ZA" sz="1400" b="1">
              <a:solidFill>
                <a:schemeClr val="tx1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1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GB" sz="1400" b="1"/>
          </a:p>
        </c:rich>
      </c:tx>
      <c:layout>
        <c:manualLayout>
          <c:xMode val="edge"/>
          <c:yMode val="edge"/>
          <c:x val="0.17077831617201697"/>
          <c:y val="5.02958579881656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 cmpd="sng"/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40FF"/>
              </a:solidFill>
              <a:ln w="19050" cmpd="sng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7FF-2D40-B23C-279BF252A538}"/>
              </c:ext>
            </c:extLst>
          </c:dPt>
          <c:dPt>
            <c:idx val="1"/>
            <c:bubble3D val="0"/>
            <c:spPr>
              <a:solidFill>
                <a:srgbClr val="FAF400"/>
              </a:solidFill>
              <a:ln w="19050" cmpd="sng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C7FF-2D40-B23C-279BF252A538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 cmpd="sng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7FF-2D40-B23C-279BF252A538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 cmpd="sng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7FF-2D40-B23C-279BF252A538}"/>
              </c:ext>
            </c:extLst>
          </c:dPt>
          <c:dLbls>
            <c:dLbl>
              <c:idx val="0"/>
              <c:layout>
                <c:manualLayout>
                  <c:x val="0.13812783017507427"/>
                  <c:y val="0.717748450822345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FF-2D40-B23C-279BF252A538}"/>
                </c:ext>
              </c:extLst>
            </c:dLbl>
            <c:dLbl>
              <c:idx val="1"/>
              <c:layout>
                <c:manualLayout>
                  <c:x val="-0.10146051455106574"/>
                  <c:y val="3.58095326841541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FF-2D40-B23C-279BF252A538}"/>
                </c:ext>
              </c:extLst>
            </c:dLbl>
            <c:dLbl>
              <c:idx val="3"/>
              <c:layout>
                <c:manualLayout>
                  <c:x val="0.14957270341207349"/>
                  <c:y val="1.401831058099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FF-2D40-B23C-279BF252A5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'One-pot procedure E-factor'!$A$11:$D$11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'One-pot procedure E-factor'!$A$12:$D$12</c:f>
              <c:numCache>
                <c:formatCode>0.00</c:formatCode>
                <c:ptCount val="4"/>
                <c:pt idx="0">
                  <c:v>4.2658494973423418</c:v>
                </c:pt>
                <c:pt idx="1">
                  <c:v>697.13188443998888</c:v>
                </c:pt>
                <c:pt idx="2">
                  <c:v>215.02473602431584</c:v>
                </c:pt>
                <c:pt idx="3">
                  <c:v>797.72085087021196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FF-2D40-B23C-279BF252A53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926447790517411"/>
          <c:y val="0.37270975569141468"/>
          <c:w val="0.26496548556430444"/>
          <c:h val="0.41797939910079218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Figure</a:t>
            </a:r>
            <a:r>
              <a:rPr lang="en-GB" b="1" baseline="0">
                <a:solidFill>
                  <a:schemeClr val="tx1"/>
                </a:solidFill>
              </a:rPr>
              <a:t> </a:t>
            </a:r>
            <a:r>
              <a:rPr lang="en-GB" b="1">
                <a:solidFill>
                  <a:schemeClr val="tx1"/>
                </a:solidFill>
              </a:rPr>
              <a:t>5A: </a:t>
            </a:r>
            <a:r>
              <a:rPr lang="en-GB" sz="1400" b="1" i="0" u="none" strike="noStrike" baseline="0">
                <a:effectLst/>
              </a:rPr>
              <a:t>Route C step-by-step procedure E-factor composition</a:t>
            </a:r>
            <a:r>
              <a:rPr lang="en-GB" sz="1400" b="1" i="0" u="none" strike="noStrike" baseline="0"/>
              <a:t>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1"/>
          <c:order val="0"/>
          <c:spPr>
            <a:ln w="19050"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40FF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252B-504E-91FB-C6BB829CDBDD}"/>
              </c:ext>
            </c:extLst>
          </c:dPt>
          <c:dPt>
            <c:idx val="1"/>
            <c:bubble3D val="0"/>
            <c:spPr>
              <a:solidFill>
                <a:srgbClr val="FAF40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2-252B-504E-91FB-C6BB829CDBDD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252B-504E-91FB-C6BB829CDBDD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4-252B-504E-91FB-C6BB829CDBDD}"/>
              </c:ext>
            </c:extLst>
          </c:dPt>
          <c:dLbls>
            <c:dLbl>
              <c:idx val="0"/>
              <c:layout>
                <c:manualLayout>
                  <c:x val="0.14133666218551943"/>
                  <c:y val="0.6917577947239957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252B-504E-91FB-C6BB829CDBDD}"/>
                </c:ext>
              </c:extLst>
            </c:dLbl>
            <c:dLbl>
              <c:idx val="3"/>
              <c:layout>
                <c:manualLayout>
                  <c:x val="0.14088242750144037"/>
                  <c:y val="-6.1804542383165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252B-504E-91FB-C6BB829CDB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'Step-by-step E-factor'!$A$13:$D$13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'Step-by-step E-factor'!$A$14:$D$14</c:f>
              <c:numCache>
                <c:formatCode>0.00</c:formatCode>
                <c:ptCount val="4"/>
                <c:pt idx="0">
                  <c:v>3.3444788283878353</c:v>
                </c:pt>
                <c:pt idx="1">
                  <c:v>548.41155294806595</c:v>
                </c:pt>
                <c:pt idx="2">
                  <c:v>70.724419267995486</c:v>
                </c:pt>
                <c:pt idx="3">
                  <c:v>552.67290266759551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252B-504E-91FB-C6BB829CDBDD}"/>
            </c:ext>
          </c:extLst>
        </c:ser>
        <c:ser>
          <c:idx val="2"/>
          <c:order val="1"/>
          <c:spPr>
            <a:ln cmpd="sng"/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40FF"/>
              </a:solidFill>
              <a:ln w="19050" cmpd="sng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7-252B-504E-91FB-C6BB829CDBDD}"/>
              </c:ext>
            </c:extLst>
          </c:dPt>
          <c:dPt>
            <c:idx val="1"/>
            <c:bubble3D val="0"/>
            <c:spPr>
              <a:solidFill>
                <a:srgbClr val="FAF400"/>
              </a:solidFill>
              <a:ln w="19050" cmpd="sng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8-252B-504E-91FB-C6BB829CDBDD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 cmpd="sng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9-252B-504E-91FB-C6BB829CDBDD}"/>
              </c:ext>
            </c:extLst>
          </c:dPt>
          <c:dPt>
            <c:idx val="3"/>
            <c:bubble3D val="0"/>
            <c:spPr>
              <a:solidFill>
                <a:srgbClr val="9341D4"/>
              </a:solidFill>
              <a:ln w="19050" cmpd="sng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A-252B-504E-91FB-C6BB829CDBDD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'Step-by-step E-factor'!$A$13:$D$13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'One-pot procedure E-factor'!$A$12:$D$12</c:f>
              <c:numCache>
                <c:formatCode>0.00</c:formatCode>
                <c:ptCount val="4"/>
                <c:pt idx="0">
                  <c:v>4.2658494973423418</c:v>
                </c:pt>
                <c:pt idx="1">
                  <c:v>697.13188443998888</c:v>
                </c:pt>
                <c:pt idx="2">
                  <c:v>215.02473602431584</c:v>
                </c:pt>
                <c:pt idx="3">
                  <c:v>797.72085087021196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252B-504E-91FB-C6BB829CDBDD}"/>
            </c:ext>
          </c:extLst>
        </c:ser>
        <c:ser>
          <c:idx val="0"/>
          <c:order val="2"/>
          <c:spPr>
            <a:ln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2F92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252B-504E-91FB-C6BB829CDBDD}"/>
              </c:ext>
            </c:extLst>
          </c:dPt>
          <c:dPt>
            <c:idx val="1"/>
            <c:bubble3D val="0"/>
            <c:spPr>
              <a:solidFill>
                <a:srgbClr val="FBF00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252B-504E-91FB-C6BB829CDBDD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252B-504E-91FB-C6BB829CDBDD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252B-504E-91FB-C6BB829CDBDD}"/>
              </c:ext>
            </c:extLst>
          </c:dPt>
          <c:dPt>
            <c:idx val="4"/>
            <c:bubble3D val="0"/>
            <c:spPr>
              <a:solidFill>
                <a:srgbClr val="BB67F2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252B-504E-91FB-C6BB829CDBD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'Step-by-step E-factor'!$A$13:$D$13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'[1]Cummulative E-factor'!$A$20:$E$20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252B-504E-91FB-C6BB829CDBD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809948172969987"/>
          <c:y val="0.39023949154400622"/>
          <c:w val="0.17940013945044"/>
          <c:h val="0.30855859002994585"/>
        </c:manualLayout>
      </c:layout>
      <c:overlay val="0"/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125</xdr:row>
      <xdr:rowOff>0</xdr:rowOff>
    </xdr:from>
    <xdr:to>
      <xdr:col>4</xdr:col>
      <xdr:colOff>1699054</xdr:colOff>
      <xdr:row>127</xdr:row>
      <xdr:rowOff>51486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5833" y="27270676"/>
          <a:ext cx="12096464" cy="46337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300" b="1"/>
            <a:t>Figure 1C:</a:t>
          </a:r>
          <a:r>
            <a:rPr lang="en-US" sz="1300" b="1" baseline="0"/>
            <a:t> </a:t>
          </a:r>
          <a:r>
            <a:rPr lang="en-US" sz="1300" b="1"/>
            <a:t>Schematic</a:t>
          </a:r>
          <a:r>
            <a:rPr lang="en-US" sz="1300" b="1" baseline="0"/>
            <a:t> representation of route C one-pot procedure (step 2c) to bis-THF alcohol from potassium isocitrate </a:t>
          </a:r>
          <a:endParaRPr lang="en-US" sz="13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127</xdr:row>
          <xdr:rowOff>203200</xdr:rowOff>
        </xdr:from>
        <xdr:to>
          <xdr:col>4</xdr:col>
          <xdr:colOff>1689100</xdr:colOff>
          <xdr:row>139</xdr:row>
          <xdr:rowOff>152400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25400</xdr:rowOff>
    </xdr:from>
    <xdr:to>
      <xdr:col>5</xdr:col>
      <xdr:colOff>0</xdr:colOff>
      <xdr:row>34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1130301</xdr:colOff>
      <xdr:row>13</xdr:row>
      <xdr:rowOff>0</xdr:rowOff>
    </xdr:from>
    <xdr:ext cx="635000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11628968" y="2777067"/>
              <a:ext cx="635000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l-GR" sz="1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Σ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D8517FF1-08CD-7C40-A689-CAD2972C288F}"/>
                </a:ext>
              </a:extLst>
            </xdr:cNvPr>
            <xdr:cNvSpPr txBox="1"/>
          </xdr:nvSpPr>
          <xdr:spPr>
            <a:xfrm>
              <a:off x="11628968" y="2777067"/>
              <a:ext cx="635000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l-GR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Σ</a:t>
              </a:r>
              <a:endParaRPr lang="en-US" sz="14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40679</xdr:colOff>
      <xdr:row>160</xdr:row>
      <xdr:rowOff>63396</xdr:rowOff>
    </xdr:from>
    <xdr:to>
      <xdr:col>4</xdr:col>
      <xdr:colOff>745066</xdr:colOff>
      <xdr:row>162</xdr:row>
      <xdr:rowOff>187298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0679" y="35911263"/>
          <a:ext cx="10847454" cy="5303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Figure 3C:</a:t>
          </a:r>
          <a:r>
            <a:rPr lang="en-US" sz="1400" b="1" baseline="0"/>
            <a:t> </a:t>
          </a:r>
          <a:r>
            <a:rPr lang="en-US" sz="1400" b="1"/>
            <a:t>Schematic</a:t>
          </a:r>
          <a:r>
            <a:rPr lang="en-US" sz="1400" b="1" baseline="0"/>
            <a:t> representation of route C step-by-step procedure to bis-THF alcohol from potassium isocitrate strating material</a:t>
          </a:r>
          <a:endParaRPr lang="en-US" sz="14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25400</xdr:colOff>
          <xdr:row>163</xdr:row>
          <xdr:rowOff>88900</xdr:rowOff>
        </xdr:from>
        <xdr:to>
          <xdr:col>4</xdr:col>
          <xdr:colOff>736600</xdr:colOff>
          <xdr:row>187</xdr:row>
          <xdr:rowOff>0</xdr:rowOff>
        </xdr:to>
        <xdr:sp macro="" textlink="">
          <xdr:nvSpPr>
            <xdr:cNvPr id="3100" name="Object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25495</xdr:rowOff>
    </xdr:from>
    <xdr:to>
      <xdr:col>4</xdr:col>
      <xdr:colOff>273050</xdr:colOff>
      <xdr:row>32</xdr:row>
      <xdr:rowOff>202253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1587500</xdr:colOff>
      <xdr:row>15</xdr:row>
      <xdr:rowOff>44450</xdr:rowOff>
    </xdr:from>
    <xdr:ext cx="139700" cy="1720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 txBox="1"/>
          </xdr:nvSpPr>
          <xdr:spPr>
            <a:xfrm>
              <a:off x="10782300" y="3232150"/>
              <a:ext cx="139700" cy="1720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l-GR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Σ</m:t>
                    </m:r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B88ED0DE-7157-994F-981E-FBC8169552B8}"/>
                </a:ext>
              </a:extLst>
            </xdr:cNvPr>
            <xdr:cNvSpPr txBox="1"/>
          </xdr:nvSpPr>
          <xdr:spPr>
            <a:xfrm>
              <a:off x="10782300" y="3232150"/>
              <a:ext cx="139700" cy="1720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l-GR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Σ</a:t>
              </a:r>
              <a:endParaRPr lang="en-GB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k/Desktop/Semi-Final%20Routes/Route%20A/Excel/Final%20Route%20A-Hayashi%20et.al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mmulative E-factor"/>
      <sheetName val="Step-by-step procedure"/>
      <sheetName val="Step-by-step E-Factor"/>
      <sheetName val="Advanced Starting Material"/>
      <sheetName val=" ASM E-Factor"/>
      <sheetName val="Chemical materials"/>
      <sheetName val="E-factors and cost"/>
      <sheetName val="Radial Polygons-to be replaced"/>
      <sheetName val="E-factors and solvents"/>
      <sheetName val="Solvents route C"/>
      <sheetName val="Solvents route A"/>
      <sheetName val="Solvents route B"/>
    </sheetNames>
    <sheetDataSet>
      <sheetData sheetId="0" refreshError="1">
        <row r="13">
          <cell r="C13">
            <v>17.917911260502017</v>
          </cell>
        </row>
        <row r="20">
          <cell r="A20">
            <v>2.4473022910811455</v>
          </cell>
          <cell r="B20">
            <v>39.303376503561076</v>
          </cell>
          <cell r="C20">
            <v>5.3687597268370606</v>
          </cell>
          <cell r="D20">
            <v>28.348900533120556</v>
          </cell>
          <cell r="E20">
            <v>11.367000089530968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>
        <row r="13">
          <cell r="E13"/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/catalog/search?term=20226-99-7&amp;interface=CAS%20No.&amp;N=0&amp;mode=partialmax&amp;lang=en&amp;region=ZA&amp;focus=produc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/catalog/search?term=39389-20-3&amp;interface=CAS%20No.&amp;N=0&amp;mode=partialmax&amp;lang=en&amp;region=ZA&amp;focus=product" TargetMode="External"/><Relationship Id="rId1" Type="http://schemas.openxmlformats.org/officeDocument/2006/relationships/hyperlink" Target="/catalog/search?term=20226-99-7&amp;interface=CAS%20No.&amp;N=0&amp;mode=partialmax&amp;lang=en&amp;region=ZA&amp;focus=product" TargetMode="External"/><Relationship Id="rId6" Type="http://schemas.openxmlformats.org/officeDocument/2006/relationships/hyperlink" Target="/catalog/search?term=39389-20-3&amp;interface=CAS%20No.&amp;N=0&amp;mode=partialmax&amp;lang=en&amp;region=ZA&amp;focus=product" TargetMode="External"/><Relationship Id="rId11" Type="http://schemas.openxmlformats.org/officeDocument/2006/relationships/comments" Target="../comments1.xml"/><Relationship Id="rId5" Type="http://schemas.openxmlformats.org/officeDocument/2006/relationships/hyperlink" Target="/catalog/search?term=20226-99-7&amp;interface=CAS%20No.&amp;N=0&amp;mode=partialmax&amp;lang=en&amp;region=ZA&amp;focus=product" TargetMode="External"/><Relationship Id="rId10" Type="http://schemas.openxmlformats.org/officeDocument/2006/relationships/image" Target="../media/image1.emf"/><Relationship Id="rId4" Type="http://schemas.openxmlformats.org/officeDocument/2006/relationships/hyperlink" Target="/catalog/search?term=39389-20-3&amp;interface=CAS%20No.&amp;N=0&amp;mode=partialmax&amp;lang=en&amp;region=ZA&amp;focus=product" TargetMode="External"/><Relationship Id="rId9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hyperlink" Target="/catalog/search?term=20226-99-7&amp;interface=CAS%20No.&amp;N=0&amp;mode=partialmax&amp;lang=en&amp;region=ZA&amp;focus=product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/catalog/search?term=39389-20-3&amp;interface=CAS%20No.&amp;N=0&amp;mode=partialmax&amp;lang=en&amp;region=ZA&amp;focus=product" TargetMode="External"/><Relationship Id="rId1" Type="http://schemas.openxmlformats.org/officeDocument/2006/relationships/hyperlink" Target="/catalog/search?term=20226-99-7&amp;interface=CAS%20No.&amp;N=0&amp;mode=partialmax&amp;lang=en&amp;region=ZA&amp;focus=product" TargetMode="External"/><Relationship Id="rId6" Type="http://schemas.openxmlformats.org/officeDocument/2006/relationships/hyperlink" Target="/catalog/search?term=39389-20-3&amp;interface=CAS%20No.&amp;N=0&amp;mode=partialmax&amp;lang=en&amp;region=ZA&amp;focus=product" TargetMode="External"/><Relationship Id="rId11" Type="http://schemas.openxmlformats.org/officeDocument/2006/relationships/comments" Target="../comments2.xml"/><Relationship Id="rId5" Type="http://schemas.openxmlformats.org/officeDocument/2006/relationships/hyperlink" Target="/catalog/search?term=20226-99-7&amp;interface=CAS%20No.&amp;N=0&amp;mode=partialmax&amp;lang=en&amp;region=ZA&amp;focus=product" TargetMode="External"/><Relationship Id="rId10" Type="http://schemas.openxmlformats.org/officeDocument/2006/relationships/image" Target="../media/image2.emf"/><Relationship Id="rId4" Type="http://schemas.openxmlformats.org/officeDocument/2006/relationships/hyperlink" Target="/catalog/search?term=39389-20-3&amp;interface=CAS%20No.&amp;N=0&amp;mode=partialmax&amp;lang=en&amp;region=ZA&amp;focus=product" TargetMode="External"/><Relationship Id="rId9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24"/>
  <sheetViews>
    <sheetView topLeftCell="N91" zoomScale="74" workbookViewId="0">
      <selection activeCell="F133" sqref="F133"/>
    </sheetView>
  </sheetViews>
  <sheetFormatPr defaultColWidth="11" defaultRowHeight="15.5"/>
  <cols>
    <col min="1" max="1" width="10.83203125" customWidth="1"/>
    <col min="2" max="2" width="26.6640625" customWidth="1"/>
    <col min="3" max="3" width="25.6640625" customWidth="1"/>
    <col min="4" max="4" width="74.83203125" bestFit="1" customWidth="1"/>
    <col min="5" max="5" width="25.6640625" bestFit="1" customWidth="1"/>
    <col min="6" max="6" width="27" bestFit="1" customWidth="1"/>
    <col min="7" max="7" width="69.1640625" bestFit="1" customWidth="1"/>
    <col min="8" max="8" width="23" bestFit="1" customWidth="1"/>
    <col min="9" max="9" width="13.33203125" bestFit="1" customWidth="1"/>
    <col min="10" max="10" width="16.5" bestFit="1" customWidth="1"/>
    <col min="11" max="11" width="12.5" bestFit="1" customWidth="1"/>
    <col min="12" max="12" width="13" bestFit="1" customWidth="1"/>
    <col min="13" max="13" width="14" bestFit="1" customWidth="1"/>
    <col min="14" max="14" width="16.33203125" bestFit="1" customWidth="1"/>
    <col min="15" max="15" width="9.6640625" bestFit="1" customWidth="1"/>
    <col min="16" max="16" width="15" style="57" bestFit="1" customWidth="1"/>
    <col min="17" max="17" width="15.5" bestFit="1" customWidth="1"/>
    <col min="18" max="18" width="10.5" bestFit="1" customWidth="1"/>
    <col min="19" max="19" width="47.33203125" bestFit="1" customWidth="1"/>
    <col min="21" max="21" width="18.5" bestFit="1" customWidth="1"/>
    <col min="22" max="22" width="25" bestFit="1" customWidth="1"/>
    <col min="23" max="23" width="16" bestFit="1" customWidth="1"/>
    <col min="25" max="25" width="17.33203125" bestFit="1" customWidth="1"/>
    <col min="26" max="26" width="15.83203125" bestFit="1" customWidth="1"/>
    <col min="27" max="27" width="13.83203125" bestFit="1" customWidth="1"/>
    <col min="28" max="28" width="16.6640625" bestFit="1" customWidth="1"/>
    <col min="30" max="30" width="13.33203125" bestFit="1" customWidth="1"/>
    <col min="31" max="31" width="14" bestFit="1" customWidth="1"/>
    <col min="32" max="32" width="17.33203125" bestFit="1" customWidth="1"/>
  </cols>
  <sheetData>
    <row r="1" spans="1:28" ht="25.5" thickBot="1">
      <c r="A1" s="266" t="s">
        <v>183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8"/>
    </row>
    <row r="2" spans="1:28">
      <c r="A2" s="269" t="s">
        <v>0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1"/>
    </row>
    <row r="3" spans="1:28">
      <c r="A3" s="1" t="s">
        <v>1</v>
      </c>
      <c r="B3" s="2" t="s">
        <v>2</v>
      </c>
      <c r="C3" s="3" t="s">
        <v>3</v>
      </c>
      <c r="D3" s="4" t="s">
        <v>4</v>
      </c>
      <c r="E3" s="5" t="s">
        <v>5</v>
      </c>
      <c r="F3" s="5" t="s">
        <v>6</v>
      </c>
      <c r="G3" s="5" t="s">
        <v>7</v>
      </c>
      <c r="H3" s="6" t="s">
        <v>8</v>
      </c>
      <c r="I3" s="1" t="s">
        <v>9</v>
      </c>
      <c r="J3" s="1" t="s">
        <v>10</v>
      </c>
      <c r="K3" s="1" t="s">
        <v>11</v>
      </c>
      <c r="L3" s="6" t="s">
        <v>12</v>
      </c>
      <c r="M3" s="7" t="s">
        <v>13</v>
      </c>
      <c r="N3" s="1" t="s">
        <v>14</v>
      </c>
      <c r="O3" s="6" t="s">
        <v>15</v>
      </c>
      <c r="P3" s="51" t="s">
        <v>16</v>
      </c>
      <c r="Q3" s="7" t="s">
        <v>17</v>
      </c>
      <c r="R3" s="1" t="s">
        <v>18</v>
      </c>
      <c r="S3" s="1" t="s">
        <v>19</v>
      </c>
      <c r="T3" s="1" t="s">
        <v>20</v>
      </c>
      <c r="U3" s="1" t="s">
        <v>21</v>
      </c>
      <c r="V3" s="8" t="s">
        <v>22</v>
      </c>
      <c r="W3" s="1" t="s">
        <v>23</v>
      </c>
      <c r="X3" s="1" t="s">
        <v>24</v>
      </c>
      <c r="Y3" s="1" t="s">
        <v>25</v>
      </c>
      <c r="Z3" s="9" t="s">
        <v>26</v>
      </c>
      <c r="AA3" s="1" t="s">
        <v>27</v>
      </c>
      <c r="AB3" s="10" t="s">
        <v>28</v>
      </c>
    </row>
    <row r="4" spans="1:28" s="67" customFormat="1" ht="17.5">
      <c r="A4" s="259" t="s">
        <v>232</v>
      </c>
      <c r="B4" s="162">
        <v>18</v>
      </c>
      <c r="C4" s="63"/>
      <c r="D4" s="61" t="s">
        <v>29</v>
      </c>
      <c r="E4" s="62" t="s">
        <v>110</v>
      </c>
      <c r="F4" s="70" t="s">
        <v>211</v>
      </c>
      <c r="G4" s="63"/>
      <c r="H4" s="63">
        <v>230.21</v>
      </c>
      <c r="I4" s="63">
        <v>1.98</v>
      </c>
      <c r="J4" s="64">
        <f>O4/O4</f>
        <v>1</v>
      </c>
      <c r="K4" s="63"/>
      <c r="L4" s="61">
        <v>36</v>
      </c>
      <c r="M4" s="69">
        <f>L4/1000</f>
        <v>3.5999999999999997E-2</v>
      </c>
      <c r="N4" s="63">
        <f>L4/I4</f>
        <v>18.181818181818183</v>
      </c>
      <c r="O4" s="61">
        <f>L4/H4</f>
        <v>0.15637895834238302</v>
      </c>
      <c r="P4" s="65"/>
      <c r="Q4" s="63"/>
      <c r="R4" s="63"/>
      <c r="S4" s="63">
        <f>50</f>
        <v>50</v>
      </c>
      <c r="T4" s="63" t="s">
        <v>34</v>
      </c>
      <c r="U4" s="63">
        <f>S4/(1000/H4)</f>
        <v>11.510500000000002</v>
      </c>
      <c r="V4" s="63" t="s">
        <v>30</v>
      </c>
      <c r="W4" s="68" t="s">
        <v>31</v>
      </c>
      <c r="X4" s="263">
        <f>R8/O4</f>
        <v>0.96557697863419678</v>
      </c>
      <c r="Y4" s="66">
        <f>U4*O4</f>
        <v>1.8</v>
      </c>
      <c r="Z4" s="244" t="s">
        <v>114</v>
      </c>
      <c r="AA4" s="244">
        <v>1</v>
      </c>
      <c r="AB4" s="244">
        <v>2</v>
      </c>
    </row>
    <row r="5" spans="1:28">
      <c r="A5" s="259"/>
      <c r="B5" s="14"/>
      <c r="C5" s="14"/>
      <c r="D5" s="15" t="s">
        <v>32</v>
      </c>
      <c r="E5" s="15" t="s">
        <v>111</v>
      </c>
      <c r="F5" s="14" t="s">
        <v>33</v>
      </c>
      <c r="G5" s="15"/>
      <c r="H5" s="15">
        <v>212.82</v>
      </c>
      <c r="I5" s="15"/>
      <c r="J5" s="15">
        <f>O5/O4</f>
        <v>1.5844981061199346</v>
      </c>
      <c r="K5" s="15"/>
      <c r="L5" s="15">
        <v>52.732999999999997</v>
      </c>
      <c r="M5" s="85">
        <f>L5/1000</f>
        <v>5.2732999999999995E-2</v>
      </c>
      <c r="N5" s="15"/>
      <c r="O5" s="15">
        <f>L5/H5</f>
        <v>0.24778216333051403</v>
      </c>
      <c r="P5" s="52"/>
      <c r="Q5" s="15"/>
      <c r="R5" s="15"/>
      <c r="S5" s="15">
        <f>2080*0.078</f>
        <v>162.24</v>
      </c>
      <c r="T5" s="15" t="s">
        <v>34</v>
      </c>
      <c r="U5" s="15">
        <f>S5/(1000/H5)</f>
        <v>34.5279168</v>
      </c>
      <c r="V5" s="16" t="s">
        <v>35</v>
      </c>
      <c r="W5" s="17" t="s">
        <v>36</v>
      </c>
      <c r="X5" s="264"/>
      <c r="Y5" s="18">
        <f>U5*O5</f>
        <v>8.5554019199999995</v>
      </c>
      <c r="Z5" s="245"/>
      <c r="AA5" s="245"/>
      <c r="AB5" s="245"/>
    </row>
    <row r="6" spans="1:28" ht="17.5">
      <c r="A6" s="259"/>
      <c r="B6" s="19"/>
      <c r="C6" s="19"/>
      <c r="D6" s="20" t="s">
        <v>37</v>
      </c>
      <c r="E6" s="21" t="s">
        <v>38</v>
      </c>
      <c r="F6" s="19" t="s">
        <v>37</v>
      </c>
      <c r="G6" s="20"/>
      <c r="H6" s="20">
        <v>18.02</v>
      </c>
      <c r="I6" s="20">
        <v>1</v>
      </c>
      <c r="J6" s="20">
        <f>O6/O4</f>
        <v>1197.7677326393514</v>
      </c>
      <c r="K6" s="20"/>
      <c r="L6" s="20">
        <v>3375.24818</v>
      </c>
      <c r="M6" s="86">
        <f>L6/1000</f>
        <v>3.3752481800000003</v>
      </c>
      <c r="N6" s="20">
        <f>L6/I6</f>
        <v>3375.24818</v>
      </c>
      <c r="O6" s="20">
        <f>L6/H6</f>
        <v>187.3056703662597</v>
      </c>
      <c r="P6" s="53"/>
      <c r="Q6" s="20"/>
      <c r="R6" s="20"/>
      <c r="S6" s="20">
        <f>285</f>
        <v>285</v>
      </c>
      <c r="T6" s="20" t="s">
        <v>58</v>
      </c>
      <c r="U6" s="20">
        <f xml:space="preserve"> S6/((I6*16000)/H6)</f>
        <v>0.32098125</v>
      </c>
      <c r="V6" s="21" t="s">
        <v>112</v>
      </c>
      <c r="W6" s="21" t="s">
        <v>40</v>
      </c>
      <c r="X6" s="264"/>
      <c r="Y6" s="22">
        <f>U6*O6</f>
        <v>60.121608206249995</v>
      </c>
      <c r="Z6" s="245"/>
      <c r="AA6" s="245"/>
      <c r="AB6" s="245"/>
    </row>
    <row r="7" spans="1:28" ht="17.5">
      <c r="A7" s="259"/>
      <c r="B7" s="23"/>
      <c r="C7" s="23"/>
      <c r="D7" s="11" t="s">
        <v>206</v>
      </c>
      <c r="E7" s="24" t="s">
        <v>41</v>
      </c>
      <c r="F7" s="71" t="s">
        <v>42</v>
      </c>
      <c r="G7" s="13"/>
      <c r="H7" s="13">
        <v>86.13</v>
      </c>
      <c r="I7" s="13">
        <v>0.86</v>
      </c>
      <c r="J7" s="13">
        <f>O7/O4</f>
        <v>25.540281486641646</v>
      </c>
      <c r="K7" s="13"/>
      <c r="L7" s="13">
        <v>344</v>
      </c>
      <c r="M7" s="41">
        <f>L7/1000</f>
        <v>0.34399999999999997</v>
      </c>
      <c r="N7" s="13">
        <f>L7/I7</f>
        <v>400</v>
      </c>
      <c r="O7" s="13">
        <f>L7/H7</f>
        <v>3.9939626146522702</v>
      </c>
      <c r="P7" s="54"/>
      <c r="Q7" s="13"/>
      <c r="R7" s="13"/>
      <c r="S7" s="13">
        <f>21394.49*0.078</f>
        <v>1668.7702200000001</v>
      </c>
      <c r="T7" s="13" t="s">
        <v>43</v>
      </c>
      <c r="U7" s="13">
        <f>S7/((20000*I7)/H7)</f>
        <v>8.3564638981744199</v>
      </c>
      <c r="V7" s="11" t="s">
        <v>44</v>
      </c>
      <c r="W7" s="11" t="s">
        <v>45</v>
      </c>
      <c r="X7" s="264"/>
      <c r="Y7" s="26">
        <f>U7*O7</f>
        <v>33.375404400000008</v>
      </c>
      <c r="Z7" s="245"/>
      <c r="AA7" s="245"/>
      <c r="AB7" s="245"/>
    </row>
    <row r="8" spans="1:28" ht="17.5">
      <c r="A8" s="259"/>
      <c r="B8" s="27"/>
      <c r="C8" s="27">
        <v>19</v>
      </c>
      <c r="D8" s="11"/>
      <c r="E8" s="72" t="s">
        <v>46</v>
      </c>
      <c r="F8" s="73" t="s">
        <v>47</v>
      </c>
      <c r="G8" s="73" t="s">
        <v>48</v>
      </c>
      <c r="H8" s="13">
        <v>174.11</v>
      </c>
      <c r="I8" s="11"/>
      <c r="J8" s="11"/>
      <c r="K8" s="83">
        <v>0.96299999999999997</v>
      </c>
      <c r="L8" s="13"/>
      <c r="M8" s="13"/>
      <c r="N8" s="11"/>
      <c r="O8" s="13"/>
      <c r="P8" s="74">
        <f>27.3*96.3%</f>
        <v>26.289899999999999</v>
      </c>
      <c r="Q8" s="75">
        <f>P8/1000</f>
        <v>2.6289899999999998E-2</v>
      </c>
      <c r="R8" s="76">
        <f>P8/H8</f>
        <v>0.15099592211820112</v>
      </c>
      <c r="S8" s="11"/>
      <c r="T8" s="11"/>
      <c r="U8" s="11"/>
      <c r="V8" s="11"/>
      <c r="W8" s="11"/>
      <c r="X8" s="264"/>
      <c r="Y8" s="28"/>
      <c r="Z8" s="252"/>
      <c r="AA8" s="252"/>
      <c r="AB8" s="252"/>
    </row>
    <row r="9" spans="1:28">
      <c r="A9" s="241" t="s">
        <v>233</v>
      </c>
      <c r="B9" s="29"/>
      <c r="C9" s="29"/>
      <c r="D9" s="30"/>
      <c r="E9" s="30"/>
      <c r="F9" s="30"/>
      <c r="G9" s="30"/>
      <c r="H9" s="12"/>
      <c r="I9" s="30"/>
      <c r="J9" s="30"/>
      <c r="K9" s="30"/>
      <c r="L9" s="12"/>
      <c r="M9" s="12"/>
      <c r="N9" s="30"/>
      <c r="O9" s="12"/>
      <c r="P9" s="55"/>
      <c r="Q9" s="31"/>
      <c r="R9" s="32"/>
      <c r="S9" s="30"/>
      <c r="T9" s="30"/>
      <c r="U9" s="30"/>
      <c r="V9" s="30"/>
      <c r="W9" s="30"/>
      <c r="X9" s="260">
        <f>R22/O10</f>
        <v>0.57319612907227568</v>
      </c>
      <c r="Y9" s="33"/>
      <c r="Z9" s="244" t="s">
        <v>116</v>
      </c>
      <c r="AA9" s="244">
        <v>1</v>
      </c>
      <c r="AB9" s="244">
        <v>19.5</v>
      </c>
    </row>
    <row r="10" spans="1:28" ht="17.5">
      <c r="A10" s="242"/>
      <c r="B10" s="27">
        <v>19</v>
      </c>
      <c r="C10" s="27"/>
      <c r="D10" s="34" t="s">
        <v>48</v>
      </c>
      <c r="E10" s="72" t="s">
        <v>46</v>
      </c>
      <c r="F10" s="34" t="s">
        <v>47</v>
      </c>
      <c r="G10" s="11"/>
      <c r="H10" s="13">
        <v>174.11</v>
      </c>
      <c r="I10" s="11"/>
      <c r="J10" s="13">
        <f>O10/O10</f>
        <v>1</v>
      </c>
      <c r="K10" s="83">
        <v>0.96299999999999997</v>
      </c>
      <c r="L10" s="35">
        <f>1*96.3%</f>
        <v>0.96299999999999997</v>
      </c>
      <c r="M10" s="36">
        <f>L10/1000</f>
        <v>9.6299999999999999E-4</v>
      </c>
      <c r="N10" s="11"/>
      <c r="O10" s="37">
        <f>L10/H10</f>
        <v>5.5309861581758655E-3</v>
      </c>
      <c r="P10" s="56"/>
      <c r="Q10" s="11"/>
      <c r="R10" s="13"/>
      <c r="S10" s="11"/>
      <c r="T10" s="11"/>
      <c r="U10" s="11"/>
      <c r="V10" s="11"/>
      <c r="W10" s="11"/>
      <c r="X10" s="261"/>
      <c r="Y10" s="28"/>
      <c r="Z10" s="245"/>
      <c r="AA10" s="245"/>
      <c r="AB10" s="245"/>
    </row>
    <row r="11" spans="1:28" ht="17.5">
      <c r="A11" s="242"/>
      <c r="B11" s="27"/>
      <c r="C11" s="27"/>
      <c r="D11" s="11" t="s">
        <v>115</v>
      </c>
      <c r="E11" s="11" t="s">
        <v>49</v>
      </c>
      <c r="F11" s="71" t="s">
        <v>42</v>
      </c>
      <c r="G11" s="11"/>
      <c r="H11" s="11">
        <v>100.16</v>
      </c>
      <c r="I11" s="11">
        <v>0.86</v>
      </c>
      <c r="J11" s="13">
        <f>O11/O10</f>
        <v>38.809814991755665</v>
      </c>
      <c r="K11" s="11"/>
      <c r="L11" s="13">
        <f>N11*I11</f>
        <v>21.5</v>
      </c>
      <c r="M11" s="41">
        <f>L11/1000</f>
        <v>2.1499999999999998E-2</v>
      </c>
      <c r="N11" s="11">
        <v>25</v>
      </c>
      <c r="O11" s="13">
        <f>L11/H11</f>
        <v>0.21465654952076679</v>
      </c>
      <c r="P11" s="56"/>
      <c r="Q11" s="11"/>
      <c r="R11" s="13"/>
      <c r="S11" s="13">
        <f>6630</f>
        <v>6630</v>
      </c>
      <c r="T11" s="11" t="s">
        <v>180</v>
      </c>
      <c r="U11" s="13">
        <f>S11/((195000*I11)/H11)</f>
        <v>3.9598139534883723</v>
      </c>
      <c r="V11" s="39" t="s">
        <v>179</v>
      </c>
      <c r="W11" s="11" t="s">
        <v>51</v>
      </c>
      <c r="X11" s="261"/>
      <c r="Y11" s="26">
        <f>U11*O11</f>
        <v>0.85000000000000009</v>
      </c>
      <c r="Z11" s="245"/>
      <c r="AA11" s="245"/>
      <c r="AB11" s="245"/>
    </row>
    <row r="12" spans="1:28" ht="17.5">
      <c r="A12" s="242"/>
      <c r="B12" s="27"/>
      <c r="C12" s="27"/>
      <c r="D12" s="24" t="s">
        <v>167</v>
      </c>
      <c r="E12" s="24" t="s">
        <v>52</v>
      </c>
      <c r="F12" s="77" t="s">
        <v>53</v>
      </c>
      <c r="G12" s="11"/>
      <c r="H12" s="11">
        <v>102.09</v>
      </c>
      <c r="I12" s="11">
        <v>1.08</v>
      </c>
      <c r="J12" s="13">
        <f>O12/O10</f>
        <v>1.2464173539382055</v>
      </c>
      <c r="K12" s="11"/>
      <c r="L12" s="13">
        <v>0.70379999999999998</v>
      </c>
      <c r="M12" s="41">
        <f t="shared" ref="M12:M21" si="0">L12/1000</f>
        <v>7.0379999999999998E-4</v>
      </c>
      <c r="N12" s="13">
        <f>L12/I12</f>
        <v>0.65166666666666662</v>
      </c>
      <c r="O12" s="25">
        <f>L12/H12</f>
        <v>6.8939171319424035E-3</v>
      </c>
      <c r="P12" s="56"/>
      <c r="Q12" s="11"/>
      <c r="R12" s="13"/>
      <c r="S12" s="38">
        <f>79.4</f>
        <v>79.400000000000006</v>
      </c>
      <c r="T12" s="11" t="s">
        <v>39</v>
      </c>
      <c r="U12" s="13">
        <f>S12/((1000*I12)/H12)</f>
        <v>7.5055055555555565</v>
      </c>
      <c r="V12" s="24" t="s">
        <v>54</v>
      </c>
      <c r="W12" s="11" t="s">
        <v>55</v>
      </c>
      <c r="X12" s="261"/>
      <c r="Y12" s="26">
        <f>O12*U12</f>
        <v>5.1742333333333335E-2</v>
      </c>
      <c r="Z12" s="245"/>
      <c r="AA12" s="245"/>
      <c r="AB12" s="245"/>
    </row>
    <row r="13" spans="1:28" ht="17.5">
      <c r="A13" s="242"/>
      <c r="B13" s="11"/>
      <c r="C13" s="11"/>
      <c r="D13" s="11" t="s">
        <v>205</v>
      </c>
      <c r="E13" s="11" t="s">
        <v>57</v>
      </c>
      <c r="F13" s="77" t="s">
        <v>53</v>
      </c>
      <c r="G13" s="11"/>
      <c r="H13" s="13">
        <v>46.07</v>
      </c>
      <c r="I13" s="11">
        <v>0.78900000000000003</v>
      </c>
      <c r="J13" s="13">
        <f>O13/O10</f>
        <v>3.1120918300991702</v>
      </c>
      <c r="K13" s="11"/>
      <c r="L13" s="13">
        <v>0.79300000000000004</v>
      </c>
      <c r="M13" s="41">
        <f t="shared" si="0"/>
        <v>7.9300000000000009E-4</v>
      </c>
      <c r="N13" s="13">
        <f>L13/I13</f>
        <v>1.0050697084917617</v>
      </c>
      <c r="O13" s="13">
        <f>L13/H13</f>
        <v>1.7212936835250707E-2</v>
      </c>
      <c r="P13" s="56"/>
      <c r="Q13" s="11"/>
      <c r="R13" s="13"/>
      <c r="S13" s="11">
        <v>1070</v>
      </c>
      <c r="T13" s="11" t="s">
        <v>58</v>
      </c>
      <c r="U13" s="13">
        <f>S13/((16000*I13)/H13)</f>
        <v>3.9048558301647653</v>
      </c>
      <c r="V13" s="11" t="s">
        <v>59</v>
      </c>
      <c r="W13" s="11" t="s">
        <v>60</v>
      </c>
      <c r="X13" s="261"/>
      <c r="Y13" s="26">
        <f>U13*O13</f>
        <v>6.7214036755386564E-2</v>
      </c>
      <c r="Z13" s="245"/>
      <c r="AA13" s="245"/>
      <c r="AB13" s="245"/>
    </row>
    <row r="14" spans="1:28" ht="17.5">
      <c r="A14" s="242"/>
      <c r="B14" s="11"/>
      <c r="C14" s="11"/>
      <c r="D14" s="11" t="s">
        <v>170</v>
      </c>
      <c r="E14" s="11" t="s">
        <v>61</v>
      </c>
      <c r="F14" s="77" t="s">
        <v>53</v>
      </c>
      <c r="G14" s="11"/>
      <c r="H14" s="11">
        <v>126.92</v>
      </c>
      <c r="I14" s="11">
        <v>1.5</v>
      </c>
      <c r="J14" s="13">
        <f>O14/O10</f>
        <v>1.2475171339563864</v>
      </c>
      <c r="K14" s="11" t="s">
        <v>117</v>
      </c>
      <c r="L14" s="13">
        <v>0.87574799999999997</v>
      </c>
      <c r="M14" s="41">
        <f t="shared" si="0"/>
        <v>8.7574799999999998E-4</v>
      </c>
      <c r="N14" s="13">
        <f t="shared" ref="N14" si="1">L14/I14</f>
        <v>0.58383200000000002</v>
      </c>
      <c r="O14" s="25">
        <f t="shared" ref="O14:O18" si="2">L14/H14</f>
        <v>6.8999999999999999E-3</v>
      </c>
      <c r="P14" s="56"/>
      <c r="Q14" s="11"/>
      <c r="R14" s="13"/>
      <c r="S14" s="11">
        <f>1340</f>
        <v>1340</v>
      </c>
      <c r="T14" s="11" t="s">
        <v>127</v>
      </c>
      <c r="U14" s="13">
        <f>S14/(10000/H14)</f>
        <v>17.007280000000002</v>
      </c>
      <c r="V14" s="11" t="s">
        <v>62</v>
      </c>
      <c r="W14" s="11" t="s">
        <v>63</v>
      </c>
      <c r="X14" s="261"/>
      <c r="Y14" s="26">
        <f>U14*O14</f>
        <v>0.11735023200000001</v>
      </c>
      <c r="Z14" s="245"/>
      <c r="AA14" s="245"/>
      <c r="AB14" s="245"/>
    </row>
    <row r="15" spans="1:28" ht="17.5">
      <c r="A15" s="242"/>
      <c r="B15" s="11"/>
      <c r="C15" s="11"/>
      <c r="D15" s="11" t="s">
        <v>118</v>
      </c>
      <c r="E15" s="24" t="s">
        <v>64</v>
      </c>
      <c r="F15" s="71" t="s">
        <v>42</v>
      </c>
      <c r="G15" s="11"/>
      <c r="H15" s="11">
        <v>84.93</v>
      </c>
      <c r="I15" s="13">
        <v>1.325</v>
      </c>
      <c r="J15" s="13">
        <f>O15/O10</f>
        <v>129.37329521980047</v>
      </c>
      <c r="K15" s="11"/>
      <c r="L15" s="13">
        <f>N15*I15</f>
        <v>60.7726726</v>
      </c>
      <c r="M15" s="41">
        <f t="shared" si="0"/>
        <v>6.0772672600000001E-2</v>
      </c>
      <c r="N15" s="13">
        <f>2.866168+10+25+5+3</f>
        <v>45.866168000000002</v>
      </c>
      <c r="O15" s="13">
        <f t="shared" si="2"/>
        <v>0.71556190509831619</v>
      </c>
      <c r="P15" s="56"/>
      <c r="Q15" s="11"/>
      <c r="R15" s="13"/>
      <c r="S15" s="13">
        <f>701</f>
        <v>701</v>
      </c>
      <c r="T15" s="11" t="s">
        <v>43</v>
      </c>
      <c r="U15" s="13">
        <f>S15/((20000*I15)/H15)</f>
        <v>2.2466388679245286</v>
      </c>
      <c r="V15" s="11" t="s">
        <v>120</v>
      </c>
      <c r="W15" s="11" t="s">
        <v>66</v>
      </c>
      <c r="X15" s="261"/>
      <c r="Y15" s="26">
        <f>U15*O15</f>
        <v>1.6076091884000001</v>
      </c>
      <c r="Z15" s="245"/>
      <c r="AA15" s="245"/>
      <c r="AB15" s="245"/>
    </row>
    <row r="16" spans="1:28" s="99" customFormat="1" ht="17.5">
      <c r="A16" s="242"/>
      <c r="B16" s="96"/>
      <c r="C16" s="96"/>
      <c r="D16" s="170" t="s">
        <v>119</v>
      </c>
      <c r="E16" s="96" t="s">
        <v>67</v>
      </c>
      <c r="F16" s="187" t="s">
        <v>207</v>
      </c>
      <c r="G16" s="96"/>
      <c r="H16" s="97">
        <v>73.099999999999994</v>
      </c>
      <c r="I16" s="96">
        <v>0.94399999999999995</v>
      </c>
      <c r="J16" s="97">
        <f>O16/O10</f>
        <v>2.3348126934610693</v>
      </c>
      <c r="K16" s="96" t="s">
        <v>210</v>
      </c>
      <c r="L16" s="97">
        <f>N16*I16</f>
        <v>0.94399999999999995</v>
      </c>
      <c r="M16" s="98">
        <f>L16/1000</f>
        <v>9.4399999999999996E-4</v>
      </c>
      <c r="N16" s="97">
        <v>1</v>
      </c>
      <c r="O16" s="97">
        <f>L16/H16</f>
        <v>1.2913816689466484E-2</v>
      </c>
      <c r="P16" s="176"/>
      <c r="Q16" s="97"/>
      <c r="R16" s="96"/>
      <c r="S16" s="97">
        <f>851</f>
        <v>851</v>
      </c>
      <c r="T16" s="96" t="s">
        <v>101</v>
      </c>
      <c r="U16" s="97">
        <f>S16/((18000*I16)/H16)</f>
        <v>3.6610228342749527</v>
      </c>
      <c r="V16" s="174" t="s">
        <v>121</v>
      </c>
      <c r="W16" s="191" t="s">
        <v>68</v>
      </c>
      <c r="X16" s="261"/>
      <c r="Y16" s="157">
        <f>U16*O16</f>
        <v>4.7277777777777773E-2</v>
      </c>
      <c r="Z16" s="245"/>
      <c r="AA16" s="245"/>
      <c r="AB16" s="245"/>
    </row>
    <row r="17" spans="1:32" s="99" customFormat="1" ht="17.5">
      <c r="A17" s="242"/>
      <c r="B17" s="96"/>
      <c r="C17" s="96"/>
      <c r="D17" s="96" t="s">
        <v>69</v>
      </c>
      <c r="E17" s="96" t="s">
        <v>70</v>
      </c>
      <c r="F17" s="155" t="s">
        <v>53</v>
      </c>
      <c r="G17" s="96"/>
      <c r="H17" s="96">
        <v>107.16</v>
      </c>
      <c r="I17" s="96">
        <v>0.98899999999999999</v>
      </c>
      <c r="J17" s="97">
        <f>O17/O10</f>
        <v>1.0393107888476854</v>
      </c>
      <c r="K17" s="96"/>
      <c r="L17" s="98">
        <v>0.61599999999999999</v>
      </c>
      <c r="M17" s="98">
        <f t="shared" si="0"/>
        <v>6.1600000000000001E-4</v>
      </c>
      <c r="N17" s="97">
        <f t="shared" ref="N17:N18" si="3">L17/I17</f>
        <v>0.6228513650151668</v>
      </c>
      <c r="O17" s="175">
        <f t="shared" si="2"/>
        <v>5.7484135871593879E-3</v>
      </c>
      <c r="P17" s="168"/>
      <c r="Q17" s="96"/>
      <c r="R17" s="97"/>
      <c r="S17" s="97">
        <f>67.6</f>
        <v>67.599999999999994</v>
      </c>
      <c r="T17" s="96" t="s">
        <v>34</v>
      </c>
      <c r="U17" s="97">
        <f t="shared" ref="U17" si="4">S17/(1000/H17)</f>
        <v>7.2440159999999993</v>
      </c>
      <c r="V17" s="96" t="s">
        <v>71</v>
      </c>
      <c r="W17" s="96" t="s">
        <v>72</v>
      </c>
      <c r="X17" s="261"/>
      <c r="Y17" s="169">
        <f>O17*U17</f>
        <v>4.1641599999999994E-2</v>
      </c>
      <c r="Z17" s="245"/>
      <c r="AA17" s="245"/>
      <c r="AB17" s="245"/>
    </row>
    <row r="18" spans="1:32" s="99" customFormat="1" ht="17.5">
      <c r="A18" s="242"/>
      <c r="B18" s="96"/>
      <c r="C18" s="96"/>
      <c r="D18" s="96" t="s">
        <v>168</v>
      </c>
      <c r="E18" s="96" t="s">
        <v>73</v>
      </c>
      <c r="F18" s="155" t="s">
        <v>53</v>
      </c>
      <c r="G18" s="96"/>
      <c r="H18" s="97">
        <v>79.099999999999994</v>
      </c>
      <c r="I18" s="96">
        <v>0.97799999999999998</v>
      </c>
      <c r="J18" s="97">
        <f>O18/O10</f>
        <v>1.0399976107113649</v>
      </c>
      <c r="K18" s="96"/>
      <c r="L18" s="98">
        <v>0.45500000000000002</v>
      </c>
      <c r="M18" s="98">
        <f t="shared" si="0"/>
        <v>4.55E-4</v>
      </c>
      <c r="N18" s="97">
        <f t="shared" si="3"/>
        <v>0.46523517382413093</v>
      </c>
      <c r="O18" s="175">
        <f t="shared" si="2"/>
        <v>5.7522123893805318E-3</v>
      </c>
      <c r="P18" s="168"/>
      <c r="Q18" s="96"/>
      <c r="R18" s="97"/>
      <c r="S18" s="97">
        <v>879</v>
      </c>
      <c r="T18" s="96" t="s">
        <v>65</v>
      </c>
      <c r="U18" s="97">
        <f>S18/((8000*I18)/H18)</f>
        <v>8.8866180981595093</v>
      </c>
      <c r="V18" s="96" t="s">
        <v>74</v>
      </c>
      <c r="W18" s="96" t="s">
        <v>75</v>
      </c>
      <c r="X18" s="261"/>
      <c r="Y18" s="169">
        <f>O18*U18</f>
        <v>5.1117714723926386E-2</v>
      </c>
      <c r="Z18" s="245"/>
      <c r="AA18" s="245"/>
      <c r="AB18" s="245"/>
    </row>
    <row r="19" spans="1:32">
      <c r="A19" s="242"/>
      <c r="B19" s="11"/>
      <c r="C19" s="11"/>
      <c r="D19" s="11" t="s">
        <v>76</v>
      </c>
      <c r="E19" s="11" t="s">
        <v>77</v>
      </c>
      <c r="F19" s="77" t="s">
        <v>53</v>
      </c>
      <c r="G19" s="11"/>
      <c r="H19" s="11">
        <v>36.46</v>
      </c>
      <c r="I19" s="11">
        <v>1.19</v>
      </c>
      <c r="J19" s="13">
        <f>O19/O10</f>
        <v>88.515430215847005</v>
      </c>
      <c r="K19" s="11" t="s">
        <v>78</v>
      </c>
      <c r="L19" s="13">
        <f>N19*I19</f>
        <v>17.849999999999998</v>
      </c>
      <c r="M19" s="41">
        <f t="shared" si="0"/>
        <v>1.7849999999999998E-2</v>
      </c>
      <c r="N19" s="13">
        <v>15</v>
      </c>
      <c r="O19" s="13">
        <f>L19/H19</f>
        <v>0.48957761930883154</v>
      </c>
      <c r="P19" s="56"/>
      <c r="Q19" s="11"/>
      <c r="R19" s="13"/>
      <c r="S19" s="13">
        <v>383</v>
      </c>
      <c r="T19" s="11" t="s">
        <v>123</v>
      </c>
      <c r="U19" s="13">
        <f>S19/((1500*I19)/H19)</f>
        <v>7.8230700280112044</v>
      </c>
      <c r="V19" s="11" t="s">
        <v>122</v>
      </c>
      <c r="W19" s="11" t="s">
        <v>79</v>
      </c>
      <c r="X19" s="261"/>
      <c r="Y19" s="26">
        <f>O19*U19</f>
        <v>3.8299999999999996</v>
      </c>
      <c r="Z19" s="245"/>
      <c r="AA19" s="245"/>
      <c r="AB19" s="245"/>
    </row>
    <row r="20" spans="1:32" ht="17.5">
      <c r="A20" s="242"/>
      <c r="D20" s="11" t="s">
        <v>80</v>
      </c>
      <c r="E20" s="11" t="s">
        <v>81</v>
      </c>
      <c r="F20" s="77" t="s">
        <v>53</v>
      </c>
      <c r="H20" s="11">
        <v>105.99</v>
      </c>
      <c r="I20" s="11">
        <v>2.54</v>
      </c>
      <c r="J20" s="13">
        <f>O20/O10</f>
        <v>64.991642366778279</v>
      </c>
      <c r="L20" s="13">
        <f>N20*I20</f>
        <v>38.1</v>
      </c>
      <c r="M20" s="41">
        <f t="shared" si="0"/>
        <v>3.8100000000000002E-2</v>
      </c>
      <c r="N20" s="13">
        <v>15</v>
      </c>
      <c r="O20" s="13">
        <f>L20/H20</f>
        <v>0.35946787432776678</v>
      </c>
      <c r="S20" s="13">
        <f>451</f>
        <v>451</v>
      </c>
      <c r="T20" s="11" t="s">
        <v>126</v>
      </c>
      <c r="U20" s="13">
        <f>S20/(12000/H20)</f>
        <v>3.9834574999999997</v>
      </c>
      <c r="V20" s="11" t="s">
        <v>125</v>
      </c>
      <c r="W20" s="11" t="s">
        <v>124</v>
      </c>
      <c r="X20" s="261"/>
      <c r="Y20" s="42"/>
      <c r="Z20" s="245"/>
      <c r="AA20" s="245"/>
      <c r="AB20" s="245"/>
    </row>
    <row r="21" spans="1:32" ht="17.5">
      <c r="A21" s="242"/>
      <c r="B21" s="21"/>
      <c r="C21" s="21"/>
      <c r="D21" s="21" t="s">
        <v>37</v>
      </c>
      <c r="E21" s="21" t="s">
        <v>38</v>
      </c>
      <c r="F21" s="48" t="s">
        <v>37</v>
      </c>
      <c r="G21" s="21"/>
      <c r="H21" s="21">
        <v>18.02</v>
      </c>
      <c r="I21" s="20">
        <v>1</v>
      </c>
      <c r="J21" s="20">
        <f>O21/O10</f>
        <v>501.66366434894655</v>
      </c>
      <c r="K21" s="21"/>
      <c r="L21" s="20">
        <f>N21*I21</f>
        <v>50</v>
      </c>
      <c r="M21" s="84">
        <f t="shared" si="0"/>
        <v>0.05</v>
      </c>
      <c r="N21" s="20">
        <v>50</v>
      </c>
      <c r="O21" s="20">
        <f t="shared" ref="O21" si="5">L21/H21</f>
        <v>2.7746947835738069</v>
      </c>
      <c r="P21" s="58"/>
      <c r="Q21" s="21"/>
      <c r="R21" s="20"/>
      <c r="S21" s="20">
        <f>285</f>
        <v>285</v>
      </c>
      <c r="T21" s="20" t="s">
        <v>58</v>
      </c>
      <c r="U21" s="20">
        <f>S21/((16000*I21)/H21)</f>
        <v>0.32098125</v>
      </c>
      <c r="V21" s="21" t="s">
        <v>112</v>
      </c>
      <c r="W21" s="21" t="s">
        <v>82</v>
      </c>
      <c r="X21" s="261"/>
      <c r="Y21" s="22">
        <f t="shared" ref="Y21" si="6">U21*O21</f>
        <v>0.890625</v>
      </c>
      <c r="Z21" s="245"/>
      <c r="AA21" s="245"/>
      <c r="AB21" s="245"/>
    </row>
    <row r="22" spans="1:32" ht="16.5">
      <c r="A22" s="243"/>
      <c r="B22" s="43"/>
      <c r="C22" s="222" t="s">
        <v>234</v>
      </c>
      <c r="D22" s="43"/>
      <c r="E22" s="78" t="s">
        <v>83</v>
      </c>
      <c r="F22" s="79" t="s">
        <v>47</v>
      </c>
      <c r="G22" s="79" t="s">
        <v>84</v>
      </c>
      <c r="H22" s="45">
        <v>291.3</v>
      </c>
      <c r="I22" s="43"/>
      <c r="J22" s="43"/>
      <c r="K22" s="43"/>
      <c r="L22" s="45"/>
      <c r="M22" s="45"/>
      <c r="N22" s="43"/>
      <c r="O22" s="45"/>
      <c r="P22" s="89">
        <f>0.96*96.2%</f>
        <v>0.92352000000000001</v>
      </c>
      <c r="Q22" s="90">
        <f>P22/1000</f>
        <v>9.2352000000000005E-4</v>
      </c>
      <c r="R22" s="91">
        <f>P22/H22</f>
        <v>3.1703398558187434E-3</v>
      </c>
      <c r="S22" s="43"/>
      <c r="T22" s="43"/>
      <c r="U22" s="43"/>
      <c r="V22" s="43"/>
      <c r="W22" s="43"/>
      <c r="X22" s="262"/>
      <c r="Y22" s="46"/>
      <c r="Z22" s="166" t="s">
        <v>176</v>
      </c>
      <c r="AA22" s="252"/>
      <c r="AB22" s="166" t="s">
        <v>177</v>
      </c>
    </row>
    <row r="23" spans="1:32">
      <c r="A23" s="241" t="s">
        <v>235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12"/>
      <c r="M23" s="12"/>
      <c r="N23" s="30"/>
      <c r="O23" s="12"/>
      <c r="P23" s="59"/>
      <c r="Q23" s="30"/>
      <c r="R23" s="12"/>
      <c r="S23" s="30"/>
      <c r="T23" s="30"/>
      <c r="U23" s="30"/>
      <c r="V23" s="30"/>
      <c r="W23" s="30"/>
      <c r="X23" s="253">
        <f>R34/O24</f>
        <v>0.74999999999786593</v>
      </c>
      <c r="Y23" s="33"/>
      <c r="Z23" s="244" t="s">
        <v>128</v>
      </c>
      <c r="AA23" s="244">
        <v>0.1</v>
      </c>
      <c r="AB23" s="244">
        <v>24.15</v>
      </c>
    </row>
    <row r="24" spans="1:32" ht="16.5">
      <c r="A24" s="242"/>
      <c r="B24" s="223" t="s">
        <v>234</v>
      </c>
      <c r="C24" s="27"/>
      <c r="D24" s="34" t="s">
        <v>84</v>
      </c>
      <c r="E24" s="80" t="s">
        <v>83</v>
      </c>
      <c r="F24" s="34" t="s">
        <v>47</v>
      </c>
      <c r="G24" s="11"/>
      <c r="H24" s="13">
        <v>291.3</v>
      </c>
      <c r="I24" s="11"/>
      <c r="J24" s="13">
        <f>O24/O24</f>
        <v>1</v>
      </c>
      <c r="K24" s="11"/>
      <c r="L24" s="35">
        <f>22.15*96.2%</f>
        <v>21.308299999999999</v>
      </c>
      <c r="M24" s="36">
        <f>L24/1000</f>
        <v>2.1308299999999999E-2</v>
      </c>
      <c r="N24" s="11"/>
      <c r="O24" s="47">
        <f>L24/H24</f>
        <v>7.3148987298317883E-2</v>
      </c>
      <c r="P24" s="56"/>
      <c r="Q24" s="11"/>
      <c r="R24" s="13"/>
      <c r="S24" s="11"/>
      <c r="T24" s="11"/>
      <c r="U24" s="11"/>
      <c r="V24" s="11"/>
      <c r="W24" s="11"/>
      <c r="X24" s="254"/>
      <c r="Y24" s="28"/>
      <c r="Z24" s="245"/>
      <c r="AA24" s="245"/>
      <c r="AB24" s="245"/>
    </row>
    <row r="25" spans="1:32" s="99" customFormat="1" ht="17.5">
      <c r="A25" s="242"/>
      <c r="B25" s="103"/>
      <c r="C25" s="103"/>
      <c r="D25" s="96" t="s">
        <v>129</v>
      </c>
      <c r="E25" s="96" t="s">
        <v>85</v>
      </c>
      <c r="F25" s="167" t="s">
        <v>42</v>
      </c>
      <c r="G25" s="96"/>
      <c r="H25" s="96">
        <v>72.11</v>
      </c>
      <c r="I25" s="96">
        <v>0.88900000000000001</v>
      </c>
      <c r="J25" s="97">
        <f>O25/O24</f>
        <v>38.763749951479511</v>
      </c>
      <c r="K25" s="96"/>
      <c r="L25" s="97">
        <f>N25*I25</f>
        <v>204.47</v>
      </c>
      <c r="M25" s="98">
        <f>L25/1000</f>
        <v>0.20446999999999999</v>
      </c>
      <c r="N25" s="97">
        <v>230</v>
      </c>
      <c r="O25" s="97">
        <f t="shared" ref="O25:O33" si="7">L25/H25</f>
        <v>2.8355290528359451</v>
      </c>
      <c r="P25" s="168"/>
      <c r="Q25" s="96"/>
      <c r="R25" s="97"/>
      <c r="S25" s="98">
        <v>6860</v>
      </c>
      <c r="T25" s="96" t="s">
        <v>50</v>
      </c>
      <c r="U25" s="97">
        <f>S25/((200000*I25)/H25)</f>
        <v>2.7821968503937007</v>
      </c>
      <c r="V25" s="170" t="s">
        <v>181</v>
      </c>
      <c r="W25" s="96" t="s">
        <v>86</v>
      </c>
      <c r="X25" s="254"/>
      <c r="Y25" s="169">
        <f t="shared" ref="Y25:Y33" si="8">U25*O25</f>
        <v>7.8890000000000002</v>
      </c>
      <c r="Z25" s="245"/>
      <c r="AA25" s="245"/>
      <c r="AB25" s="245"/>
      <c r="AD25" s="99">
        <f>75%*O24</f>
        <v>5.4861740473738416E-2</v>
      </c>
      <c r="AE25" s="99">
        <f>AD25*H34</f>
        <v>7.139706905252317</v>
      </c>
      <c r="AF25" s="99">
        <f>AE25/96.8%</f>
        <v>7.3757302740209889</v>
      </c>
    </row>
    <row r="26" spans="1:32" ht="17.5">
      <c r="A26" s="242"/>
      <c r="B26" s="27"/>
      <c r="C26" s="27"/>
      <c r="D26" s="11" t="s">
        <v>130</v>
      </c>
      <c r="E26" s="11" t="s">
        <v>87</v>
      </c>
      <c r="F26" s="77" t="s">
        <v>53</v>
      </c>
      <c r="G26" s="11"/>
      <c r="H26" s="13">
        <v>37.950000000000003</v>
      </c>
      <c r="I26" s="11">
        <v>0.91700000000000004</v>
      </c>
      <c r="J26" s="13">
        <f>O26/O24</f>
        <v>4.1422309616440538</v>
      </c>
      <c r="K26" s="11" t="s">
        <v>131</v>
      </c>
      <c r="L26" s="13">
        <v>11.498849999999999</v>
      </c>
      <c r="M26" s="41">
        <f t="shared" ref="M26:M33" si="9">L26/1000</f>
        <v>1.149885E-2</v>
      </c>
      <c r="N26" s="13">
        <f>L26/I26</f>
        <v>12.539640130861503</v>
      </c>
      <c r="O26" s="13">
        <f>L26/H26</f>
        <v>0.30299999999999994</v>
      </c>
      <c r="P26" s="56"/>
      <c r="Q26" s="11"/>
      <c r="R26" s="13"/>
      <c r="S26" s="13">
        <v>711</v>
      </c>
      <c r="T26" s="11" t="s">
        <v>88</v>
      </c>
      <c r="U26" s="13">
        <f>S26/(1000/H26)</f>
        <v>26.98245</v>
      </c>
      <c r="V26" s="11" t="s">
        <v>89</v>
      </c>
      <c r="W26" t="s">
        <v>90</v>
      </c>
      <c r="X26" s="254"/>
      <c r="Y26" s="26">
        <f t="shared" si="8"/>
        <v>8.1756823499999989</v>
      </c>
      <c r="Z26" s="245"/>
      <c r="AA26" s="245"/>
      <c r="AB26" s="245"/>
      <c r="AF26">
        <v>7.3757302740209889</v>
      </c>
    </row>
    <row r="27" spans="1:32" ht="17.5">
      <c r="A27" s="242"/>
      <c r="B27" s="27"/>
      <c r="C27" s="27"/>
      <c r="D27" s="11" t="s">
        <v>91</v>
      </c>
      <c r="E27" s="11" t="s">
        <v>92</v>
      </c>
      <c r="F27" s="77" t="s">
        <v>53</v>
      </c>
      <c r="G27" s="11"/>
      <c r="H27" s="13">
        <v>98.07</v>
      </c>
      <c r="I27" s="13">
        <v>1.84</v>
      </c>
      <c r="J27" s="13">
        <f>O27/O24</f>
        <v>12.441505281074891</v>
      </c>
      <c r="K27" s="11" t="s">
        <v>131</v>
      </c>
      <c r="L27" s="13">
        <v>89.251890000000003</v>
      </c>
      <c r="M27" s="41">
        <f t="shared" si="9"/>
        <v>8.925189E-2</v>
      </c>
      <c r="N27" s="13">
        <f t="shared" ref="N27:N33" si="10">L27/I27</f>
        <v>48.50646195652174</v>
      </c>
      <c r="O27" s="13">
        <f t="shared" si="7"/>
        <v>0.91008351177730207</v>
      </c>
      <c r="P27" s="56"/>
      <c r="Q27" s="11"/>
      <c r="R27" s="13"/>
      <c r="S27" s="11">
        <v>105</v>
      </c>
      <c r="T27" s="11" t="s">
        <v>132</v>
      </c>
      <c r="U27" s="13">
        <f>S27/((2500*I27)/H27)</f>
        <v>2.2385543478260868</v>
      </c>
      <c r="V27" s="11" t="s">
        <v>133</v>
      </c>
      <c r="W27" s="11" t="s">
        <v>93</v>
      </c>
      <c r="X27" s="254"/>
      <c r="Y27" s="26">
        <f t="shared" si="8"/>
        <v>2.0372714021739133</v>
      </c>
      <c r="Z27" s="245"/>
      <c r="AA27" s="245"/>
      <c r="AB27" s="245"/>
    </row>
    <row r="28" spans="1:32" ht="17.5">
      <c r="A28" s="242"/>
      <c r="B28" s="48"/>
      <c r="C28" s="48"/>
      <c r="D28" s="21" t="s">
        <v>37</v>
      </c>
      <c r="E28" s="21" t="s">
        <v>38</v>
      </c>
      <c r="F28" s="48" t="s">
        <v>37</v>
      </c>
      <c r="G28" s="21"/>
      <c r="H28" s="21">
        <v>18.02</v>
      </c>
      <c r="I28" s="20">
        <v>1</v>
      </c>
      <c r="J28" s="20">
        <f>O28/O24</f>
        <v>1274.3916785908195</v>
      </c>
      <c r="K28" s="21"/>
      <c r="L28" s="20">
        <v>1679.8327019999999</v>
      </c>
      <c r="M28" s="84">
        <f t="shared" si="9"/>
        <v>1.6798327019999999</v>
      </c>
      <c r="N28" s="20">
        <f t="shared" si="10"/>
        <v>1679.8327019999999</v>
      </c>
      <c r="O28" s="20">
        <f t="shared" si="7"/>
        <v>93.220460710321859</v>
      </c>
      <c r="P28" s="58"/>
      <c r="Q28" s="21"/>
      <c r="R28" s="20"/>
      <c r="S28" s="20">
        <f>285</f>
        <v>285</v>
      </c>
      <c r="T28" s="20" t="s">
        <v>58</v>
      </c>
      <c r="U28" s="20">
        <f>S28/((16000*I28)/H28)</f>
        <v>0.32098125</v>
      </c>
      <c r="V28" s="21" t="s">
        <v>112</v>
      </c>
      <c r="W28" s="21" t="s">
        <v>82</v>
      </c>
      <c r="X28" s="254"/>
      <c r="Y28" s="22">
        <f t="shared" si="8"/>
        <v>29.922020004374996</v>
      </c>
      <c r="Z28" s="245"/>
      <c r="AA28" s="245"/>
      <c r="AB28" s="245"/>
    </row>
    <row r="29" spans="1:32">
      <c r="A29" s="242"/>
      <c r="B29" s="27"/>
      <c r="C29" s="27"/>
      <c r="D29" s="11" t="s">
        <v>94</v>
      </c>
      <c r="E29" s="11" t="s">
        <v>95</v>
      </c>
      <c r="F29" s="77" t="s">
        <v>53</v>
      </c>
      <c r="G29" s="11"/>
      <c r="H29" s="13">
        <v>40</v>
      </c>
      <c r="I29" s="11">
        <v>2.13</v>
      </c>
      <c r="J29" s="13">
        <f>O29/O24</f>
        <v>11.400561590812032</v>
      </c>
      <c r="K29" s="11"/>
      <c r="L29" s="13">
        <v>33.357581400000001</v>
      </c>
      <c r="M29" s="41">
        <f t="shared" si="9"/>
        <v>3.3357581400000003E-2</v>
      </c>
      <c r="N29" s="13">
        <f t="shared" si="10"/>
        <v>15.660836338028171</v>
      </c>
      <c r="O29" s="13">
        <f t="shared" si="7"/>
        <v>0.83393953500000007</v>
      </c>
      <c r="P29" s="56"/>
      <c r="Q29" s="11"/>
      <c r="R29" s="13"/>
      <c r="S29" s="13">
        <v>1060</v>
      </c>
      <c r="T29" s="11" t="s">
        <v>134</v>
      </c>
      <c r="U29" s="13">
        <f>S29/(50000/H29)</f>
        <v>0.84799999999999998</v>
      </c>
      <c r="V29" s="11" t="s">
        <v>135</v>
      </c>
      <c r="W29" s="11" t="s">
        <v>96</v>
      </c>
      <c r="X29" s="254"/>
      <c r="Y29" s="26">
        <f t="shared" si="8"/>
        <v>0.70718072568000001</v>
      </c>
      <c r="Z29" s="245"/>
      <c r="AA29" s="245"/>
      <c r="AB29" s="245"/>
    </row>
    <row r="30" spans="1:32" ht="17.5">
      <c r="A30" s="242"/>
      <c r="B30" s="27"/>
      <c r="C30" s="27"/>
      <c r="D30" s="11" t="s">
        <v>169</v>
      </c>
      <c r="E30" s="11" t="s">
        <v>97</v>
      </c>
      <c r="F30" s="71" t="s">
        <v>42</v>
      </c>
      <c r="G30" s="11"/>
      <c r="H30" s="11">
        <v>92.14</v>
      </c>
      <c r="I30" s="11">
        <v>0.86499999999999999</v>
      </c>
      <c r="J30" s="13">
        <f>O30/O24</f>
        <v>256.67854999116042</v>
      </c>
      <c r="K30" s="11"/>
      <c r="L30" s="13">
        <v>1730</v>
      </c>
      <c r="M30" s="41">
        <f t="shared" si="9"/>
        <v>1.73</v>
      </c>
      <c r="N30" s="13">
        <f t="shared" si="10"/>
        <v>2000</v>
      </c>
      <c r="O30" s="13">
        <f>L30/H30</f>
        <v>18.775775993054047</v>
      </c>
      <c r="P30" s="56"/>
      <c r="Q30" s="11"/>
      <c r="R30" s="13"/>
      <c r="S30" s="13">
        <f>1800</f>
        <v>1800</v>
      </c>
      <c r="T30" s="11" t="s">
        <v>50</v>
      </c>
      <c r="U30" s="13">
        <f>S30/((200000*I30)/H30)</f>
        <v>0.95868208092485552</v>
      </c>
      <c r="V30" s="39" t="s">
        <v>178</v>
      </c>
      <c r="W30" s="11" t="s">
        <v>98</v>
      </c>
      <c r="X30" s="254"/>
      <c r="Y30" s="26">
        <f t="shared" si="8"/>
        <v>18</v>
      </c>
      <c r="Z30" s="245"/>
      <c r="AA30" s="245"/>
      <c r="AB30" s="245"/>
    </row>
    <row r="31" spans="1:32" ht="17.5">
      <c r="A31" s="242"/>
      <c r="B31" s="27"/>
      <c r="C31" s="27"/>
      <c r="D31" s="11" t="s">
        <v>118</v>
      </c>
      <c r="E31" s="24" t="s">
        <v>99</v>
      </c>
      <c r="F31" s="71" t="s">
        <v>42</v>
      </c>
      <c r="G31" s="11"/>
      <c r="H31" s="11">
        <v>84.93</v>
      </c>
      <c r="I31" s="13">
        <v>1.325</v>
      </c>
      <c r="J31" s="13">
        <f>O31/O24</f>
        <v>106.63909249625436</v>
      </c>
      <c r="K31" s="11"/>
      <c r="L31" s="13">
        <v>662.5</v>
      </c>
      <c r="M31" s="41">
        <f t="shared" si="9"/>
        <v>0.66249999999999998</v>
      </c>
      <c r="N31" s="13">
        <f>L31/I31</f>
        <v>500</v>
      </c>
      <c r="O31" s="13">
        <f t="shared" si="7"/>
        <v>7.8005416225126565</v>
      </c>
      <c r="P31" s="56"/>
      <c r="Q31" s="11"/>
      <c r="R31" s="13"/>
      <c r="S31" s="13">
        <f>701</f>
        <v>701</v>
      </c>
      <c r="T31" s="11" t="s">
        <v>43</v>
      </c>
      <c r="U31" s="13">
        <f>S31/((20000*I31)/H31)</f>
        <v>2.2466388679245286</v>
      </c>
      <c r="V31" s="11" t="s">
        <v>120</v>
      </c>
      <c r="W31" s="11" t="s">
        <v>66</v>
      </c>
      <c r="X31" s="254"/>
      <c r="Y31" s="26">
        <f t="shared" si="8"/>
        <v>17.524999999999999</v>
      </c>
      <c r="Z31" s="245"/>
      <c r="AA31" s="245"/>
      <c r="AB31" s="245"/>
    </row>
    <row r="32" spans="1:32" ht="17.5">
      <c r="A32" s="242"/>
      <c r="B32" s="27"/>
      <c r="C32" s="27"/>
      <c r="D32" s="11" t="s">
        <v>136</v>
      </c>
      <c r="E32" s="11" t="s">
        <v>100</v>
      </c>
      <c r="F32" s="71" t="s">
        <v>42</v>
      </c>
      <c r="G32" s="11"/>
      <c r="H32" s="11">
        <v>88.11</v>
      </c>
      <c r="I32" s="11">
        <v>0.90200000000000002</v>
      </c>
      <c r="J32" s="13">
        <f>O32/O24</f>
        <v>27.990007445710393</v>
      </c>
      <c r="K32" s="11"/>
      <c r="L32" s="13">
        <v>180.4</v>
      </c>
      <c r="M32" s="41">
        <f t="shared" si="9"/>
        <v>0.1804</v>
      </c>
      <c r="N32" s="13">
        <f t="shared" si="10"/>
        <v>200</v>
      </c>
      <c r="O32" s="13">
        <f t="shared" si="7"/>
        <v>2.0474406991260925</v>
      </c>
      <c r="P32" s="56"/>
      <c r="Q32" s="11"/>
      <c r="R32" s="13"/>
      <c r="S32" s="13">
        <v>3650</v>
      </c>
      <c r="T32" s="11" t="s">
        <v>50</v>
      </c>
      <c r="U32" s="13">
        <f>S32/((200000*I32)/H32)</f>
        <v>1.7827134146341463</v>
      </c>
      <c r="V32" s="11" t="s">
        <v>137</v>
      </c>
      <c r="W32" s="11" t="s">
        <v>102</v>
      </c>
      <c r="X32" s="254"/>
      <c r="Y32" s="26">
        <f t="shared" si="8"/>
        <v>3.6500000000000004</v>
      </c>
      <c r="Z32" s="245"/>
      <c r="AA32" s="245"/>
      <c r="AB32" s="245"/>
      <c r="AD32" s="265" t="s">
        <v>221</v>
      </c>
      <c r="AE32" s="265"/>
      <c r="AF32" s="265"/>
    </row>
    <row r="33" spans="1:34" ht="17.5">
      <c r="A33" s="242"/>
      <c r="B33" s="49"/>
      <c r="C33" s="49"/>
      <c r="D33" s="16" t="s">
        <v>103</v>
      </c>
      <c r="E33" s="16" t="s">
        <v>104</v>
      </c>
      <c r="F33" s="49" t="s">
        <v>33</v>
      </c>
      <c r="G33" s="16"/>
      <c r="H33" s="16">
        <v>60.08</v>
      </c>
      <c r="I33" s="16">
        <v>0.7</v>
      </c>
      <c r="J33" s="15">
        <f>O33/O24</f>
        <v>4.5508419595039999</v>
      </c>
      <c r="K33" s="16"/>
      <c r="L33" s="15">
        <v>20</v>
      </c>
      <c r="M33" s="85">
        <f t="shared" si="9"/>
        <v>0.02</v>
      </c>
      <c r="N33" s="15">
        <f t="shared" si="10"/>
        <v>28.571428571428573</v>
      </c>
      <c r="O33" s="15">
        <f t="shared" si="7"/>
        <v>0.33288948069241014</v>
      </c>
      <c r="P33" s="60"/>
      <c r="Q33" s="16"/>
      <c r="R33" s="15"/>
      <c r="S33" s="15">
        <v>3160</v>
      </c>
      <c r="T33" s="16" t="s">
        <v>105</v>
      </c>
      <c r="U33" s="15">
        <f>S33/(25000/H33)</f>
        <v>7.5941119999999991</v>
      </c>
      <c r="V33" s="16" t="s">
        <v>106</v>
      </c>
      <c r="W33" s="16" t="s">
        <v>107</v>
      </c>
      <c r="X33" s="254"/>
      <c r="Y33" s="18">
        <f t="shared" si="8"/>
        <v>2.528</v>
      </c>
      <c r="Z33" s="245"/>
      <c r="AA33" s="245"/>
      <c r="AB33" s="245"/>
      <c r="AD33" s="195" t="s">
        <v>218</v>
      </c>
      <c r="AE33" s="195" t="s">
        <v>219</v>
      </c>
      <c r="AF33" s="195" t="s">
        <v>220</v>
      </c>
    </row>
    <row r="34" spans="1:34" ht="17.5">
      <c r="A34" s="243"/>
      <c r="B34" s="44"/>
      <c r="C34" s="222" t="s">
        <v>236</v>
      </c>
      <c r="D34" s="43"/>
      <c r="E34" s="43" t="s">
        <v>108</v>
      </c>
      <c r="F34" s="44" t="s">
        <v>113</v>
      </c>
      <c r="G34" s="43" t="s">
        <v>109</v>
      </c>
      <c r="H34" s="45">
        <v>130.13999999999999</v>
      </c>
      <c r="I34" s="43"/>
      <c r="J34" s="43"/>
      <c r="K34" s="50">
        <v>0.96799999999999997</v>
      </c>
      <c r="L34" s="45"/>
      <c r="M34" s="45"/>
      <c r="N34" s="43"/>
      <c r="O34" s="45"/>
      <c r="P34" s="198">
        <f>7.375730274*96.8%</f>
        <v>7.1397069052319999</v>
      </c>
      <c r="Q34" s="125">
        <f>P34/1000</f>
        <v>7.1397069052319996E-3</v>
      </c>
      <c r="R34" s="199">
        <f>P34/H34</f>
        <v>5.4861740473582304E-2</v>
      </c>
      <c r="S34" s="43"/>
      <c r="T34" s="43"/>
      <c r="U34" s="43"/>
      <c r="V34" s="43"/>
      <c r="W34" s="43"/>
      <c r="X34" s="255"/>
      <c r="Y34" s="46"/>
      <c r="Z34" s="166" t="s">
        <v>175</v>
      </c>
      <c r="AA34" s="252"/>
      <c r="AB34" s="166" t="s">
        <v>174</v>
      </c>
      <c r="AD34" s="194">
        <f>77.58%*O24</f>
        <v>5.6748984346035009E-2</v>
      </c>
      <c r="AE34" s="195">
        <f>AD34*130.14</f>
        <v>7.3853128227929954</v>
      </c>
      <c r="AF34" s="195">
        <f>AE34/96.8%</f>
        <v>7.6294553954473097</v>
      </c>
    </row>
    <row r="35" spans="1:34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F35" s="196">
        <v>7.6294553954473097</v>
      </c>
    </row>
    <row r="36" spans="1:34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 t="s">
        <v>138</v>
      </c>
      <c r="P36" s="93"/>
      <c r="Q36" s="100">
        <f>P43/P8</f>
        <v>0.85328083629946261</v>
      </c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E36" s="82"/>
    </row>
    <row r="37" spans="1:34">
      <c r="A37" s="256" t="s">
        <v>214</v>
      </c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7"/>
      <c r="Q37" s="257"/>
      <c r="R37" s="257"/>
      <c r="S37" s="257"/>
      <c r="T37" s="257"/>
      <c r="U37" s="257"/>
      <c r="V37" s="257"/>
      <c r="W37" s="257"/>
      <c r="X37" s="257"/>
      <c r="Y37" s="257"/>
      <c r="Z37" s="257"/>
      <c r="AA37" s="257"/>
      <c r="AB37" s="258"/>
      <c r="AH37" s="139"/>
    </row>
    <row r="38" spans="1:34">
      <c r="A38" s="1" t="s">
        <v>1</v>
      </c>
      <c r="B38" s="2" t="s">
        <v>2</v>
      </c>
      <c r="C38" s="3" t="s">
        <v>3</v>
      </c>
      <c r="D38" s="4" t="s">
        <v>4</v>
      </c>
      <c r="E38" s="5" t="s">
        <v>5</v>
      </c>
      <c r="F38" s="5" t="s">
        <v>6</v>
      </c>
      <c r="G38" s="5" t="s">
        <v>7</v>
      </c>
      <c r="H38" s="6" t="s">
        <v>8</v>
      </c>
      <c r="I38" s="1" t="s">
        <v>9</v>
      </c>
      <c r="J38" s="1" t="s">
        <v>10</v>
      </c>
      <c r="K38" s="1" t="s">
        <v>11</v>
      </c>
      <c r="L38" s="6" t="s">
        <v>12</v>
      </c>
      <c r="M38" s="7" t="s">
        <v>13</v>
      </c>
      <c r="N38" s="1" t="s">
        <v>14</v>
      </c>
      <c r="O38" s="6" t="s">
        <v>15</v>
      </c>
      <c r="P38" s="51" t="s">
        <v>16</v>
      </c>
      <c r="Q38" s="7" t="s">
        <v>17</v>
      </c>
      <c r="R38" s="1" t="s">
        <v>18</v>
      </c>
      <c r="S38" s="1" t="s">
        <v>19</v>
      </c>
      <c r="T38" s="1" t="s">
        <v>20</v>
      </c>
      <c r="U38" s="1" t="s">
        <v>21</v>
      </c>
      <c r="V38" s="8" t="s">
        <v>22</v>
      </c>
      <c r="W38" s="1" t="s">
        <v>23</v>
      </c>
      <c r="X38" s="1" t="s">
        <v>24</v>
      </c>
      <c r="Y38" s="1" t="s">
        <v>25</v>
      </c>
      <c r="Z38" s="9" t="s">
        <v>26</v>
      </c>
      <c r="AA38" s="1" t="s">
        <v>27</v>
      </c>
      <c r="AB38" s="10" t="s">
        <v>28</v>
      </c>
      <c r="AD38" s="265" t="s">
        <v>222</v>
      </c>
      <c r="AE38" s="265"/>
      <c r="AF38" s="265"/>
    </row>
    <row r="39" spans="1:34" ht="17.5">
      <c r="A39" s="259" t="s">
        <v>232</v>
      </c>
      <c r="B39" s="162">
        <v>18</v>
      </c>
      <c r="C39" s="63"/>
      <c r="D39" s="61" t="s">
        <v>29</v>
      </c>
      <c r="E39" s="62" t="s">
        <v>110</v>
      </c>
      <c r="F39" s="70" t="s">
        <v>211</v>
      </c>
      <c r="G39" s="63"/>
      <c r="H39" s="63">
        <v>230.21</v>
      </c>
      <c r="I39" s="63">
        <v>1.98</v>
      </c>
      <c r="J39" s="64">
        <f>O39/O39</f>
        <v>1</v>
      </c>
      <c r="K39" s="63"/>
      <c r="L39" s="61">
        <f>O39*H39</f>
        <v>30.578041181709125</v>
      </c>
      <c r="M39" s="69">
        <f>L39/1000</f>
        <v>3.0578041181709124E-2</v>
      </c>
      <c r="N39" s="63">
        <f>L39/I39</f>
        <v>15.443455142277337</v>
      </c>
      <c r="O39" s="61">
        <v>0.13282672855961566</v>
      </c>
      <c r="P39" s="65"/>
      <c r="Q39" s="63"/>
      <c r="R39" s="63"/>
      <c r="S39" s="63">
        <f>50</f>
        <v>50</v>
      </c>
      <c r="T39" s="63" t="s">
        <v>34</v>
      </c>
      <c r="U39" s="63">
        <f>S39/(1000/H39)</f>
        <v>11.510500000000002</v>
      </c>
      <c r="V39" s="63" t="s">
        <v>30</v>
      </c>
      <c r="W39" s="68" t="s">
        <v>31</v>
      </c>
      <c r="X39" s="263">
        <f>R43/O39</f>
        <v>0.96999999999999986</v>
      </c>
      <c r="Y39" s="66">
        <f>U39*O39</f>
        <v>1.5289020590854563</v>
      </c>
      <c r="Z39" s="244" t="s">
        <v>114</v>
      </c>
      <c r="AA39" s="244">
        <v>1</v>
      </c>
      <c r="AB39" s="244">
        <v>2</v>
      </c>
      <c r="AD39" s="195" t="s">
        <v>218</v>
      </c>
      <c r="AE39" s="195" t="s">
        <v>219</v>
      </c>
      <c r="AF39" s="195" t="s">
        <v>220</v>
      </c>
    </row>
    <row r="40" spans="1:34">
      <c r="A40" s="259"/>
      <c r="B40" s="14"/>
      <c r="C40" s="14"/>
      <c r="D40" s="15" t="s">
        <v>32</v>
      </c>
      <c r="E40" s="15" t="s">
        <v>111</v>
      </c>
      <c r="F40" s="14" t="s">
        <v>33</v>
      </c>
      <c r="G40" s="15"/>
      <c r="H40" s="15">
        <v>212.82</v>
      </c>
      <c r="I40" s="15"/>
      <c r="J40" s="15">
        <f>O40/O39</f>
        <v>1.5844981061199346</v>
      </c>
      <c r="K40" s="15"/>
      <c r="L40" s="15">
        <f>O40*H40</f>
        <v>44.790884600974088</v>
      </c>
      <c r="M40" s="85">
        <f>L40/1000</f>
        <v>4.4790884600974086E-2</v>
      </c>
      <c r="N40" s="15"/>
      <c r="O40" s="15">
        <f>O39*J5</f>
        <v>0.21046369984481764</v>
      </c>
      <c r="P40" s="52"/>
      <c r="Q40" s="15"/>
      <c r="R40" s="15"/>
      <c r="S40" s="15">
        <f>2080*0.078</f>
        <v>162.24</v>
      </c>
      <c r="T40" s="15" t="s">
        <v>34</v>
      </c>
      <c r="U40" s="15">
        <f>S40/(1000/H40)</f>
        <v>34.5279168</v>
      </c>
      <c r="V40" s="16" t="s">
        <v>35</v>
      </c>
      <c r="W40" s="17" t="s">
        <v>36</v>
      </c>
      <c r="X40" s="264"/>
      <c r="Y40" s="18">
        <f>U40*O40</f>
        <v>7.266873117662036</v>
      </c>
      <c r="Z40" s="245"/>
      <c r="AA40" s="245"/>
      <c r="AB40" s="245"/>
      <c r="AD40">
        <v>5.6748984342707857E-2</v>
      </c>
    </row>
    <row r="41" spans="1:34" ht="17.5">
      <c r="A41" s="259"/>
      <c r="B41" s="19"/>
      <c r="C41" s="19"/>
      <c r="D41" s="20" t="s">
        <v>37</v>
      </c>
      <c r="E41" s="21" t="s">
        <v>38</v>
      </c>
      <c r="F41" s="19" t="s">
        <v>37</v>
      </c>
      <c r="G41" s="20"/>
      <c r="H41" s="20">
        <v>18.02</v>
      </c>
      <c r="I41" s="20">
        <v>1</v>
      </c>
      <c r="J41" s="20">
        <f>O41/O39</f>
        <v>1197.7677326393514</v>
      </c>
      <c r="K41" s="20"/>
      <c r="L41" s="20">
        <f>O41*H41</f>
        <v>2866.9021624035768</v>
      </c>
      <c r="M41" s="86">
        <f>L41/1000</f>
        <v>2.8669021624035769</v>
      </c>
      <c r="N41" s="20">
        <f>L41/I41</f>
        <v>2866.9021624035768</v>
      </c>
      <c r="O41" s="20">
        <f>O39*J6</f>
        <v>159.09556950075344</v>
      </c>
      <c r="P41" s="53"/>
      <c r="Q41" s="20"/>
      <c r="R41" s="20"/>
      <c r="S41" s="20">
        <f>285</f>
        <v>285</v>
      </c>
      <c r="T41" s="20" t="s">
        <v>58</v>
      </c>
      <c r="U41" s="20">
        <f xml:space="preserve"> S41/((I41*16000)/H41)</f>
        <v>0.32098125</v>
      </c>
      <c r="V41" s="21" t="s">
        <v>112</v>
      </c>
      <c r="W41" s="21" t="s">
        <v>40</v>
      </c>
      <c r="X41" s="264"/>
      <c r="Y41" s="22">
        <f>U41*O41</f>
        <v>51.066694767813715</v>
      </c>
      <c r="Z41" s="245"/>
      <c r="AA41" s="245"/>
      <c r="AB41" s="245"/>
    </row>
    <row r="42" spans="1:34" ht="17.5">
      <c r="A42" s="259"/>
      <c r="B42" s="23"/>
      <c r="C42" s="23"/>
      <c r="D42" s="11" t="s">
        <v>206</v>
      </c>
      <c r="E42" s="24" t="s">
        <v>41</v>
      </c>
      <c r="F42" s="71" t="s">
        <v>42</v>
      </c>
      <c r="G42" s="13"/>
      <c r="H42" s="13">
        <v>86.13</v>
      </c>
      <c r="I42" s="13">
        <v>0.86</v>
      </c>
      <c r="J42" s="13">
        <f>O42/O39</f>
        <v>25.540281486641646</v>
      </c>
      <c r="K42" s="13"/>
      <c r="L42" s="13">
        <f>O42*H42</f>
        <v>292.19017129188722</v>
      </c>
      <c r="M42" s="41">
        <f>L42/1000</f>
        <v>0.29219017129188724</v>
      </c>
      <c r="N42" s="13">
        <f>L42/I42</f>
        <v>339.75601313010145</v>
      </c>
      <c r="O42" s="13">
        <f>O39*J7</f>
        <v>3.3924320363623273</v>
      </c>
      <c r="P42" s="54"/>
      <c r="Q42" s="13"/>
      <c r="R42" s="13"/>
      <c r="S42" s="13">
        <f>21394.49*0.078</f>
        <v>1668.7702200000001</v>
      </c>
      <c r="T42" s="13" t="s">
        <v>43</v>
      </c>
      <c r="U42" s="13">
        <f>S42/((20000*I42)/H42)</f>
        <v>8.3564638981744199</v>
      </c>
      <c r="V42" s="11" t="s">
        <v>44</v>
      </c>
      <c r="W42" s="11" t="s">
        <v>45</v>
      </c>
      <c r="X42" s="264"/>
      <c r="Y42" s="26">
        <f>U42*O42</f>
        <v>28.34873583887212</v>
      </c>
      <c r="Z42" s="245"/>
      <c r="AA42" s="245"/>
      <c r="AB42" s="245"/>
    </row>
    <row r="43" spans="1:34" ht="17.5">
      <c r="A43" s="259"/>
      <c r="B43" s="27"/>
      <c r="C43" s="27">
        <v>19</v>
      </c>
      <c r="D43" s="11"/>
      <c r="E43" s="72" t="s">
        <v>46</v>
      </c>
      <c r="F43" s="73" t="s">
        <v>47</v>
      </c>
      <c r="G43" s="73" t="s">
        <v>48</v>
      </c>
      <c r="H43" s="13">
        <v>174.11</v>
      </c>
      <c r="I43" s="11"/>
      <c r="J43" s="11"/>
      <c r="K43" s="83">
        <v>0.96299999999999997</v>
      </c>
      <c r="L43" s="13"/>
      <c r="M43" s="13"/>
      <c r="N43" s="11"/>
      <c r="O43" s="13"/>
      <c r="P43" s="74">
        <f>R43*H43</f>
        <v>22.432667858229241</v>
      </c>
      <c r="Q43" s="75">
        <f>P43/1000</f>
        <v>2.2432667858229241E-2</v>
      </c>
      <c r="R43" s="76">
        <f>O45</f>
        <v>0.12884192670282718</v>
      </c>
      <c r="S43" s="11"/>
      <c r="T43" s="11"/>
      <c r="U43" s="11"/>
      <c r="V43" s="11"/>
      <c r="W43" s="11"/>
      <c r="X43" s="264"/>
      <c r="Y43" s="28"/>
      <c r="Z43" s="252"/>
      <c r="AA43" s="252"/>
      <c r="AB43" s="252"/>
    </row>
    <row r="44" spans="1:34">
      <c r="A44" s="241" t="s">
        <v>233</v>
      </c>
      <c r="B44" s="29"/>
      <c r="C44" s="29"/>
      <c r="D44" s="30"/>
      <c r="E44" s="30"/>
      <c r="F44" s="30"/>
      <c r="G44" s="30"/>
      <c r="H44" s="12"/>
      <c r="I44" s="30"/>
      <c r="J44" s="30"/>
      <c r="K44" s="30"/>
      <c r="L44" s="12"/>
      <c r="M44" s="12"/>
      <c r="N44" s="30"/>
      <c r="O44" s="12"/>
      <c r="P44" s="55"/>
      <c r="Q44" s="31"/>
      <c r="R44" s="32"/>
      <c r="S44" s="30"/>
      <c r="T44" s="30"/>
      <c r="U44" s="30"/>
      <c r="V44" s="30"/>
      <c r="W44" s="30"/>
      <c r="X44" s="260">
        <f>R57/O45</f>
        <v>0.56774210981053863</v>
      </c>
      <c r="Y44" s="33"/>
      <c r="Z44" s="244" t="s">
        <v>116</v>
      </c>
      <c r="AA44" s="244">
        <v>1</v>
      </c>
      <c r="AB44" s="244">
        <v>19.5</v>
      </c>
    </row>
    <row r="45" spans="1:34" ht="17.5">
      <c r="A45" s="242"/>
      <c r="B45" s="27">
        <v>19</v>
      </c>
      <c r="C45" s="27"/>
      <c r="D45" s="34" t="s">
        <v>48</v>
      </c>
      <c r="E45" s="72" t="s">
        <v>46</v>
      </c>
      <c r="F45" s="34" t="s">
        <v>47</v>
      </c>
      <c r="G45" s="11"/>
      <c r="H45" s="13">
        <v>174.11</v>
      </c>
      <c r="I45" s="11"/>
      <c r="J45" s="13">
        <f>O45/O45</f>
        <v>1</v>
      </c>
      <c r="K45" s="83">
        <v>0.96299999999999997</v>
      </c>
      <c r="L45" s="35">
        <f>O45*H45</f>
        <v>22.432667858229241</v>
      </c>
      <c r="M45" s="36">
        <f>L45/1000</f>
        <v>2.2432667858229241E-2</v>
      </c>
      <c r="N45" s="11"/>
      <c r="O45" s="35">
        <v>0.12884192670282718</v>
      </c>
      <c r="P45" s="56"/>
      <c r="Q45" s="11"/>
      <c r="R45" s="13"/>
      <c r="S45" s="11"/>
      <c r="T45" s="11"/>
      <c r="U45" s="11"/>
      <c r="V45" s="11"/>
      <c r="W45" s="11"/>
      <c r="X45" s="261"/>
      <c r="Y45" s="28"/>
      <c r="Z45" s="245"/>
      <c r="AA45" s="245"/>
      <c r="AB45" s="245"/>
    </row>
    <row r="46" spans="1:34" ht="17.5">
      <c r="A46" s="242"/>
      <c r="B46" s="27"/>
      <c r="C46" s="27"/>
      <c r="D46" s="11" t="s">
        <v>115</v>
      </c>
      <c r="E46" s="11" t="s">
        <v>49</v>
      </c>
      <c r="F46" s="71" t="s">
        <v>42</v>
      </c>
      <c r="G46" s="11"/>
      <c r="H46" s="11">
        <v>100.16</v>
      </c>
      <c r="I46" s="11">
        <v>0.86</v>
      </c>
      <c r="J46" s="13">
        <f>O46/O45</f>
        <v>38.809814991755665</v>
      </c>
      <c r="K46" s="11"/>
      <c r="L46" s="13">
        <f t="shared" ref="L46:L56" si="11">O46*H46</f>
        <v>500.83318686596959</v>
      </c>
      <c r="M46" s="41">
        <f>L46/1000</f>
        <v>0.50083318686596956</v>
      </c>
      <c r="N46" s="13">
        <f>L46/I46</f>
        <v>582.3641707743833</v>
      </c>
      <c r="O46" s="13">
        <f>O45*J11</f>
        <v>5.000331338518067</v>
      </c>
      <c r="P46" s="56"/>
      <c r="Q46" s="11"/>
      <c r="R46" s="13"/>
      <c r="S46" s="13">
        <f>6630</f>
        <v>6630</v>
      </c>
      <c r="T46" s="11" t="s">
        <v>180</v>
      </c>
      <c r="U46" s="13">
        <f>S46/((195000*I46)/H46)</f>
        <v>3.9598139534883723</v>
      </c>
      <c r="V46" s="39" t="s">
        <v>179</v>
      </c>
      <c r="W46" s="11" t="s">
        <v>51</v>
      </c>
      <c r="X46" s="261"/>
      <c r="Y46" s="26">
        <f>U46*O46</f>
        <v>19.800381806329032</v>
      </c>
      <c r="Z46" s="245"/>
      <c r="AA46" s="245"/>
      <c r="AB46" s="245"/>
    </row>
    <row r="47" spans="1:34" ht="17.5">
      <c r="A47" s="242"/>
      <c r="B47" s="27"/>
      <c r="C47" s="27"/>
      <c r="D47" s="24" t="s">
        <v>167</v>
      </c>
      <c r="E47" s="24" t="s">
        <v>52</v>
      </c>
      <c r="F47" s="77" t="s">
        <v>53</v>
      </c>
      <c r="G47" s="11"/>
      <c r="H47" s="11">
        <v>102.09</v>
      </c>
      <c r="I47" s="11">
        <v>1.08</v>
      </c>
      <c r="J47" s="13">
        <f>O47/O45</f>
        <v>1.2464173539382055</v>
      </c>
      <c r="K47" s="11"/>
      <c r="L47" s="13">
        <f t="shared" si="11"/>
        <v>16.394716135640437</v>
      </c>
      <c r="M47" s="41">
        <f t="shared" ref="M47:M50" si="12">L47/1000</f>
        <v>1.6394716135640437E-2</v>
      </c>
      <c r="N47" s="13">
        <f t="shared" ref="N47:N55" si="13">L47/I47</f>
        <v>15.180292718185589</v>
      </c>
      <c r="O47" s="25">
        <f>O45*J12</f>
        <v>0.16059081335723807</v>
      </c>
      <c r="P47" s="56"/>
      <c r="Q47" s="11"/>
      <c r="R47" s="13"/>
      <c r="S47" s="38">
        <f>79.4</f>
        <v>79.400000000000006</v>
      </c>
      <c r="T47" s="11" t="s">
        <v>39</v>
      </c>
      <c r="U47" s="13">
        <f>S47/((1000*I47)/H47)</f>
        <v>7.5055055555555565</v>
      </c>
      <c r="V47" s="24" t="s">
        <v>54</v>
      </c>
      <c r="W47" s="11" t="s">
        <v>55</v>
      </c>
      <c r="X47" s="261"/>
      <c r="Y47" s="26">
        <f>O47*U47</f>
        <v>1.2053152418239359</v>
      </c>
      <c r="Z47" s="245"/>
      <c r="AA47" s="245"/>
      <c r="AB47" s="245"/>
    </row>
    <row r="48" spans="1:34" ht="17.5">
      <c r="A48" s="242"/>
      <c r="B48" s="11"/>
      <c r="C48" s="11"/>
      <c r="D48" s="11" t="s">
        <v>205</v>
      </c>
      <c r="E48" s="11" t="s">
        <v>57</v>
      </c>
      <c r="F48" s="71" t="s">
        <v>42</v>
      </c>
      <c r="G48" s="11"/>
      <c r="H48" s="13">
        <v>46.07</v>
      </c>
      <c r="I48" s="11">
        <v>0.78900000000000003</v>
      </c>
      <c r="J48" s="13">
        <f>O48/O45</f>
        <v>3.1120918300991702</v>
      </c>
      <c r="K48" s="11"/>
      <c r="L48" s="13">
        <f t="shared" si="11"/>
        <v>18.472591496963439</v>
      </c>
      <c r="M48" s="41">
        <f t="shared" si="12"/>
        <v>1.8472591496963439E-2</v>
      </c>
      <c r="N48" s="13">
        <f t="shared" si="13"/>
        <v>23.412663494250239</v>
      </c>
      <c r="O48" s="13">
        <f>O45*J13</f>
        <v>0.40096790746610461</v>
      </c>
      <c r="P48" s="56"/>
      <c r="Q48" s="11"/>
      <c r="R48" s="13"/>
      <c r="S48" s="11">
        <v>1070</v>
      </c>
      <c r="T48" s="11" t="s">
        <v>58</v>
      </c>
      <c r="U48" s="13">
        <f>S48/((16000*I48)/H48)</f>
        <v>3.9048558301647653</v>
      </c>
      <c r="V48" s="11" t="s">
        <v>59</v>
      </c>
      <c r="W48" s="11" t="s">
        <v>60</v>
      </c>
      <c r="X48" s="261"/>
      <c r="Y48" s="26">
        <f>U48*O48</f>
        <v>1.5657218711779848</v>
      </c>
      <c r="Z48" s="245"/>
      <c r="AA48" s="245"/>
      <c r="AB48" s="245"/>
    </row>
    <row r="49" spans="1:32" ht="17.5">
      <c r="A49" s="242"/>
      <c r="B49" s="11"/>
      <c r="C49" s="11"/>
      <c r="D49" s="11" t="s">
        <v>170</v>
      </c>
      <c r="E49" s="11" t="s">
        <v>61</v>
      </c>
      <c r="F49" s="77" t="s">
        <v>53</v>
      </c>
      <c r="G49" s="11"/>
      <c r="H49" s="11">
        <v>126.92</v>
      </c>
      <c r="I49" s="11">
        <v>1.5</v>
      </c>
      <c r="J49" s="13">
        <f>O49/O45</f>
        <v>1.2475171339563864</v>
      </c>
      <c r="K49" s="11" t="s">
        <v>117</v>
      </c>
      <c r="L49" s="13">
        <f t="shared" si="11"/>
        <v>20.400170313092982</v>
      </c>
      <c r="M49" s="41">
        <f t="shared" si="12"/>
        <v>2.0400170313092981E-2</v>
      </c>
      <c r="N49" s="13">
        <f t="shared" si="13"/>
        <v>13.600113542061989</v>
      </c>
      <c r="O49" s="25">
        <f>O45*J14</f>
        <v>0.16073251113372977</v>
      </c>
      <c r="P49" s="56"/>
      <c r="Q49" s="11"/>
      <c r="R49" s="13"/>
      <c r="S49" s="11">
        <f>1340</f>
        <v>1340</v>
      </c>
      <c r="T49" s="11" t="s">
        <v>127</v>
      </c>
      <c r="U49" s="13">
        <f>S49/(10000/H49)</f>
        <v>17.007280000000002</v>
      </c>
      <c r="V49" s="11" t="s">
        <v>62</v>
      </c>
      <c r="W49" s="11" t="s">
        <v>63</v>
      </c>
      <c r="X49" s="261"/>
      <c r="Y49" s="26">
        <f>U49*O49</f>
        <v>2.73362282195446</v>
      </c>
      <c r="Z49" s="245"/>
      <c r="AA49" s="245"/>
      <c r="AB49" s="245"/>
    </row>
    <row r="50" spans="1:32" ht="17.5">
      <c r="A50" s="242"/>
      <c r="B50" s="11"/>
      <c r="C50" s="11"/>
      <c r="D50" s="11" t="s">
        <v>118</v>
      </c>
      <c r="E50" s="24" t="s">
        <v>64</v>
      </c>
      <c r="F50" s="71" t="s">
        <v>42</v>
      </c>
      <c r="G50" s="11"/>
      <c r="H50" s="11">
        <v>84.93</v>
      </c>
      <c r="I50" s="13">
        <v>1.325</v>
      </c>
      <c r="J50" s="13">
        <f>O50/O45</f>
        <v>129.37329521980047</v>
      </c>
      <c r="K50" s="11"/>
      <c r="L50" s="13">
        <f t="shared" si="11"/>
        <v>1415.6730833776833</v>
      </c>
      <c r="M50" s="41">
        <f t="shared" si="12"/>
        <v>1.4156730833776832</v>
      </c>
      <c r="N50" s="13">
        <f t="shared" si="13"/>
        <v>1068.4325157567421</v>
      </c>
      <c r="O50" s="13">
        <f>O45*J15</f>
        <v>16.668704620012754</v>
      </c>
      <c r="P50" s="56"/>
      <c r="Q50" s="11"/>
      <c r="R50" s="13"/>
      <c r="S50" s="13">
        <f>701</f>
        <v>701</v>
      </c>
      <c r="T50" s="11" t="s">
        <v>43</v>
      </c>
      <c r="U50" s="13">
        <f>S50/((20000*I50)/H50)</f>
        <v>2.2466388679245286</v>
      </c>
      <c r="V50" s="11" t="s">
        <v>120</v>
      </c>
      <c r="W50" s="11" t="s">
        <v>66</v>
      </c>
      <c r="X50" s="261"/>
      <c r="Y50" s="26">
        <f>U50*O50</f>
        <v>37.448559677273813</v>
      </c>
      <c r="Z50" s="245"/>
      <c r="AA50" s="245"/>
      <c r="AB50" s="245"/>
    </row>
    <row r="51" spans="1:32" s="99" customFormat="1" ht="17.5">
      <c r="A51" s="242"/>
      <c r="B51" s="96"/>
      <c r="C51" s="96"/>
      <c r="D51" s="170" t="s">
        <v>119</v>
      </c>
      <c r="E51" s="96" t="s">
        <v>67</v>
      </c>
      <c r="F51" s="187" t="s">
        <v>207</v>
      </c>
      <c r="G51" s="96"/>
      <c r="H51" s="97">
        <v>73.099999999999994</v>
      </c>
      <c r="I51" s="96">
        <v>0.94399999999999995</v>
      </c>
      <c r="J51" s="97">
        <f>O51/O45</f>
        <v>2.3348126934610693</v>
      </c>
      <c r="K51" s="96" t="s">
        <v>210</v>
      </c>
      <c r="L51" s="97">
        <f t="shared" si="11"/>
        <v>21.990071088440711</v>
      </c>
      <c r="M51" s="98">
        <f>L51/1000</f>
        <v>2.199007108844071E-2</v>
      </c>
      <c r="N51" s="97">
        <f t="shared" si="13"/>
        <v>23.294566830975331</v>
      </c>
      <c r="O51" s="97">
        <f>O45*J16</f>
        <v>0.30082176591574161</v>
      </c>
      <c r="P51" s="176"/>
      <c r="Q51" s="97"/>
      <c r="R51" s="96"/>
      <c r="S51" s="97">
        <f>851</f>
        <v>851</v>
      </c>
      <c r="T51" s="96" t="s">
        <v>101</v>
      </c>
      <c r="U51" s="97">
        <f>S51/((18000*I51)/H51)</f>
        <v>3.6610228342749527</v>
      </c>
      <c r="V51" s="174" t="s">
        <v>121</v>
      </c>
      <c r="W51" s="191" t="s">
        <v>68</v>
      </c>
      <c r="X51" s="261"/>
      <c r="Y51" s="157">
        <f>U51*O51</f>
        <v>1.1013153540644447</v>
      </c>
      <c r="Z51" s="245"/>
      <c r="AA51" s="245"/>
      <c r="AB51" s="245"/>
    </row>
    <row r="52" spans="1:32" s="99" customFormat="1" ht="17.5">
      <c r="A52" s="242"/>
      <c r="B52" s="96"/>
      <c r="C52" s="96"/>
      <c r="D52" s="96" t="s">
        <v>69</v>
      </c>
      <c r="E52" s="96" t="s">
        <v>70</v>
      </c>
      <c r="F52" s="155" t="s">
        <v>53</v>
      </c>
      <c r="G52" s="96"/>
      <c r="H52" s="96">
        <v>107.16</v>
      </c>
      <c r="I52" s="96">
        <v>0.98899999999999999</v>
      </c>
      <c r="J52" s="97">
        <f>O52/O45</f>
        <v>1.0393107888476854</v>
      </c>
      <c r="K52" s="96"/>
      <c r="L52" s="98">
        <f t="shared" si="11"/>
        <v>14.349453167880799</v>
      </c>
      <c r="M52" s="98">
        <f t="shared" ref="M52:M56" si="14">L52/1000</f>
        <v>1.4349453167880799E-2</v>
      </c>
      <c r="N52" s="97">
        <f t="shared" si="13"/>
        <v>14.50905274811001</v>
      </c>
      <c r="O52" s="175">
        <f>O45*J17</f>
        <v>0.13390680447817097</v>
      </c>
      <c r="P52" s="168"/>
      <c r="Q52" s="96"/>
      <c r="R52" s="97"/>
      <c r="S52" s="97">
        <f>67.6</f>
        <v>67.599999999999994</v>
      </c>
      <c r="T52" s="96" t="s">
        <v>34</v>
      </c>
      <c r="U52" s="97">
        <f t="shared" ref="U52" si="15">S52/(1000/H52)</f>
        <v>7.2440159999999993</v>
      </c>
      <c r="V52" s="96" t="s">
        <v>71</v>
      </c>
      <c r="W52" s="96" t="s">
        <v>72</v>
      </c>
      <c r="X52" s="261"/>
      <c r="Y52" s="169">
        <f>O52*U52</f>
        <v>0.97002303414874202</v>
      </c>
      <c r="Z52" s="245"/>
      <c r="AA52" s="245"/>
      <c r="AB52" s="245"/>
    </row>
    <row r="53" spans="1:32" s="99" customFormat="1" ht="17.5">
      <c r="A53" s="242"/>
      <c r="B53" s="96"/>
      <c r="C53" s="96"/>
      <c r="D53" s="96" t="s">
        <v>168</v>
      </c>
      <c r="E53" s="96" t="s">
        <v>73</v>
      </c>
      <c r="F53" s="155" t="s">
        <v>53</v>
      </c>
      <c r="G53" s="96"/>
      <c r="H53" s="97">
        <v>79.099999999999994</v>
      </c>
      <c r="I53" s="96">
        <v>0.97799999999999998</v>
      </c>
      <c r="J53" s="97">
        <f>O53/O45</f>
        <v>1.0399976107113649</v>
      </c>
      <c r="K53" s="96"/>
      <c r="L53" s="98">
        <f t="shared" si="11"/>
        <v>10.599027908093774</v>
      </c>
      <c r="M53" s="98">
        <f t="shared" si="14"/>
        <v>1.0599027908093774E-2</v>
      </c>
      <c r="N53" s="97">
        <f t="shared" si="13"/>
        <v>10.837451848766641</v>
      </c>
      <c r="O53" s="175">
        <f>O45*J18</f>
        <v>0.13399529593038906</v>
      </c>
      <c r="P53" s="168"/>
      <c r="Q53" s="96"/>
      <c r="R53" s="97"/>
      <c r="S53" s="97">
        <v>879</v>
      </c>
      <c r="T53" s="96" t="s">
        <v>65</v>
      </c>
      <c r="U53" s="97">
        <f>S53/((8000*I53)/H53)</f>
        <v>8.8866180981595093</v>
      </c>
      <c r="V53" s="96" t="s">
        <v>74</v>
      </c>
      <c r="W53" s="96" t="s">
        <v>75</v>
      </c>
      <c r="X53" s="261"/>
      <c r="Y53" s="169">
        <f>O53*U53</f>
        <v>1.1907650218832346</v>
      </c>
      <c r="Z53" s="245"/>
      <c r="AA53" s="245"/>
      <c r="AB53" s="245"/>
    </row>
    <row r="54" spans="1:32">
      <c r="A54" s="242"/>
      <c r="B54" s="11"/>
      <c r="C54" s="11"/>
      <c r="D54" s="11" t="s">
        <v>76</v>
      </c>
      <c r="E54" s="11" t="s">
        <v>77</v>
      </c>
      <c r="F54" s="77" t="s">
        <v>53</v>
      </c>
      <c r="G54" s="11"/>
      <c r="H54" s="11">
        <v>36.46</v>
      </c>
      <c r="I54" s="11">
        <v>1.19</v>
      </c>
      <c r="J54" s="13">
        <f>O54/O45</f>
        <v>88.515430215847005</v>
      </c>
      <c r="K54" s="11" t="s">
        <v>78</v>
      </c>
      <c r="L54" s="13">
        <f t="shared" si="11"/>
        <v>415.80801793290959</v>
      </c>
      <c r="M54" s="41">
        <f t="shared" si="14"/>
        <v>0.41580801793290961</v>
      </c>
      <c r="N54" s="13">
        <f t="shared" si="13"/>
        <v>349.41850246462991</v>
      </c>
      <c r="O54" s="13">
        <f>O45*J19</f>
        <v>11.404498571939374</v>
      </c>
      <c r="P54" s="56"/>
      <c r="Q54" s="11"/>
      <c r="R54" s="13"/>
      <c r="S54" s="13">
        <v>383</v>
      </c>
      <c r="T54" s="11" t="s">
        <v>123</v>
      </c>
      <c r="U54" s="13">
        <f>S54/((1500*I54)/H54)</f>
        <v>7.8230700280112044</v>
      </c>
      <c r="V54" s="11" t="s">
        <v>122</v>
      </c>
      <c r="W54" s="11" t="s">
        <v>79</v>
      </c>
      <c r="X54" s="261"/>
      <c r="Y54" s="26">
        <f>O54*U54</f>
        <v>89.218190962635504</v>
      </c>
      <c r="Z54" s="245"/>
      <c r="AA54" s="245"/>
      <c r="AB54" s="245"/>
      <c r="AF54" s="126">
        <v>5.6748984342707857E-2</v>
      </c>
    </row>
    <row r="55" spans="1:32" ht="17.5">
      <c r="A55" s="242"/>
      <c r="D55" s="11" t="s">
        <v>80</v>
      </c>
      <c r="E55" s="11" t="s">
        <v>81</v>
      </c>
      <c r="F55" s="77" t="s">
        <v>53</v>
      </c>
      <c r="H55" s="11">
        <v>105.99</v>
      </c>
      <c r="I55" s="11">
        <v>2.54</v>
      </c>
      <c r="J55" s="13">
        <f>O55/O45</f>
        <v>64.991642366778279</v>
      </c>
      <c r="L55" s="13">
        <f t="shared" si="11"/>
        <v>887.52299626016008</v>
      </c>
      <c r="M55" s="41">
        <f t="shared" si="14"/>
        <v>0.88752299626016007</v>
      </c>
      <c r="N55" s="13">
        <f t="shared" si="13"/>
        <v>349.41850246462997</v>
      </c>
      <c r="O55" s="13">
        <f>O45*J20</f>
        <v>8.3736484221168048</v>
      </c>
      <c r="S55" s="13">
        <f>451</f>
        <v>451</v>
      </c>
      <c r="T55" s="11" t="s">
        <v>126</v>
      </c>
      <c r="U55" s="13">
        <f>S55/(12000/H55)</f>
        <v>3.9834574999999997</v>
      </c>
      <c r="V55" s="11" t="s">
        <v>125</v>
      </c>
      <c r="W55" s="11" t="s">
        <v>124</v>
      </c>
      <c r="X55" s="261"/>
      <c r="Y55" s="42"/>
      <c r="Z55" s="245"/>
      <c r="AA55" s="245"/>
      <c r="AB55" s="245"/>
      <c r="AF55" s="47">
        <v>7.3148987298317883E-2</v>
      </c>
    </row>
    <row r="56" spans="1:32" ht="17.5">
      <c r="A56" s="242"/>
      <c r="B56" s="21"/>
      <c r="C56" s="21"/>
      <c r="D56" s="21" t="s">
        <v>37</v>
      </c>
      <c r="E56" s="21" t="s">
        <v>38</v>
      </c>
      <c r="F56" s="48" t="s">
        <v>37</v>
      </c>
      <c r="G56" s="21"/>
      <c r="H56" s="21">
        <v>18.02</v>
      </c>
      <c r="I56" s="20">
        <v>1</v>
      </c>
      <c r="J56" s="20">
        <f>O56/O45</f>
        <v>501.66366434894655</v>
      </c>
      <c r="K56" s="21"/>
      <c r="L56" s="20">
        <f t="shared" si="11"/>
        <v>1164.7283415487664</v>
      </c>
      <c r="M56" s="84">
        <f t="shared" si="14"/>
        <v>1.1647283415487664</v>
      </c>
      <c r="N56" s="20">
        <f>L56/I56</f>
        <v>1164.7283415487664</v>
      </c>
      <c r="O56" s="20">
        <f>O45*J21</f>
        <v>64.635313071518667</v>
      </c>
      <c r="P56" s="58"/>
      <c r="Q56" s="21"/>
      <c r="R56" s="20"/>
      <c r="S56" s="20">
        <f>285</f>
        <v>285</v>
      </c>
      <c r="T56" s="20" t="s">
        <v>58</v>
      </c>
      <c r="U56" s="20">
        <f>S56/((16000*I56)/H56)</f>
        <v>0.32098125</v>
      </c>
      <c r="V56" s="21" t="s">
        <v>112</v>
      </c>
      <c r="W56" s="21" t="s">
        <v>82</v>
      </c>
      <c r="X56" s="261"/>
      <c r="Y56" s="22">
        <f t="shared" ref="Y56" si="16">U56*O56</f>
        <v>20.746723583837401</v>
      </c>
      <c r="Z56" s="245"/>
      <c r="AA56" s="245"/>
      <c r="AB56" s="245"/>
    </row>
    <row r="57" spans="1:32" ht="16.5">
      <c r="A57" s="243"/>
      <c r="B57" s="43"/>
      <c r="C57" s="222" t="s">
        <v>234</v>
      </c>
      <c r="D57" s="43"/>
      <c r="E57" s="78" t="s">
        <v>83</v>
      </c>
      <c r="F57" s="79" t="s">
        <v>47</v>
      </c>
      <c r="G57" s="79" t="s">
        <v>84</v>
      </c>
      <c r="H57" s="45">
        <v>291.3</v>
      </c>
      <c r="I57" s="43"/>
      <c r="J57" s="43"/>
      <c r="K57" s="43"/>
      <c r="L57" s="45"/>
      <c r="M57" s="45"/>
      <c r="N57" s="43"/>
      <c r="O57" s="45"/>
      <c r="P57" s="102">
        <f>R57*H57</f>
        <v>21.308299999999999</v>
      </c>
      <c r="Q57" s="94">
        <f>P57/1000</f>
        <v>2.1308299999999999E-2</v>
      </c>
      <c r="R57" s="95">
        <f>O59</f>
        <v>7.3148987298317883E-2</v>
      </c>
      <c r="S57" s="43"/>
      <c r="T57" s="43"/>
      <c r="U57" s="43"/>
      <c r="V57" s="43"/>
      <c r="W57" s="43"/>
      <c r="X57" s="262"/>
      <c r="Y57" s="46"/>
      <c r="Z57" s="166" t="s">
        <v>176</v>
      </c>
      <c r="AA57" s="252"/>
      <c r="AB57" s="166" t="s">
        <v>177</v>
      </c>
    </row>
    <row r="58" spans="1:32">
      <c r="A58" s="241" t="s">
        <v>235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12"/>
      <c r="M58" s="12"/>
      <c r="N58" s="30"/>
      <c r="O58" s="12"/>
      <c r="P58" s="59"/>
      <c r="Q58" s="30"/>
      <c r="R58" s="12"/>
      <c r="S58" s="30"/>
      <c r="T58" s="30"/>
      <c r="U58" s="30"/>
      <c r="V58" s="30"/>
      <c r="W58" s="30"/>
      <c r="X58" s="253">
        <f>R69/O59</f>
        <v>0.74999999352365043</v>
      </c>
      <c r="Y58" s="33"/>
      <c r="Z58" s="244" t="s">
        <v>128</v>
      </c>
      <c r="AA58" s="244">
        <v>0.1</v>
      </c>
      <c r="AB58" s="244">
        <v>24.15</v>
      </c>
    </row>
    <row r="59" spans="1:32" ht="16.5">
      <c r="A59" s="242"/>
      <c r="B59" s="223" t="s">
        <v>234</v>
      </c>
      <c r="C59" s="27"/>
      <c r="D59" s="34" t="s">
        <v>84</v>
      </c>
      <c r="E59" s="80" t="s">
        <v>83</v>
      </c>
      <c r="F59" s="34" t="s">
        <v>47</v>
      </c>
      <c r="G59" s="11"/>
      <c r="H59" s="13">
        <v>291.3</v>
      </c>
      <c r="I59" s="11"/>
      <c r="J59" s="13">
        <f>O59/O59</f>
        <v>1</v>
      </c>
      <c r="K59" s="11"/>
      <c r="L59" s="35">
        <f>O59*H59</f>
        <v>21.308299999999999</v>
      </c>
      <c r="M59" s="36">
        <f>L59/1000</f>
        <v>2.1308299999999999E-2</v>
      </c>
      <c r="N59" s="11"/>
      <c r="O59" s="47">
        <v>7.3148987298317883E-2</v>
      </c>
      <c r="P59" s="56"/>
      <c r="Q59" s="11"/>
      <c r="R59" s="13"/>
      <c r="S59" s="11"/>
      <c r="T59" s="11"/>
      <c r="U59" s="11"/>
      <c r="V59" s="11"/>
      <c r="W59" s="11"/>
      <c r="X59" s="254"/>
      <c r="Y59" s="28"/>
      <c r="Z59" s="245"/>
      <c r="AA59" s="245"/>
      <c r="AB59" s="245"/>
    </row>
    <row r="60" spans="1:32" s="99" customFormat="1" ht="17.5">
      <c r="A60" s="242"/>
      <c r="B60" s="103"/>
      <c r="C60" s="103"/>
      <c r="D60" s="96" t="s">
        <v>129</v>
      </c>
      <c r="E60" s="96" t="s">
        <v>85</v>
      </c>
      <c r="F60" s="167" t="s">
        <v>42</v>
      </c>
      <c r="G60" s="96"/>
      <c r="H60" s="96">
        <v>72.11</v>
      </c>
      <c r="I60" s="96">
        <v>0.88900000000000001</v>
      </c>
      <c r="J60" s="97">
        <f>O60/O59</f>
        <v>38.763749951479511</v>
      </c>
      <c r="K60" s="96"/>
      <c r="L60" s="97">
        <f>O60*H60</f>
        <v>204.47</v>
      </c>
      <c r="M60" s="98">
        <f>L60/1000</f>
        <v>0.20446999999999999</v>
      </c>
      <c r="N60" s="97">
        <f>L60/I60</f>
        <v>230</v>
      </c>
      <c r="O60" s="97">
        <f>O59*J25</f>
        <v>2.8355290528359451</v>
      </c>
      <c r="P60" s="168"/>
      <c r="Q60" s="96"/>
      <c r="R60" s="97"/>
      <c r="S60" s="98">
        <v>6860</v>
      </c>
      <c r="T60" s="96" t="s">
        <v>50</v>
      </c>
      <c r="U60" s="97">
        <f>S60/((200000*I60)/H60)</f>
        <v>2.7821968503937007</v>
      </c>
      <c r="V60" s="170" t="s">
        <v>181</v>
      </c>
      <c r="W60" s="96" t="s">
        <v>86</v>
      </c>
      <c r="X60" s="254"/>
      <c r="Y60" s="169">
        <f t="shared" ref="Y60:Y68" si="17">U60*O60</f>
        <v>7.8890000000000002</v>
      </c>
      <c r="Z60" s="245"/>
      <c r="AA60" s="245"/>
      <c r="AB60" s="245"/>
    </row>
    <row r="61" spans="1:32" ht="17.5">
      <c r="A61" s="242"/>
      <c r="B61" s="27"/>
      <c r="C61" s="27"/>
      <c r="D61" s="11" t="s">
        <v>130</v>
      </c>
      <c r="E61" s="11" t="s">
        <v>87</v>
      </c>
      <c r="F61" s="77" t="s">
        <v>53</v>
      </c>
      <c r="G61" s="11"/>
      <c r="H61" s="13">
        <v>37.950000000000003</v>
      </c>
      <c r="I61" s="11">
        <v>0.91700000000000004</v>
      </c>
      <c r="J61" s="13">
        <f>O61/O59</f>
        <v>4.1422309616440538</v>
      </c>
      <c r="K61" s="11" t="s">
        <v>131</v>
      </c>
      <c r="L61" s="13">
        <f>O62*H61</f>
        <v>34.537669271948616</v>
      </c>
      <c r="M61" s="41">
        <f t="shared" ref="M61:M68" si="18">L61/1000</f>
        <v>3.4537669271948616E-2</v>
      </c>
      <c r="N61" s="13">
        <f t="shared" ref="N61:N68" si="19">L61/I61</f>
        <v>37.663761474316921</v>
      </c>
      <c r="O61" s="13">
        <f>O59*J26</f>
        <v>0.30299999999999994</v>
      </c>
      <c r="P61" s="56"/>
      <c r="Q61" s="11"/>
      <c r="R61" s="13"/>
      <c r="S61" s="13">
        <v>711</v>
      </c>
      <c r="T61" s="11" t="s">
        <v>88</v>
      </c>
      <c r="U61" s="13">
        <f>S61/(1000/H61)</f>
        <v>26.98245</v>
      </c>
      <c r="V61" s="11" t="s">
        <v>89</v>
      </c>
      <c r="W61" t="s">
        <v>90</v>
      </c>
      <c r="X61" s="254"/>
      <c r="Y61" s="26">
        <f t="shared" si="17"/>
        <v>8.1756823499999989</v>
      </c>
      <c r="Z61" s="245"/>
      <c r="AA61" s="245"/>
      <c r="AB61" s="245"/>
    </row>
    <row r="62" spans="1:32" ht="17.5">
      <c r="A62" s="242"/>
      <c r="B62" s="27"/>
      <c r="C62" s="27"/>
      <c r="D62" s="11" t="s">
        <v>91</v>
      </c>
      <c r="E62" s="11" t="s">
        <v>92</v>
      </c>
      <c r="F62" s="77" t="s">
        <v>53</v>
      </c>
      <c r="G62" s="11"/>
      <c r="H62" s="13">
        <v>98.07</v>
      </c>
      <c r="I62" s="13">
        <v>1.84</v>
      </c>
      <c r="J62" s="13">
        <f>O62/O59</f>
        <v>12.441505281074891</v>
      </c>
      <c r="K62" s="11" t="s">
        <v>131</v>
      </c>
      <c r="L62" s="13">
        <f t="shared" ref="L62:L68" si="20">O62*H62</f>
        <v>89.251890000000003</v>
      </c>
      <c r="M62" s="41">
        <f t="shared" si="18"/>
        <v>8.925189E-2</v>
      </c>
      <c r="N62" s="13">
        <f t="shared" si="19"/>
        <v>48.50646195652174</v>
      </c>
      <c r="O62" s="13">
        <f>O59*J27</f>
        <v>0.91008351177730207</v>
      </c>
      <c r="P62" s="56"/>
      <c r="Q62" s="11"/>
      <c r="R62" s="13"/>
      <c r="S62" s="11">
        <v>105</v>
      </c>
      <c r="T62" s="11" t="s">
        <v>132</v>
      </c>
      <c r="U62" s="13">
        <f>S62/((2500*I62)/H62)</f>
        <v>2.2385543478260868</v>
      </c>
      <c r="V62" s="11" t="s">
        <v>133</v>
      </c>
      <c r="W62" s="11" t="s">
        <v>93</v>
      </c>
      <c r="X62" s="254"/>
      <c r="Y62" s="26">
        <f t="shared" si="17"/>
        <v>2.0372714021739133</v>
      </c>
      <c r="Z62" s="245"/>
      <c r="AA62" s="245"/>
      <c r="AB62" s="245"/>
      <c r="AD62">
        <f>75%*O59</f>
        <v>5.4861740473738416E-2</v>
      </c>
      <c r="AE62">
        <f>AD62*H69</f>
        <v>7.139706905252317</v>
      </c>
      <c r="AF62">
        <v>7.139706905252317</v>
      </c>
    </row>
    <row r="63" spans="1:32" ht="17.5">
      <c r="A63" s="242"/>
      <c r="B63" s="48"/>
      <c r="C63" s="48"/>
      <c r="D63" s="21" t="s">
        <v>37</v>
      </c>
      <c r="E63" s="21" t="s">
        <v>38</v>
      </c>
      <c r="F63" s="48" t="s">
        <v>37</v>
      </c>
      <c r="G63" s="21"/>
      <c r="H63" s="21">
        <v>18.02</v>
      </c>
      <c r="I63" s="20">
        <v>1</v>
      </c>
      <c r="J63" s="20">
        <f>O63/O59</f>
        <v>1274.3916785908195</v>
      </c>
      <c r="K63" s="21"/>
      <c r="L63" s="20">
        <f t="shared" si="20"/>
        <v>1679.8327019999999</v>
      </c>
      <c r="M63" s="84">
        <f t="shared" si="18"/>
        <v>1.6798327019999999</v>
      </c>
      <c r="N63" s="20">
        <f t="shared" si="19"/>
        <v>1679.8327019999999</v>
      </c>
      <c r="O63" s="20">
        <f>O59*J28</f>
        <v>93.220460710321859</v>
      </c>
      <c r="P63" s="58"/>
      <c r="Q63" s="21"/>
      <c r="R63" s="20"/>
      <c r="S63" s="20">
        <f>285</f>
        <v>285</v>
      </c>
      <c r="T63" s="20" t="s">
        <v>58</v>
      </c>
      <c r="U63" s="20">
        <f>S63/((16000*I63)/H63)</f>
        <v>0.32098125</v>
      </c>
      <c r="V63" s="21" t="s">
        <v>112</v>
      </c>
      <c r="W63" s="21" t="s">
        <v>82</v>
      </c>
      <c r="X63" s="254"/>
      <c r="Y63" s="22">
        <f t="shared" si="17"/>
        <v>29.922020004374996</v>
      </c>
      <c r="Z63" s="245"/>
      <c r="AA63" s="245"/>
      <c r="AB63" s="245"/>
      <c r="AD63">
        <v>5.4861740473738416E-2</v>
      </c>
    </row>
    <row r="64" spans="1:32">
      <c r="A64" s="242"/>
      <c r="B64" s="27"/>
      <c r="C64" s="27"/>
      <c r="D64" s="11" t="s">
        <v>94</v>
      </c>
      <c r="E64" s="11" t="s">
        <v>95</v>
      </c>
      <c r="F64" s="77" t="s">
        <v>53</v>
      </c>
      <c r="G64" s="11"/>
      <c r="H64" s="13">
        <v>40</v>
      </c>
      <c r="I64" s="11">
        <v>2.13</v>
      </c>
      <c r="J64" s="13">
        <f>O64/O59</f>
        <v>11.400561590812032</v>
      </c>
      <c r="K64" s="11"/>
      <c r="L64" s="13">
        <f t="shared" si="20"/>
        <v>33.357581400000001</v>
      </c>
      <c r="M64" s="41">
        <f t="shared" si="18"/>
        <v>3.3357581400000003E-2</v>
      </c>
      <c r="N64" s="13">
        <f t="shared" si="19"/>
        <v>15.660836338028171</v>
      </c>
      <c r="O64" s="13">
        <f>O59*J29</f>
        <v>0.83393953500000007</v>
      </c>
      <c r="P64" s="56"/>
      <c r="Q64" s="11"/>
      <c r="R64" s="13"/>
      <c r="S64" s="13">
        <v>1060</v>
      </c>
      <c r="T64" s="11" t="s">
        <v>134</v>
      </c>
      <c r="U64" s="13">
        <f>S64/(50000/H64)</f>
        <v>0.84799999999999998</v>
      </c>
      <c r="V64" s="11" t="s">
        <v>135</v>
      </c>
      <c r="W64" s="11" t="s">
        <v>96</v>
      </c>
      <c r="X64" s="254"/>
      <c r="Y64" s="26">
        <f t="shared" si="17"/>
        <v>0.70718072568000001</v>
      </c>
      <c r="Z64" s="245"/>
      <c r="AA64" s="245"/>
      <c r="AB64" s="245"/>
    </row>
    <row r="65" spans="1:28" ht="17.5">
      <c r="A65" s="242"/>
      <c r="B65" s="27"/>
      <c r="C65" s="27"/>
      <c r="D65" s="11" t="s">
        <v>169</v>
      </c>
      <c r="E65" s="11" t="s">
        <v>97</v>
      </c>
      <c r="F65" s="71" t="s">
        <v>42</v>
      </c>
      <c r="G65" s="11"/>
      <c r="H65" s="11">
        <v>92.14</v>
      </c>
      <c r="I65" s="11">
        <v>0.86499999999999999</v>
      </c>
      <c r="J65" s="13">
        <f>O65/O59</f>
        <v>256.67854999116042</v>
      </c>
      <c r="K65" s="11"/>
      <c r="L65" s="13">
        <f t="shared" si="20"/>
        <v>1730</v>
      </c>
      <c r="M65" s="41">
        <f t="shared" si="18"/>
        <v>1.73</v>
      </c>
      <c r="N65" s="13">
        <f t="shared" si="19"/>
        <v>2000</v>
      </c>
      <c r="O65" s="13">
        <f>O59*J30</f>
        <v>18.775775993054047</v>
      </c>
      <c r="P65" s="56"/>
      <c r="Q65" s="11"/>
      <c r="R65" s="13"/>
      <c r="S65" s="13">
        <f>1800</f>
        <v>1800</v>
      </c>
      <c r="T65" s="11" t="s">
        <v>50</v>
      </c>
      <c r="U65" s="13">
        <f>S65/((200000*I65)/H65)</f>
        <v>0.95868208092485552</v>
      </c>
      <c r="V65" s="11" t="s">
        <v>178</v>
      </c>
      <c r="W65" s="11" t="s">
        <v>98</v>
      </c>
      <c r="X65" s="254"/>
      <c r="Y65" s="26">
        <f t="shared" si="17"/>
        <v>18</v>
      </c>
      <c r="Z65" s="245"/>
      <c r="AA65" s="245"/>
      <c r="AB65" s="245"/>
    </row>
    <row r="66" spans="1:28" ht="17.5">
      <c r="A66" s="242"/>
      <c r="B66" s="27"/>
      <c r="C66" s="27"/>
      <c r="D66" s="11" t="s">
        <v>118</v>
      </c>
      <c r="E66" s="24" t="s">
        <v>99</v>
      </c>
      <c r="F66" s="71" t="s">
        <v>42</v>
      </c>
      <c r="G66" s="11"/>
      <c r="H66" s="11">
        <v>84.93</v>
      </c>
      <c r="I66" s="13">
        <v>1.325</v>
      </c>
      <c r="J66" s="13">
        <f>O66/O59</f>
        <v>106.63909249625436</v>
      </c>
      <c r="K66" s="11"/>
      <c r="L66" s="13">
        <f t="shared" si="20"/>
        <v>662.5</v>
      </c>
      <c r="M66" s="41">
        <f t="shared" si="18"/>
        <v>0.66249999999999998</v>
      </c>
      <c r="N66" s="13">
        <f t="shared" si="19"/>
        <v>500</v>
      </c>
      <c r="O66" s="13">
        <f>O59*J31</f>
        <v>7.8005416225126565</v>
      </c>
      <c r="P66" s="56"/>
      <c r="Q66" s="11"/>
      <c r="R66" s="13"/>
      <c r="S66" s="13">
        <f>701</f>
        <v>701</v>
      </c>
      <c r="T66" s="11" t="s">
        <v>43</v>
      </c>
      <c r="U66" s="13">
        <f>S66/((20000*I66)/H66)</f>
        <v>2.2466388679245286</v>
      </c>
      <c r="V66" s="11" t="s">
        <v>120</v>
      </c>
      <c r="W66" s="11" t="s">
        <v>66</v>
      </c>
      <c r="X66" s="254"/>
      <c r="Y66" s="26">
        <f t="shared" si="17"/>
        <v>17.524999999999999</v>
      </c>
      <c r="Z66" s="245"/>
      <c r="AA66" s="245"/>
      <c r="AB66" s="245"/>
    </row>
    <row r="67" spans="1:28" ht="17.5">
      <c r="A67" s="242"/>
      <c r="B67" s="27"/>
      <c r="C67" s="27"/>
      <c r="D67" s="11" t="s">
        <v>136</v>
      </c>
      <c r="E67" s="11" t="s">
        <v>100</v>
      </c>
      <c r="F67" s="71" t="s">
        <v>42</v>
      </c>
      <c r="G67" s="11"/>
      <c r="H67" s="11">
        <v>88.11</v>
      </c>
      <c r="I67" s="11">
        <v>0.90200000000000002</v>
      </c>
      <c r="J67" s="13">
        <f>O67/O59</f>
        <v>27.990007445710393</v>
      </c>
      <c r="K67" s="11"/>
      <c r="L67" s="13">
        <f t="shared" si="20"/>
        <v>180.4</v>
      </c>
      <c r="M67" s="41">
        <f t="shared" si="18"/>
        <v>0.1804</v>
      </c>
      <c r="N67" s="13">
        <f t="shared" si="19"/>
        <v>200</v>
      </c>
      <c r="O67" s="13">
        <f>O59*J32</f>
        <v>2.0474406991260925</v>
      </c>
      <c r="P67" s="56"/>
      <c r="Q67" s="11"/>
      <c r="R67" s="13"/>
      <c r="S67" s="13">
        <v>3650</v>
      </c>
      <c r="T67" s="11" t="s">
        <v>50</v>
      </c>
      <c r="U67" s="13">
        <f>S67/((200000*I67)/H67)</f>
        <v>1.7827134146341463</v>
      </c>
      <c r="V67" s="11" t="s">
        <v>137</v>
      </c>
      <c r="W67" s="11" t="s">
        <v>102</v>
      </c>
      <c r="X67" s="254"/>
      <c r="Y67" s="26">
        <f t="shared" si="17"/>
        <v>3.6500000000000004</v>
      </c>
      <c r="Z67" s="245"/>
      <c r="AA67" s="245"/>
      <c r="AB67" s="245"/>
    </row>
    <row r="68" spans="1:28" ht="17.5">
      <c r="A68" s="242"/>
      <c r="B68" s="49"/>
      <c r="C68" s="49"/>
      <c r="D68" s="16" t="s">
        <v>103</v>
      </c>
      <c r="E68" s="16" t="s">
        <v>104</v>
      </c>
      <c r="F68" s="49" t="s">
        <v>33</v>
      </c>
      <c r="G68" s="16"/>
      <c r="H68" s="16">
        <v>60.08</v>
      </c>
      <c r="I68" s="16">
        <v>0.7</v>
      </c>
      <c r="J68" s="15">
        <f>O68/O59</f>
        <v>0.7</v>
      </c>
      <c r="K68" s="16"/>
      <c r="L68" s="15">
        <f t="shared" si="20"/>
        <v>3.0763538098180563</v>
      </c>
      <c r="M68" s="85">
        <f t="shared" si="18"/>
        <v>3.0763538098180564E-3</v>
      </c>
      <c r="N68" s="15">
        <f t="shared" si="19"/>
        <v>4.3947911568829374</v>
      </c>
      <c r="O68" s="15">
        <f>O59*I33</f>
        <v>5.1204291108822513E-2</v>
      </c>
      <c r="P68" s="60"/>
      <c r="Q68" s="16"/>
      <c r="R68" s="15"/>
      <c r="S68" s="15">
        <v>3160</v>
      </c>
      <c r="T68" s="16" t="s">
        <v>105</v>
      </c>
      <c r="U68" s="15">
        <f>S68/(25000/H68)</f>
        <v>7.5941119999999991</v>
      </c>
      <c r="V68" s="16" t="s">
        <v>106</v>
      </c>
      <c r="W68" s="16" t="s">
        <v>107</v>
      </c>
      <c r="X68" s="254"/>
      <c r="Y68" s="18">
        <f t="shared" si="17"/>
        <v>0.38885112156100232</v>
      </c>
      <c r="Z68" s="245"/>
      <c r="AA68" s="245"/>
      <c r="AB68" s="245"/>
    </row>
    <row r="69" spans="1:28" ht="17.5">
      <c r="A69" s="243"/>
      <c r="B69" s="44"/>
      <c r="C69" s="222" t="s">
        <v>236</v>
      </c>
      <c r="D69" s="43"/>
      <c r="E69" s="43" t="s">
        <v>108</v>
      </c>
      <c r="F69" s="44" t="s">
        <v>113</v>
      </c>
      <c r="G69" s="43" t="s">
        <v>109</v>
      </c>
      <c r="H69" s="45">
        <v>130.13999999999999</v>
      </c>
      <c r="I69" s="43"/>
      <c r="J69" s="43"/>
      <c r="K69" s="50">
        <v>0.96799999999999997</v>
      </c>
      <c r="L69" s="45"/>
      <c r="M69" s="45"/>
      <c r="N69" s="43"/>
      <c r="O69" s="45"/>
      <c r="P69" s="198">
        <f>R69*H69</f>
        <v>7.1397068435999991</v>
      </c>
      <c r="Q69" s="125">
        <f>P69/1000</f>
        <v>7.1397068435999989E-3</v>
      </c>
      <c r="R69" s="199">
        <f>0.05486174</f>
        <v>5.4861739999999999E-2</v>
      </c>
      <c r="S69" s="43"/>
      <c r="T69" s="43"/>
      <c r="U69" s="43"/>
      <c r="V69" s="43"/>
      <c r="W69" s="43"/>
      <c r="X69" s="255"/>
      <c r="Y69" s="46"/>
      <c r="Z69" s="166" t="s">
        <v>175</v>
      </c>
      <c r="AA69" s="252"/>
      <c r="AB69" s="166" t="s">
        <v>174</v>
      </c>
    </row>
    <row r="70" spans="1:28">
      <c r="A70" s="93"/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</row>
    <row r="71" spans="1:28">
      <c r="A71" s="93"/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 t="s">
        <v>138</v>
      </c>
      <c r="P71" s="101">
        <f>P92/P57</f>
        <v>140.06177190051758</v>
      </c>
      <c r="Q71" s="101">
        <f>P78/P43</f>
        <v>139.50695768877591</v>
      </c>
      <c r="R71" s="101">
        <f>P104/P69</f>
        <v>140.06177310996955</v>
      </c>
      <c r="S71" s="93"/>
      <c r="T71" s="93"/>
      <c r="U71" s="93"/>
      <c r="V71" s="93"/>
      <c r="W71" s="93"/>
      <c r="X71" s="93"/>
      <c r="Y71" s="93"/>
      <c r="Z71" s="93"/>
      <c r="AA71" s="93"/>
      <c r="AB71" s="93"/>
    </row>
    <row r="72" spans="1:28">
      <c r="A72" s="256" t="s">
        <v>215</v>
      </c>
      <c r="B72" s="257"/>
      <c r="C72" s="257"/>
      <c r="D72" s="257"/>
      <c r="E72" s="257"/>
      <c r="F72" s="257"/>
      <c r="G72" s="257"/>
      <c r="H72" s="257"/>
      <c r="I72" s="257"/>
      <c r="J72" s="257"/>
      <c r="K72" s="257"/>
      <c r="L72" s="257"/>
      <c r="M72" s="257"/>
      <c r="N72" s="257"/>
      <c r="O72" s="257"/>
      <c r="P72" s="257"/>
      <c r="Q72" s="257"/>
      <c r="R72" s="257"/>
      <c r="S72" s="257"/>
      <c r="T72" s="257"/>
      <c r="U72" s="257"/>
      <c r="V72" s="257"/>
      <c r="W72" s="257"/>
      <c r="X72" s="257"/>
      <c r="Y72" s="257"/>
      <c r="Z72" s="257"/>
      <c r="AA72" s="257"/>
      <c r="AB72" s="258"/>
    </row>
    <row r="73" spans="1:28">
      <c r="A73" s="1" t="s">
        <v>1</v>
      </c>
      <c r="B73" s="2" t="s">
        <v>2</v>
      </c>
      <c r="C73" s="3" t="s">
        <v>3</v>
      </c>
      <c r="D73" s="4" t="s">
        <v>4</v>
      </c>
      <c r="E73" s="5" t="s">
        <v>5</v>
      </c>
      <c r="F73" s="5" t="s">
        <v>6</v>
      </c>
      <c r="G73" s="5" t="s">
        <v>7</v>
      </c>
      <c r="H73" s="6" t="s">
        <v>8</v>
      </c>
      <c r="I73" s="1" t="s">
        <v>9</v>
      </c>
      <c r="J73" s="1" t="s">
        <v>10</v>
      </c>
      <c r="K73" s="1" t="s">
        <v>11</v>
      </c>
      <c r="L73" s="6" t="s">
        <v>12</v>
      </c>
      <c r="M73" s="7" t="s">
        <v>13</v>
      </c>
      <c r="N73" s="1" t="s">
        <v>14</v>
      </c>
      <c r="O73" s="6" t="s">
        <v>15</v>
      </c>
      <c r="P73" s="51" t="s">
        <v>16</v>
      </c>
      <c r="Q73" s="7" t="s">
        <v>17</v>
      </c>
      <c r="R73" s="1" t="s">
        <v>18</v>
      </c>
      <c r="S73" s="1" t="s">
        <v>19</v>
      </c>
      <c r="T73" s="1" t="s">
        <v>20</v>
      </c>
      <c r="U73" s="1" t="s">
        <v>21</v>
      </c>
      <c r="V73" s="8" t="s">
        <v>22</v>
      </c>
      <c r="W73" s="1" t="s">
        <v>23</v>
      </c>
      <c r="X73" s="1" t="s">
        <v>24</v>
      </c>
      <c r="Y73" s="1" t="s">
        <v>25</v>
      </c>
      <c r="Z73" s="9" t="s">
        <v>26</v>
      </c>
      <c r="AA73" s="1" t="s">
        <v>27</v>
      </c>
      <c r="AB73" s="10" t="s">
        <v>28</v>
      </c>
    </row>
    <row r="74" spans="1:28" s="99" customFormat="1" ht="17.5">
      <c r="A74" s="259" t="s">
        <v>232</v>
      </c>
      <c r="B74" s="162">
        <v>18</v>
      </c>
      <c r="C74" s="63"/>
      <c r="D74" s="178" t="s">
        <v>29</v>
      </c>
      <c r="E74" s="179" t="s">
        <v>110</v>
      </c>
      <c r="F74" s="180" t="s">
        <v>211</v>
      </c>
      <c r="G74" s="178"/>
      <c r="H74" s="178">
        <v>230.21</v>
      </c>
      <c r="I74" s="178">
        <v>1.98</v>
      </c>
      <c r="J74" s="181">
        <f>O74/O74</f>
        <v>1</v>
      </c>
      <c r="K74" s="178"/>
      <c r="L74" s="178">
        <f>O74*H74</f>
        <v>4265.8494973423421</v>
      </c>
      <c r="M74" s="182">
        <f>L74/1000</f>
        <v>4.2658494973423418</v>
      </c>
      <c r="N74" s="178">
        <f>L74/I74</f>
        <v>2154.4694431021931</v>
      </c>
      <c r="O74" s="178">
        <v>18.530252801104826</v>
      </c>
      <c r="P74" s="183"/>
      <c r="Q74" s="178"/>
      <c r="R74" s="178"/>
      <c r="S74" s="178">
        <f>50</f>
        <v>50</v>
      </c>
      <c r="T74" s="178" t="s">
        <v>34</v>
      </c>
      <c r="U74" s="178">
        <f>S74/(1000/H74)</f>
        <v>11.510500000000002</v>
      </c>
      <c r="V74" s="178" t="s">
        <v>30</v>
      </c>
      <c r="W74" s="184" t="s">
        <v>31</v>
      </c>
      <c r="X74" s="253">
        <f>R78/O74</f>
        <v>0.96999999999999986</v>
      </c>
      <c r="Y74" s="185">
        <f>U74*O74</f>
        <v>213.29247486711714</v>
      </c>
      <c r="Z74" s="244" t="s">
        <v>114</v>
      </c>
      <c r="AA74" s="244">
        <v>1</v>
      </c>
      <c r="AB74" s="244">
        <v>2</v>
      </c>
    </row>
    <row r="75" spans="1:28">
      <c r="A75" s="259"/>
      <c r="B75" s="14"/>
      <c r="C75" s="14"/>
      <c r="D75" s="15" t="s">
        <v>32</v>
      </c>
      <c r="E75" s="15" t="s">
        <v>111</v>
      </c>
      <c r="F75" s="14" t="s">
        <v>33</v>
      </c>
      <c r="G75" s="15"/>
      <c r="H75" s="15">
        <v>212.82</v>
      </c>
      <c r="I75" s="15"/>
      <c r="J75" s="15">
        <f>O75/O74</f>
        <v>1.5844981061199346</v>
      </c>
      <c r="K75" s="15"/>
      <c r="L75" s="15">
        <f>O75*H75</f>
        <v>6248.6400428709376</v>
      </c>
      <c r="M75" s="85">
        <f>L75/1000</f>
        <v>6.2486400428709379</v>
      </c>
      <c r="N75" s="15"/>
      <c r="O75" s="15">
        <f>O74*J40</f>
        <v>29.361150469274211</v>
      </c>
      <c r="P75" s="52"/>
      <c r="Q75" s="15"/>
      <c r="R75" s="15"/>
      <c r="S75" s="15">
        <f>2080*0.078</f>
        <v>162.24</v>
      </c>
      <c r="T75" s="15" t="s">
        <v>34</v>
      </c>
      <c r="U75" s="15">
        <f>S75/(1000/H75)</f>
        <v>34.5279168</v>
      </c>
      <c r="V75" s="16" t="s">
        <v>35</v>
      </c>
      <c r="W75" s="17" t="s">
        <v>36</v>
      </c>
      <c r="X75" s="254"/>
      <c r="Y75" s="18">
        <f>U75*O75</f>
        <v>1013.7793605553809</v>
      </c>
      <c r="Z75" s="245"/>
      <c r="AA75" s="245"/>
      <c r="AB75" s="245"/>
    </row>
    <row r="76" spans="1:28" s="177" customFormat="1" ht="17.5">
      <c r="A76" s="259"/>
      <c r="B76" s="19"/>
      <c r="C76" s="19"/>
      <c r="D76" s="135" t="s">
        <v>37</v>
      </c>
      <c r="E76" s="136" t="s">
        <v>38</v>
      </c>
      <c r="F76" s="134" t="s">
        <v>37</v>
      </c>
      <c r="G76" s="135"/>
      <c r="H76" s="135">
        <v>18.02</v>
      </c>
      <c r="I76" s="135">
        <v>1</v>
      </c>
      <c r="J76" s="135">
        <f>O76/O74</f>
        <v>1197.7677326393514</v>
      </c>
      <c r="K76" s="135"/>
      <c r="L76" s="135">
        <f>O76*H76</f>
        <v>399952.79866829596</v>
      </c>
      <c r="M76" s="137">
        <f>L76/1000</f>
        <v>399.95279866829594</v>
      </c>
      <c r="N76" s="135">
        <f>L76/I76</f>
        <v>399952.79866829596</v>
      </c>
      <c r="O76" s="135">
        <f>O74*J41</f>
        <v>22194.938882813316</v>
      </c>
      <c r="P76" s="138"/>
      <c r="Q76" s="135"/>
      <c r="R76" s="135"/>
      <c r="S76" s="135">
        <f>285</f>
        <v>285</v>
      </c>
      <c r="T76" s="135" t="s">
        <v>58</v>
      </c>
      <c r="U76" s="135">
        <f xml:space="preserve"> S76/((I76*16000)/H76)</f>
        <v>0.32098125</v>
      </c>
      <c r="V76" s="136" t="s">
        <v>112</v>
      </c>
      <c r="W76" s="136" t="s">
        <v>40</v>
      </c>
      <c r="X76" s="254"/>
      <c r="Y76" s="135">
        <f>U76*O76</f>
        <v>7124.1592262790218</v>
      </c>
      <c r="Z76" s="245"/>
      <c r="AA76" s="245"/>
      <c r="AB76" s="245"/>
    </row>
    <row r="77" spans="1:28" s="99" customFormat="1" ht="17.5">
      <c r="A77" s="259"/>
      <c r="B77" s="23"/>
      <c r="C77" s="23"/>
      <c r="D77" s="96" t="s">
        <v>206</v>
      </c>
      <c r="E77" s="174" t="s">
        <v>41</v>
      </c>
      <c r="F77" s="167" t="s">
        <v>42</v>
      </c>
      <c r="G77" s="97"/>
      <c r="H77" s="97">
        <v>86.13</v>
      </c>
      <c r="I77" s="97">
        <v>0.86</v>
      </c>
      <c r="J77" s="97">
        <f>O77/O74</f>
        <v>25.540281486641646</v>
      </c>
      <c r="K77" s="97"/>
      <c r="L77" s="97">
        <f>O77*H77</f>
        <v>40762.561863493502</v>
      </c>
      <c r="M77" s="98">
        <f>L77/1000</f>
        <v>40.762561863493502</v>
      </c>
      <c r="N77" s="97">
        <f>L77/I77</f>
        <v>47398.327748248259</v>
      </c>
      <c r="O77" s="97">
        <f>O74*J42</f>
        <v>473.2678725588471</v>
      </c>
      <c r="P77" s="176"/>
      <c r="Q77" s="97"/>
      <c r="R77" s="97"/>
      <c r="S77" s="97">
        <f>21394.49*0.078</f>
        <v>1668.7702200000001</v>
      </c>
      <c r="T77" s="97" t="s">
        <v>43</v>
      </c>
      <c r="U77" s="97">
        <f>S77/((20000*I77)/H77)</f>
        <v>8.3564638981744199</v>
      </c>
      <c r="V77" s="96" t="s">
        <v>44</v>
      </c>
      <c r="W77" s="96" t="s">
        <v>45</v>
      </c>
      <c r="X77" s="254"/>
      <c r="Y77" s="169">
        <f>U77*O77</f>
        <v>3954.8458912038182</v>
      </c>
      <c r="Z77" s="245"/>
      <c r="AA77" s="245"/>
      <c r="AB77" s="245"/>
    </row>
    <row r="78" spans="1:28" ht="17.5">
      <c r="A78" s="259"/>
      <c r="B78" s="27"/>
      <c r="C78" s="27">
        <v>19</v>
      </c>
      <c r="D78" s="11"/>
      <c r="E78" s="72" t="s">
        <v>46</v>
      </c>
      <c r="F78" s="73" t="s">
        <v>47</v>
      </c>
      <c r="G78" s="73" t="s">
        <v>48</v>
      </c>
      <c r="H78" s="13">
        <v>174.11</v>
      </c>
      <c r="I78" s="11"/>
      <c r="J78" s="11"/>
      <c r="K78" s="83">
        <v>0.96299999999999997</v>
      </c>
      <c r="L78" s="13"/>
      <c r="M78" s="13"/>
      <c r="N78" s="11"/>
      <c r="O78" s="13"/>
      <c r="P78" s="74">
        <f>R78*H78</f>
        <v>3129.5132457443501</v>
      </c>
      <c r="Q78" s="76">
        <f>P78/1000</f>
        <v>3.12951324574435</v>
      </c>
      <c r="R78" s="76">
        <f>O80</f>
        <v>17.974345217071679</v>
      </c>
      <c r="S78" s="11"/>
      <c r="T78" s="11"/>
      <c r="U78" s="11"/>
      <c r="V78" s="11"/>
      <c r="W78" s="11"/>
      <c r="X78" s="254"/>
      <c r="Y78" s="28"/>
      <c r="Z78" s="252"/>
      <c r="AA78" s="252"/>
      <c r="AB78" s="252"/>
    </row>
    <row r="79" spans="1:28">
      <c r="A79" s="241" t="s">
        <v>233</v>
      </c>
      <c r="B79" s="29"/>
      <c r="C79" s="29"/>
      <c r="D79" s="30"/>
      <c r="E79" s="30"/>
      <c r="F79" s="30"/>
      <c r="G79" s="30"/>
      <c r="H79" s="12"/>
      <c r="I79" s="30"/>
      <c r="J79" s="30"/>
      <c r="K79" s="30"/>
      <c r="L79" s="12"/>
      <c r="M79" s="12"/>
      <c r="N79" s="30"/>
      <c r="O79" s="12"/>
      <c r="P79" s="55"/>
      <c r="Q79" s="31"/>
      <c r="R79" s="32"/>
      <c r="S79" s="30"/>
      <c r="T79" s="30"/>
      <c r="U79" s="30"/>
      <c r="V79" s="30"/>
      <c r="W79" s="30"/>
      <c r="X79" s="249">
        <f>R92/O80</f>
        <v>0.56999999999999995</v>
      </c>
      <c r="Y79" s="33"/>
      <c r="Z79" s="244" t="s">
        <v>116</v>
      </c>
      <c r="AA79" s="244">
        <v>1</v>
      </c>
      <c r="AB79" s="244">
        <v>19.5</v>
      </c>
    </row>
    <row r="80" spans="1:28" ht="17.5">
      <c r="A80" s="242"/>
      <c r="B80" s="27">
        <v>19</v>
      </c>
      <c r="C80" s="27"/>
      <c r="D80" s="34" t="s">
        <v>48</v>
      </c>
      <c r="E80" s="72" t="s">
        <v>46</v>
      </c>
      <c r="F80" s="34" t="s">
        <v>47</v>
      </c>
      <c r="G80" s="11"/>
      <c r="H80" s="13">
        <v>174.11</v>
      </c>
      <c r="I80" s="11"/>
      <c r="J80" s="13">
        <f>O80/O80</f>
        <v>1</v>
      </c>
      <c r="K80" s="83">
        <v>0.96299999999999997</v>
      </c>
      <c r="L80" s="35">
        <f>O80*H80</f>
        <v>3129.5132457443501</v>
      </c>
      <c r="M80" s="36">
        <f>L80/1000</f>
        <v>3.12951324574435</v>
      </c>
      <c r="N80" s="11"/>
      <c r="O80" s="35">
        <v>17.974345217071679</v>
      </c>
      <c r="P80" s="56"/>
      <c r="Q80" s="11"/>
      <c r="R80" s="13"/>
      <c r="S80" s="11"/>
      <c r="T80" s="11"/>
      <c r="U80" s="11"/>
      <c r="V80" s="11"/>
      <c r="W80" s="11"/>
      <c r="X80" s="250"/>
      <c r="Y80" s="28"/>
      <c r="Z80" s="245"/>
      <c r="AA80" s="245"/>
      <c r="AB80" s="245"/>
    </row>
    <row r="81" spans="1:32" s="99" customFormat="1" ht="17.5">
      <c r="A81" s="242"/>
      <c r="B81" s="27"/>
      <c r="C81" s="27"/>
      <c r="D81" s="96" t="s">
        <v>115</v>
      </c>
      <c r="E81" s="96" t="s">
        <v>49</v>
      </c>
      <c r="F81" s="167" t="s">
        <v>42</v>
      </c>
      <c r="G81" s="96"/>
      <c r="H81" s="96">
        <v>100.16</v>
      </c>
      <c r="I81" s="96">
        <v>0.86</v>
      </c>
      <c r="J81" s="97">
        <f>O81/O80</f>
        <v>38.809814991755665</v>
      </c>
      <c r="K81" s="96"/>
      <c r="L81" s="97">
        <f t="shared" ref="L81:L91" si="21">O81*H81</f>
        <v>69869.71420924562</v>
      </c>
      <c r="M81" s="98">
        <f>L81/1000</f>
        <v>69.869714209245615</v>
      </c>
      <c r="N81" s="97">
        <f>L81/I81</f>
        <v>81243.853731680952</v>
      </c>
      <c r="O81" s="97">
        <f>O80*J46</f>
        <v>697.58101247250022</v>
      </c>
      <c r="P81" s="168"/>
      <c r="Q81" s="96"/>
      <c r="R81" s="97"/>
      <c r="S81" s="97">
        <f>6630</f>
        <v>6630</v>
      </c>
      <c r="T81" s="96" t="s">
        <v>180</v>
      </c>
      <c r="U81" s="97">
        <f>S81/((195000*I81)/H81)</f>
        <v>3.9598139534883723</v>
      </c>
      <c r="V81" s="170" t="s">
        <v>179</v>
      </c>
      <c r="W81" s="96" t="s">
        <v>51</v>
      </c>
      <c r="X81" s="250"/>
      <c r="Y81" s="169">
        <f>U81*O81</f>
        <v>2762.2910268771525</v>
      </c>
      <c r="Z81" s="245"/>
      <c r="AA81" s="245"/>
      <c r="AB81" s="245"/>
    </row>
    <row r="82" spans="1:32" s="99" customFormat="1" ht="17.5">
      <c r="A82" s="242"/>
      <c r="B82" s="27"/>
      <c r="C82" s="27"/>
      <c r="D82" s="174" t="s">
        <v>167</v>
      </c>
      <c r="E82" s="174" t="s">
        <v>52</v>
      </c>
      <c r="F82" s="155" t="s">
        <v>53</v>
      </c>
      <c r="G82" s="96"/>
      <c r="H82" s="96">
        <v>102.09</v>
      </c>
      <c r="I82" s="96">
        <v>1.08</v>
      </c>
      <c r="J82" s="97">
        <f>O82/O80</f>
        <v>1.2464173539382055</v>
      </c>
      <c r="K82" s="96"/>
      <c r="L82" s="97">
        <f t="shared" si="21"/>
        <v>2287.176970254282</v>
      </c>
      <c r="M82" s="98">
        <f t="shared" ref="M82:M85" si="22">L82/1000</f>
        <v>2.2871769702542819</v>
      </c>
      <c r="N82" s="97">
        <f t="shared" ref="N82:N91" si="23">L82/I82</f>
        <v>2117.7564539391497</v>
      </c>
      <c r="O82" s="175">
        <f>O80*J47</f>
        <v>22.403535804234323</v>
      </c>
      <c r="P82" s="168"/>
      <c r="Q82" s="96"/>
      <c r="R82" s="97"/>
      <c r="S82" s="186">
        <f>79.4</f>
        <v>79.400000000000006</v>
      </c>
      <c r="T82" s="96" t="s">
        <v>39</v>
      </c>
      <c r="U82" s="97">
        <f>S82/((1000*I82)/H82)</f>
        <v>7.5055055555555565</v>
      </c>
      <c r="V82" s="174" t="s">
        <v>54</v>
      </c>
      <c r="W82" s="96" t="s">
        <v>55</v>
      </c>
      <c r="X82" s="250"/>
      <c r="Y82" s="169">
        <f>O82*U82</f>
        <v>168.14986244276855</v>
      </c>
      <c r="Z82" s="245"/>
      <c r="AA82" s="245"/>
      <c r="AB82" s="245"/>
    </row>
    <row r="83" spans="1:32" s="99" customFormat="1" ht="17.5">
      <c r="A83" s="242"/>
      <c r="B83" s="11"/>
      <c r="C83" s="11"/>
      <c r="D83" s="96" t="s">
        <v>205</v>
      </c>
      <c r="E83" s="96" t="s">
        <v>57</v>
      </c>
      <c r="F83" s="155" t="s">
        <v>53</v>
      </c>
      <c r="G83" s="96"/>
      <c r="H83" s="97">
        <v>46.07</v>
      </c>
      <c r="I83" s="96">
        <v>0.78900000000000003</v>
      </c>
      <c r="J83" s="97">
        <f>O83/O80</f>
        <v>3.1120918300991702</v>
      </c>
      <c r="K83" s="96"/>
      <c r="L83" s="97">
        <f t="shared" si="21"/>
        <v>2577.0550403689199</v>
      </c>
      <c r="M83" s="98">
        <f t="shared" si="22"/>
        <v>2.5770550403689199</v>
      </c>
      <c r="N83" s="97">
        <f t="shared" si="23"/>
        <v>3266.229455473916</v>
      </c>
      <c r="O83" s="97">
        <f>O80*J48</f>
        <v>55.937812901430867</v>
      </c>
      <c r="P83" s="168"/>
      <c r="Q83" s="96"/>
      <c r="R83" s="97"/>
      <c r="S83" s="96">
        <v>1070</v>
      </c>
      <c r="T83" s="96" t="s">
        <v>58</v>
      </c>
      <c r="U83" s="97">
        <f>S83/((16000*I83)/H83)</f>
        <v>3.9048558301647653</v>
      </c>
      <c r="V83" s="96" t="s">
        <v>59</v>
      </c>
      <c r="W83" s="96" t="s">
        <v>60</v>
      </c>
      <c r="X83" s="250"/>
      <c r="Y83" s="169">
        <f>U83*O83</f>
        <v>218.42909483481816</v>
      </c>
      <c r="Z83" s="245"/>
      <c r="AA83" s="245"/>
      <c r="AB83" s="245"/>
    </row>
    <row r="84" spans="1:32" s="99" customFormat="1" ht="17.5">
      <c r="A84" s="242"/>
      <c r="B84" s="11"/>
      <c r="C84" s="11"/>
      <c r="D84" s="96" t="s">
        <v>170</v>
      </c>
      <c r="E84" s="96" t="s">
        <v>61</v>
      </c>
      <c r="F84" s="155" t="s">
        <v>53</v>
      </c>
      <c r="G84" s="96"/>
      <c r="H84" s="96">
        <v>126.92</v>
      </c>
      <c r="I84" s="96">
        <v>1.5</v>
      </c>
      <c r="J84" s="97">
        <f>O84/O80</f>
        <v>1.2475171339563864</v>
      </c>
      <c r="K84" s="96" t="s">
        <v>117</v>
      </c>
      <c r="L84" s="97">
        <f t="shared" si="21"/>
        <v>2845.9656967124856</v>
      </c>
      <c r="M84" s="98">
        <f t="shared" si="22"/>
        <v>2.8459656967124856</v>
      </c>
      <c r="N84" s="97">
        <f t="shared" si="23"/>
        <v>1897.3104644749903</v>
      </c>
      <c r="O84" s="175">
        <f>O80*J49</f>
        <v>22.423303629943945</v>
      </c>
      <c r="P84" s="168"/>
      <c r="Q84" s="96"/>
      <c r="R84" s="97"/>
      <c r="S84" s="96">
        <f>1340</f>
        <v>1340</v>
      </c>
      <c r="T84" s="96" t="s">
        <v>127</v>
      </c>
      <c r="U84" s="97">
        <f>S84/(10000/H84)</f>
        <v>17.007280000000002</v>
      </c>
      <c r="V84" s="96" t="s">
        <v>62</v>
      </c>
      <c r="W84" s="96" t="s">
        <v>63</v>
      </c>
      <c r="X84" s="250"/>
      <c r="Y84" s="169">
        <f>U84*O84</f>
        <v>381.35940335947311</v>
      </c>
      <c r="Z84" s="245"/>
      <c r="AA84" s="245"/>
      <c r="AB84" s="245"/>
    </row>
    <row r="85" spans="1:32" s="99" customFormat="1" ht="17.5">
      <c r="A85" s="242"/>
      <c r="B85" s="11"/>
      <c r="C85" s="11"/>
      <c r="D85" s="96" t="s">
        <v>118</v>
      </c>
      <c r="E85" s="174" t="s">
        <v>64</v>
      </c>
      <c r="F85" s="167" t="s">
        <v>42</v>
      </c>
      <c r="G85" s="96"/>
      <c r="H85" s="96">
        <v>84.93</v>
      </c>
      <c r="I85" s="97">
        <v>1.325</v>
      </c>
      <c r="J85" s="97">
        <f>O85/O80</f>
        <v>129.37329521980047</v>
      </c>
      <c r="K85" s="96"/>
      <c r="L85" s="97">
        <f t="shared" si="21"/>
        <v>197496.24494390941</v>
      </c>
      <c r="M85" s="98">
        <f t="shared" si="22"/>
        <v>197.4962449439094</v>
      </c>
      <c r="N85" s="97">
        <f t="shared" si="23"/>
        <v>149053.76976898825</v>
      </c>
      <c r="O85" s="97">
        <f>O80*J50</f>
        <v>2325.400270150823</v>
      </c>
      <c r="P85" s="168"/>
      <c r="Q85" s="96"/>
      <c r="R85" s="97"/>
      <c r="S85" s="97">
        <f>701</f>
        <v>701</v>
      </c>
      <c r="T85" s="96" t="s">
        <v>43</v>
      </c>
      <c r="U85" s="97">
        <f>S85/((20000*I85)/H85)</f>
        <v>2.2466388679245286</v>
      </c>
      <c r="V85" s="96" t="s">
        <v>120</v>
      </c>
      <c r="W85" s="96" t="s">
        <v>66</v>
      </c>
      <c r="X85" s="250"/>
      <c r="Y85" s="169">
        <f>U85*O85</f>
        <v>5224.3346304030383</v>
      </c>
      <c r="Z85" s="245"/>
      <c r="AA85" s="245"/>
      <c r="AB85" s="245"/>
    </row>
    <row r="86" spans="1:32" s="99" customFormat="1" ht="17.5">
      <c r="A86" s="242"/>
      <c r="B86" s="96"/>
      <c r="C86" s="96"/>
      <c r="D86" s="170" t="s">
        <v>119</v>
      </c>
      <c r="E86" s="96" t="s">
        <v>67</v>
      </c>
      <c r="F86" s="187" t="s">
        <v>207</v>
      </c>
      <c r="G86" s="96"/>
      <c r="H86" s="97">
        <v>73.099999999999994</v>
      </c>
      <c r="I86" s="96">
        <v>0.94399999999999995</v>
      </c>
      <c r="J86" s="97">
        <f>O86/O80</f>
        <v>2.3348126934610693</v>
      </c>
      <c r="K86" s="96" t="s">
        <v>209</v>
      </c>
      <c r="L86" s="97">
        <f t="shared" si="21"/>
        <v>3067.7679169082726</v>
      </c>
      <c r="M86" s="98">
        <f>L86/1000</f>
        <v>3.0677679169082728</v>
      </c>
      <c r="N86" s="97">
        <f t="shared" si="23"/>
        <v>3249.7541492672381</v>
      </c>
      <c r="O86" s="97">
        <f>O80*J51</f>
        <v>41.966729369470215</v>
      </c>
      <c r="P86" s="176"/>
      <c r="Q86" s="97"/>
      <c r="R86" s="96"/>
      <c r="S86" s="97">
        <f>851</f>
        <v>851</v>
      </c>
      <c r="T86" s="96" t="s">
        <v>101</v>
      </c>
      <c r="U86" s="97">
        <f>S86/((18000*I86)/H86)</f>
        <v>3.6610228342749527</v>
      </c>
      <c r="V86" s="174" t="s">
        <v>121</v>
      </c>
      <c r="W86" s="191" t="s">
        <v>68</v>
      </c>
      <c r="X86" s="250"/>
      <c r="Y86" s="157">
        <f>U86*O86</f>
        <v>153.64115450146775</v>
      </c>
      <c r="Z86" s="245"/>
      <c r="AA86" s="245"/>
      <c r="AB86" s="245"/>
    </row>
    <row r="87" spans="1:32" s="99" customFormat="1" ht="17.5">
      <c r="A87" s="242"/>
      <c r="B87" s="96"/>
      <c r="C87" s="96"/>
      <c r="D87" s="96" t="s">
        <v>69</v>
      </c>
      <c r="E87" s="96" t="s">
        <v>70</v>
      </c>
      <c r="F87" s="155" t="s">
        <v>53</v>
      </c>
      <c r="G87" s="96"/>
      <c r="H87" s="96">
        <v>107.16</v>
      </c>
      <c r="I87" s="96">
        <v>0.98899999999999999</v>
      </c>
      <c r="J87" s="97">
        <f>O87/O80</f>
        <v>1.0393107888476854</v>
      </c>
      <c r="K87" s="96"/>
      <c r="L87" s="98">
        <f t="shared" si="21"/>
        <v>2001.8485559486185</v>
      </c>
      <c r="M87" s="98">
        <f t="shared" ref="M87:M91" si="24">L87/1000</f>
        <v>2.0018485559486185</v>
      </c>
      <c r="N87" s="97">
        <f t="shared" si="23"/>
        <v>2024.1138078348013</v>
      </c>
      <c r="O87" s="175">
        <f>O80*J52</f>
        <v>18.680930906575387</v>
      </c>
      <c r="P87" s="168"/>
      <c r="Q87" s="96"/>
      <c r="R87" s="97"/>
      <c r="S87" s="97">
        <f>67.6</f>
        <v>67.599999999999994</v>
      </c>
      <c r="T87" s="96" t="s">
        <v>34</v>
      </c>
      <c r="U87" s="97">
        <f t="shared" ref="U87" si="25">S87/(1000/H87)</f>
        <v>7.2440159999999993</v>
      </c>
      <c r="V87" s="96" t="s">
        <v>71</v>
      </c>
      <c r="W87" s="96" t="s">
        <v>72</v>
      </c>
      <c r="X87" s="250"/>
      <c r="Y87" s="169">
        <f>O87*U87</f>
        <v>135.32496238212659</v>
      </c>
      <c r="Z87" s="245"/>
      <c r="AA87" s="245"/>
      <c r="AB87" s="245"/>
    </row>
    <row r="88" spans="1:32" s="99" customFormat="1" ht="17.5">
      <c r="A88" s="242"/>
      <c r="B88" s="96"/>
      <c r="C88" s="96"/>
      <c r="D88" s="96" t="s">
        <v>168</v>
      </c>
      <c r="E88" s="96" t="s">
        <v>73</v>
      </c>
      <c r="F88" s="155" t="s">
        <v>53</v>
      </c>
      <c r="G88" s="96"/>
      <c r="H88" s="97">
        <v>79.099999999999994</v>
      </c>
      <c r="I88" s="96">
        <v>0.97799999999999998</v>
      </c>
      <c r="J88" s="97">
        <f>O88/O80</f>
        <v>1.0399976107113649</v>
      </c>
      <c r="K88" s="96"/>
      <c r="L88" s="98">
        <f t="shared" si="21"/>
        <v>1478.6381379165935</v>
      </c>
      <c r="M88" s="98">
        <f t="shared" si="24"/>
        <v>1.4786381379165934</v>
      </c>
      <c r="N88" s="97">
        <f t="shared" si="23"/>
        <v>1511.8999365200343</v>
      </c>
      <c r="O88" s="175">
        <f>O80*J53</f>
        <v>18.693276079855796</v>
      </c>
      <c r="P88" s="168"/>
      <c r="Q88" s="96"/>
      <c r="R88" s="97"/>
      <c r="S88" s="97">
        <v>879</v>
      </c>
      <c r="T88" s="96" t="s">
        <v>65</v>
      </c>
      <c r="U88" s="97">
        <f>S88/((8000*I88)/H88)</f>
        <v>8.8866180981595093</v>
      </c>
      <c r="V88" s="96" t="s">
        <v>74</v>
      </c>
      <c r="W88" s="96" t="s">
        <v>75</v>
      </c>
      <c r="X88" s="250"/>
      <c r="Y88" s="169">
        <f>O88*U88</f>
        <v>166.12000552513877</v>
      </c>
      <c r="Z88" s="245"/>
      <c r="AA88" s="245"/>
      <c r="AB88" s="245"/>
    </row>
    <row r="89" spans="1:32" s="99" customFormat="1">
      <c r="A89" s="242"/>
      <c r="B89" s="11"/>
      <c r="C89" s="11"/>
      <c r="D89" s="96" t="s">
        <v>76</v>
      </c>
      <c r="E89" s="96" t="s">
        <v>77</v>
      </c>
      <c r="F89" s="155" t="s">
        <v>53</v>
      </c>
      <c r="G89" s="96"/>
      <c r="H89" s="96">
        <v>36.46</v>
      </c>
      <c r="I89" s="96">
        <v>1.19</v>
      </c>
      <c r="J89" s="97">
        <f>O89/O80</f>
        <v>88.515430215847005</v>
      </c>
      <c r="K89" s="96" t="s">
        <v>78</v>
      </c>
      <c r="L89" s="97">
        <f t="shared" si="21"/>
        <v>58008.111564420193</v>
      </c>
      <c r="M89" s="98">
        <f t="shared" si="24"/>
        <v>58.00811156442019</v>
      </c>
      <c r="N89" s="97">
        <f t="shared" si="23"/>
        <v>48746.31223900857</v>
      </c>
      <c r="O89" s="97">
        <f>O80*J54</f>
        <v>1591.0068997372516</v>
      </c>
      <c r="P89" s="168"/>
      <c r="Q89" s="96"/>
      <c r="R89" s="97"/>
      <c r="S89" s="97">
        <v>383</v>
      </c>
      <c r="T89" s="96" t="s">
        <v>123</v>
      </c>
      <c r="U89" s="97">
        <f>S89/((1500*I89)/H89)</f>
        <v>7.8230700280112044</v>
      </c>
      <c r="V89" s="96" t="s">
        <v>122</v>
      </c>
      <c r="W89" s="96" t="s">
        <v>79</v>
      </c>
      <c r="X89" s="250"/>
      <c r="Y89" s="169">
        <f>O89*U89</f>
        <v>12446.558391693521</v>
      </c>
      <c r="Z89" s="245"/>
      <c r="AA89" s="245"/>
      <c r="AB89" s="245"/>
    </row>
    <row r="90" spans="1:32" s="99" customFormat="1" ht="17.5">
      <c r="A90" s="242"/>
      <c r="B90"/>
      <c r="C90"/>
      <c r="D90" s="96" t="s">
        <v>80</v>
      </c>
      <c r="E90" s="96" t="s">
        <v>81</v>
      </c>
      <c r="F90" s="155" t="s">
        <v>53</v>
      </c>
      <c r="H90" s="96">
        <v>105.99</v>
      </c>
      <c r="I90" s="96">
        <v>2.54</v>
      </c>
      <c r="J90" s="97">
        <f>O90/O80</f>
        <v>64.991642366778279</v>
      </c>
      <c r="L90" s="97">
        <f t="shared" si="21"/>
        <v>123815.63308708178</v>
      </c>
      <c r="M90" s="98">
        <f t="shared" si="24"/>
        <v>123.81563308708178</v>
      </c>
      <c r="N90" s="97">
        <f t="shared" si="23"/>
        <v>48746.31223900857</v>
      </c>
      <c r="O90" s="97">
        <f>O80*J55</f>
        <v>1168.1822161249343</v>
      </c>
      <c r="P90" s="156"/>
      <c r="S90" s="97">
        <f>451</f>
        <v>451</v>
      </c>
      <c r="T90" s="96" t="s">
        <v>126</v>
      </c>
      <c r="U90" s="97">
        <f>S90/(12000/H90)</f>
        <v>3.9834574999999997</v>
      </c>
      <c r="V90" s="96" t="s">
        <v>125</v>
      </c>
      <c r="W90" s="96" t="s">
        <v>124</v>
      </c>
      <c r="X90" s="250"/>
      <c r="Y90" s="169">
        <f>O90*U90</f>
        <v>4653.4042101894902</v>
      </c>
      <c r="Z90" s="245"/>
      <c r="AA90" s="245"/>
      <c r="AB90" s="245"/>
    </row>
    <row r="91" spans="1:32" ht="17.5">
      <c r="A91" s="242"/>
      <c r="B91" s="21"/>
      <c r="C91" s="21"/>
      <c r="D91" s="21" t="s">
        <v>37</v>
      </c>
      <c r="E91" s="21" t="s">
        <v>38</v>
      </c>
      <c r="F91" s="48" t="s">
        <v>37</v>
      </c>
      <c r="G91" s="21"/>
      <c r="H91" s="21">
        <v>18.02</v>
      </c>
      <c r="I91" s="20">
        <v>1</v>
      </c>
      <c r="J91" s="20">
        <f>O91/O80</f>
        <v>501.66366434894661</v>
      </c>
      <c r="K91" s="21"/>
      <c r="L91" s="20">
        <f t="shared" si="21"/>
        <v>162487.7074633619</v>
      </c>
      <c r="M91" s="84">
        <f t="shared" si="24"/>
        <v>162.48770746336191</v>
      </c>
      <c r="N91" s="20">
        <f t="shared" si="23"/>
        <v>162487.7074633619</v>
      </c>
      <c r="O91" s="20">
        <f>O80*J56</f>
        <v>9017.0758858691406</v>
      </c>
      <c r="P91" s="58"/>
      <c r="Q91" s="21"/>
      <c r="R91" s="20"/>
      <c r="S91" s="20">
        <f>285</f>
        <v>285</v>
      </c>
      <c r="T91" s="20" t="s">
        <v>58</v>
      </c>
      <c r="U91" s="20">
        <f>S91/((16000*I91)/H91)</f>
        <v>0.32098125</v>
      </c>
      <c r="V91" s="21" t="s">
        <v>112</v>
      </c>
      <c r="W91" s="21" t="s">
        <v>82</v>
      </c>
      <c r="X91" s="250"/>
      <c r="Y91" s="22">
        <f t="shared" ref="Y91" si="26">U91*O91</f>
        <v>2894.3122891911339</v>
      </c>
      <c r="Z91" s="245"/>
      <c r="AA91" s="245"/>
      <c r="AB91" s="245"/>
    </row>
    <row r="92" spans="1:32" ht="16.5">
      <c r="A92" s="243"/>
      <c r="B92" s="43"/>
      <c r="C92" s="222" t="s">
        <v>234</v>
      </c>
      <c r="D92" s="43"/>
      <c r="E92" s="78" t="s">
        <v>83</v>
      </c>
      <c r="F92" s="79" t="s">
        <v>47</v>
      </c>
      <c r="G92" s="79" t="s">
        <v>84</v>
      </c>
      <c r="H92" s="45">
        <v>291.3</v>
      </c>
      <c r="I92" s="43"/>
      <c r="J92" s="43"/>
      <c r="K92" s="43"/>
      <c r="L92" s="45"/>
      <c r="M92" s="45"/>
      <c r="N92" s="43"/>
      <c r="O92" s="45"/>
      <c r="P92" s="89">
        <f>R92*H92</f>
        <v>2984.4782541877985</v>
      </c>
      <c r="Q92" s="146">
        <f>P92/1000</f>
        <v>2.9844782541877986</v>
      </c>
      <c r="R92" s="95">
        <f>O94</f>
        <v>10.245376773730856</v>
      </c>
      <c r="S92" s="43"/>
      <c r="T92" s="43"/>
      <c r="U92" s="43"/>
      <c r="V92" s="43"/>
      <c r="W92" s="43"/>
      <c r="X92" s="251"/>
      <c r="Y92" s="46"/>
      <c r="Z92" s="166" t="s">
        <v>176</v>
      </c>
      <c r="AA92" s="252"/>
      <c r="AB92" s="166" t="s">
        <v>177</v>
      </c>
    </row>
    <row r="93" spans="1:32">
      <c r="A93" s="241" t="s">
        <v>235</v>
      </c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12"/>
      <c r="M93" s="12"/>
      <c r="N93" s="30"/>
      <c r="O93" s="12"/>
      <c r="P93" s="59"/>
      <c r="Q93" s="30"/>
      <c r="R93" s="12"/>
      <c r="S93" s="30"/>
      <c r="T93" s="30"/>
      <c r="U93" s="30"/>
      <c r="V93" s="30"/>
      <c r="W93" s="30"/>
      <c r="X93" s="253">
        <f>R104/O94</f>
        <v>0.75</v>
      </c>
      <c r="Y93" s="33"/>
      <c r="Z93" s="244" t="s">
        <v>128</v>
      </c>
      <c r="AA93" s="244">
        <v>0.1</v>
      </c>
      <c r="AB93" s="244">
        <v>24.15</v>
      </c>
    </row>
    <row r="94" spans="1:32" ht="16.5">
      <c r="A94" s="242"/>
      <c r="B94" s="223" t="s">
        <v>234</v>
      </c>
      <c r="C94" s="27"/>
      <c r="D94" s="201" t="s">
        <v>84</v>
      </c>
      <c r="E94" s="150" t="s">
        <v>83</v>
      </c>
      <c r="F94" s="201" t="s">
        <v>47</v>
      </c>
      <c r="G94" s="82"/>
      <c r="H94" s="142">
        <v>291.3</v>
      </c>
      <c r="I94" s="82"/>
      <c r="J94" s="142">
        <f>O94/O94</f>
        <v>1</v>
      </c>
      <c r="K94" s="82"/>
      <c r="L94" s="202">
        <f>O94*H94</f>
        <v>2984.4782541877985</v>
      </c>
      <c r="M94" s="203">
        <f>L94/1000</f>
        <v>2.9844782541877986</v>
      </c>
      <c r="N94" s="82"/>
      <c r="O94" s="202">
        <v>10.245376773730856</v>
      </c>
      <c r="P94" s="204"/>
      <c r="Q94" s="82"/>
      <c r="R94" s="142"/>
      <c r="S94" s="82"/>
      <c r="T94" s="82"/>
      <c r="U94" s="82"/>
      <c r="V94" s="82"/>
      <c r="W94" s="82"/>
      <c r="X94" s="254"/>
      <c r="Y94" s="28"/>
      <c r="Z94" s="245"/>
      <c r="AA94" s="245"/>
      <c r="AB94" s="245"/>
    </row>
    <row r="95" spans="1:32" s="99" customFormat="1" ht="17.5">
      <c r="A95" s="242"/>
      <c r="B95" s="103"/>
      <c r="C95" s="103"/>
      <c r="D95" s="88" t="s">
        <v>129</v>
      </c>
      <c r="E95" s="88" t="s">
        <v>85</v>
      </c>
      <c r="F95" s="205" t="s">
        <v>42</v>
      </c>
      <c r="G95" s="88"/>
      <c r="H95" s="88">
        <v>72.11</v>
      </c>
      <c r="I95" s="88">
        <v>0.88900000000000001</v>
      </c>
      <c r="J95" s="171">
        <f>O95/O94</f>
        <v>38.763749951479511</v>
      </c>
      <c r="K95" s="88"/>
      <c r="L95" s="171">
        <f>O95*H95</f>
        <v>28638.430500498827</v>
      </c>
      <c r="M95" s="206">
        <f>L95/1000</f>
        <v>28.638430500498828</v>
      </c>
      <c r="N95" s="171">
        <f>L95/I95</f>
        <v>32214.20753711904</v>
      </c>
      <c r="O95" s="171">
        <f>O94*J60</f>
        <v>397.14922341559878</v>
      </c>
      <c r="P95" s="207"/>
      <c r="Q95" s="88"/>
      <c r="R95" s="171"/>
      <c r="S95" s="206">
        <v>6860</v>
      </c>
      <c r="T95" s="88" t="s">
        <v>50</v>
      </c>
      <c r="U95" s="171">
        <f>S95/((200000*I95)/H95)</f>
        <v>2.7821968503937007</v>
      </c>
      <c r="V95" s="208" t="s">
        <v>181</v>
      </c>
      <c r="W95" s="88" t="s">
        <v>86</v>
      </c>
      <c r="X95" s="254"/>
      <c r="Y95" s="169">
        <f t="shared" ref="Y95:Y103" si="27">U95*O95</f>
        <v>1104.9473185231832</v>
      </c>
      <c r="Z95" s="245"/>
      <c r="AA95" s="245"/>
      <c r="AB95" s="245"/>
    </row>
    <row r="96" spans="1:32" s="99" customFormat="1" ht="17.5">
      <c r="A96" s="242"/>
      <c r="B96" s="27"/>
      <c r="C96" s="27"/>
      <c r="D96" s="88" t="s">
        <v>130</v>
      </c>
      <c r="E96" s="88" t="s">
        <v>87</v>
      </c>
      <c r="F96" s="209" t="s">
        <v>53</v>
      </c>
      <c r="G96" s="88"/>
      <c r="H96" s="171">
        <v>37.950000000000003</v>
      </c>
      <c r="I96" s="88">
        <v>0.91700000000000004</v>
      </c>
      <c r="J96" s="171">
        <f>O96/O94</f>
        <v>4.1422309616440538</v>
      </c>
      <c r="K96" s="88" t="s">
        <v>131</v>
      </c>
      <c r="L96" s="171">
        <f>O97*H96</f>
        <v>4837.407155543181</v>
      </c>
      <c r="M96" s="206">
        <f t="shared" ref="M96:M103" si="28">L96/1000</f>
        <v>4.8374071555431808</v>
      </c>
      <c r="N96" s="171">
        <f t="shared" ref="N96:N103" si="29">L96/I96</f>
        <v>5275.253168531277</v>
      </c>
      <c r="O96" s="171">
        <f>O94*J61</f>
        <v>42.438716885856813</v>
      </c>
      <c r="P96" s="207"/>
      <c r="Q96" s="88"/>
      <c r="R96" s="171"/>
      <c r="S96" s="171">
        <v>711</v>
      </c>
      <c r="T96" s="88" t="s">
        <v>88</v>
      </c>
      <c r="U96" s="171">
        <f>S96/(1000/H96)</f>
        <v>26.98245</v>
      </c>
      <c r="V96" s="88" t="s">
        <v>89</v>
      </c>
      <c r="W96" s="210" t="s">
        <v>90</v>
      </c>
      <c r="X96" s="254"/>
      <c r="Y96" s="169">
        <f t="shared" si="27"/>
        <v>1145.1005564367872</v>
      </c>
      <c r="Z96" s="245"/>
      <c r="AA96" s="245"/>
      <c r="AB96" s="245"/>
      <c r="AE96" s="99">
        <f>75%*O94</f>
        <v>7.6840325802981422</v>
      </c>
      <c r="AF96" s="99">
        <f>7.29496764</f>
        <v>7.2949676400000003</v>
      </c>
    </row>
    <row r="97" spans="1:31" s="99" customFormat="1" ht="17.5">
      <c r="A97" s="242"/>
      <c r="B97" s="27"/>
      <c r="C97" s="27"/>
      <c r="D97" s="88" t="s">
        <v>91</v>
      </c>
      <c r="E97" s="88" t="s">
        <v>92</v>
      </c>
      <c r="F97" s="209" t="s">
        <v>53</v>
      </c>
      <c r="G97" s="88"/>
      <c r="H97" s="171">
        <v>98.07</v>
      </c>
      <c r="I97" s="171">
        <v>1.84</v>
      </c>
      <c r="J97" s="171">
        <f>O97/O94</f>
        <v>12.441505281074891</v>
      </c>
      <c r="K97" s="88" t="s">
        <v>131</v>
      </c>
      <c r="L97" s="171">
        <f t="shared" ref="L97:L103" si="30">O97*H97</f>
        <v>12500.777858870084</v>
      </c>
      <c r="M97" s="206">
        <f t="shared" si="28"/>
        <v>12.500777858870084</v>
      </c>
      <c r="N97" s="171">
        <f t="shared" si="29"/>
        <v>6793.9010102554803</v>
      </c>
      <c r="O97" s="171">
        <f>O94*J62</f>
        <v>127.46790923697446</v>
      </c>
      <c r="P97" s="207"/>
      <c r="Q97" s="88"/>
      <c r="R97" s="171"/>
      <c r="S97" s="88">
        <v>105</v>
      </c>
      <c r="T97" s="88" t="s">
        <v>132</v>
      </c>
      <c r="U97" s="171">
        <f>S97/((2500*I97)/H97)</f>
        <v>2.2385543478260868</v>
      </c>
      <c r="V97" s="88" t="s">
        <v>133</v>
      </c>
      <c r="W97" s="88" t="s">
        <v>93</v>
      </c>
      <c r="X97" s="254"/>
      <c r="Y97" s="169">
        <f t="shared" si="27"/>
        <v>285.34384243073021</v>
      </c>
      <c r="Z97" s="245"/>
      <c r="AA97" s="245"/>
      <c r="AB97" s="245"/>
    </row>
    <row r="98" spans="1:31" ht="17.5">
      <c r="A98" s="242"/>
      <c r="B98" s="48"/>
      <c r="C98" s="48"/>
      <c r="D98" s="136" t="s">
        <v>37</v>
      </c>
      <c r="E98" s="136" t="s">
        <v>38</v>
      </c>
      <c r="F98" s="211" t="s">
        <v>37</v>
      </c>
      <c r="G98" s="136"/>
      <c r="H98" s="136">
        <v>18.02</v>
      </c>
      <c r="I98" s="135">
        <v>1</v>
      </c>
      <c r="J98" s="135">
        <f>O98/O94</f>
        <v>1274.3916785908195</v>
      </c>
      <c r="K98" s="136"/>
      <c r="L98" s="135">
        <f t="shared" si="30"/>
        <v>235280.34473855406</v>
      </c>
      <c r="M98" s="212">
        <f t="shared" si="28"/>
        <v>235.28034473855408</v>
      </c>
      <c r="N98" s="213">
        <f t="shared" si="29"/>
        <v>235280.34473855406</v>
      </c>
      <c r="O98" s="135">
        <f>O94*J63</f>
        <v>13056.62290447026</v>
      </c>
      <c r="P98" s="214"/>
      <c r="Q98" s="136"/>
      <c r="R98" s="135"/>
      <c r="S98" s="135">
        <f>285</f>
        <v>285</v>
      </c>
      <c r="T98" s="135" t="s">
        <v>58</v>
      </c>
      <c r="U98" s="135">
        <f>S98/((16000*I98)/H98)</f>
        <v>0.32098125</v>
      </c>
      <c r="V98" s="136" t="s">
        <v>112</v>
      </c>
      <c r="W98" s="136" t="s">
        <v>82</v>
      </c>
      <c r="X98" s="254"/>
      <c r="Y98" s="22">
        <f t="shared" si="27"/>
        <v>4190.9311406554943</v>
      </c>
      <c r="Z98" s="245"/>
      <c r="AA98" s="245"/>
      <c r="AB98" s="245"/>
    </row>
    <row r="99" spans="1:31" s="99" customFormat="1">
      <c r="A99" s="242"/>
      <c r="B99" s="27"/>
      <c r="C99" s="27"/>
      <c r="D99" s="88" t="s">
        <v>94</v>
      </c>
      <c r="E99" s="88" t="s">
        <v>95</v>
      </c>
      <c r="F99" s="209" t="s">
        <v>53</v>
      </c>
      <c r="G99" s="88"/>
      <c r="H99" s="171">
        <v>40</v>
      </c>
      <c r="I99" s="88">
        <v>2.13</v>
      </c>
      <c r="J99" s="171">
        <f>O99/O94</f>
        <v>11.400561590812032</v>
      </c>
      <c r="K99" s="88"/>
      <c r="L99" s="171">
        <f t="shared" si="30"/>
        <v>4672.1219571997481</v>
      </c>
      <c r="M99" s="206">
        <f t="shared" si="28"/>
        <v>4.6721219571997477</v>
      </c>
      <c r="N99" s="171">
        <f t="shared" si="29"/>
        <v>2193.4844869482386</v>
      </c>
      <c r="O99" s="171">
        <f>O94*J64</f>
        <v>116.80304892999369</v>
      </c>
      <c r="P99" s="207"/>
      <c r="Q99" s="88"/>
      <c r="R99" s="171"/>
      <c r="S99" s="171">
        <v>1060</v>
      </c>
      <c r="T99" s="88" t="s">
        <v>134</v>
      </c>
      <c r="U99" s="171">
        <f>S99/(50000/H99)</f>
        <v>0.84799999999999998</v>
      </c>
      <c r="V99" s="88" t="s">
        <v>135</v>
      </c>
      <c r="W99" s="88" t="s">
        <v>96</v>
      </c>
      <c r="X99" s="254"/>
      <c r="Y99" s="169">
        <f t="shared" si="27"/>
        <v>99.048985492634642</v>
      </c>
      <c r="Z99" s="245"/>
      <c r="AA99" s="245"/>
      <c r="AB99" s="245"/>
      <c r="AE99" s="99">
        <f>1000/130.14</f>
        <v>7.6840325802981413</v>
      </c>
    </row>
    <row r="100" spans="1:31" s="99" customFormat="1" ht="17.5">
      <c r="A100" s="242"/>
      <c r="B100" s="27"/>
      <c r="C100" s="27"/>
      <c r="D100" s="88" t="s">
        <v>169</v>
      </c>
      <c r="E100" s="88" t="s">
        <v>97</v>
      </c>
      <c r="F100" s="205" t="s">
        <v>42</v>
      </c>
      <c r="G100" s="88"/>
      <c r="H100" s="88">
        <v>92.14</v>
      </c>
      <c r="I100" s="88">
        <v>0.86499999999999999</v>
      </c>
      <c r="J100" s="171">
        <f>O100/O94</f>
        <v>256.67854999116042</v>
      </c>
      <c r="K100" s="88"/>
      <c r="L100" s="171">
        <f t="shared" si="30"/>
        <v>242306.86538789535</v>
      </c>
      <c r="M100" s="206">
        <f t="shared" si="28"/>
        <v>242.30686538789536</v>
      </c>
      <c r="N100" s="171">
        <f t="shared" si="29"/>
        <v>280123.54380103509</v>
      </c>
      <c r="O100" s="171">
        <f>O94*J65</f>
        <v>2629.7684543943492</v>
      </c>
      <c r="P100" s="207"/>
      <c r="Q100" s="88"/>
      <c r="R100" s="171"/>
      <c r="S100" s="171">
        <f>1800</f>
        <v>1800</v>
      </c>
      <c r="T100" s="88" t="s">
        <v>50</v>
      </c>
      <c r="U100" s="171">
        <f>S100/((200000*I100)/H100)</f>
        <v>0.95868208092485552</v>
      </c>
      <c r="V100" s="208" t="s">
        <v>178</v>
      </c>
      <c r="W100" s="88" t="s">
        <v>98</v>
      </c>
      <c r="X100" s="254"/>
      <c r="Y100" s="169">
        <f t="shared" si="27"/>
        <v>2521.1118942093158</v>
      </c>
      <c r="Z100" s="245"/>
      <c r="AA100" s="245"/>
      <c r="AB100" s="245"/>
      <c r="AE100" s="99">
        <f>AE99/75%</f>
        <v>10.245376773730856</v>
      </c>
    </row>
    <row r="101" spans="1:31" s="99" customFormat="1" ht="17.5">
      <c r="A101" s="242"/>
      <c r="B101" s="27"/>
      <c r="C101" s="27"/>
      <c r="D101" s="88" t="s">
        <v>118</v>
      </c>
      <c r="E101" s="215" t="s">
        <v>99</v>
      </c>
      <c r="F101" s="205" t="s">
        <v>42</v>
      </c>
      <c r="G101" s="88"/>
      <c r="H101" s="88">
        <v>84.93</v>
      </c>
      <c r="I101" s="171">
        <v>1.325</v>
      </c>
      <c r="J101" s="171">
        <f>O101/O94</f>
        <v>106.63909249625436</v>
      </c>
      <c r="K101" s="88"/>
      <c r="L101" s="171">
        <f t="shared" si="30"/>
        <v>92790.923884092874</v>
      </c>
      <c r="M101" s="206">
        <f t="shared" si="28"/>
        <v>92.790923884092877</v>
      </c>
      <c r="N101" s="171">
        <f t="shared" si="29"/>
        <v>70030.885950258773</v>
      </c>
      <c r="O101" s="171">
        <f>O94*J66</f>
        <v>1092.5576814328608</v>
      </c>
      <c r="P101" s="207"/>
      <c r="Q101" s="88"/>
      <c r="R101" s="171"/>
      <c r="S101" s="171">
        <f>701</f>
        <v>701</v>
      </c>
      <c r="T101" s="88" t="s">
        <v>43</v>
      </c>
      <c r="U101" s="171">
        <f>S101/((20000*I101)/H101)</f>
        <v>2.2466388679245286</v>
      </c>
      <c r="V101" s="88" t="s">
        <v>120</v>
      </c>
      <c r="W101" s="88" t="s">
        <v>66</v>
      </c>
      <c r="X101" s="254"/>
      <c r="Y101" s="169">
        <f t="shared" si="27"/>
        <v>2454.5825525565701</v>
      </c>
      <c r="Z101" s="245"/>
      <c r="AA101" s="245"/>
      <c r="AB101" s="245"/>
      <c r="AE101" s="99">
        <f>AE100/57%</f>
        <v>17.974345217071679</v>
      </c>
    </row>
    <row r="102" spans="1:31" s="99" customFormat="1" ht="17.5">
      <c r="A102" s="242"/>
      <c r="B102" s="27"/>
      <c r="C102" s="27"/>
      <c r="D102" s="88" t="s">
        <v>136</v>
      </c>
      <c r="E102" s="88" t="s">
        <v>100</v>
      </c>
      <c r="F102" s="205" t="s">
        <v>42</v>
      </c>
      <c r="G102" s="88"/>
      <c r="H102" s="88">
        <v>88.11</v>
      </c>
      <c r="I102" s="88">
        <v>0.90200000000000002</v>
      </c>
      <c r="J102" s="171">
        <f>O102/O94</f>
        <v>27.990007445710393</v>
      </c>
      <c r="K102" s="88"/>
      <c r="L102" s="171">
        <f t="shared" si="30"/>
        <v>25267.14365085337</v>
      </c>
      <c r="M102" s="206">
        <f t="shared" si="28"/>
        <v>25.26714365085337</v>
      </c>
      <c r="N102" s="171">
        <f t="shared" si="29"/>
        <v>28012.354380103512</v>
      </c>
      <c r="O102" s="171">
        <f>O94*J67</f>
        <v>286.76817218083499</v>
      </c>
      <c r="P102" s="207"/>
      <c r="Q102" s="88"/>
      <c r="R102" s="171"/>
      <c r="S102" s="171">
        <v>3650</v>
      </c>
      <c r="T102" s="88" t="s">
        <v>50</v>
      </c>
      <c r="U102" s="171">
        <f>S102/((200000*I102)/H102)</f>
        <v>1.7827134146341463</v>
      </c>
      <c r="V102" s="88" t="s">
        <v>137</v>
      </c>
      <c r="W102" s="88" t="s">
        <v>102</v>
      </c>
      <c r="X102" s="254"/>
      <c r="Y102" s="169">
        <f t="shared" si="27"/>
        <v>511.22546743688918</v>
      </c>
      <c r="Z102" s="245"/>
      <c r="AA102" s="245"/>
      <c r="AB102" s="245"/>
      <c r="AE102" s="99">
        <f>AE101/97%</f>
        <v>18.530252801104826</v>
      </c>
    </row>
    <row r="103" spans="1:31" s="99" customFormat="1" ht="17.5">
      <c r="A103" s="242"/>
      <c r="B103" s="49"/>
      <c r="C103" s="49"/>
      <c r="D103" s="217" t="s">
        <v>103</v>
      </c>
      <c r="E103" s="217" t="s">
        <v>104</v>
      </c>
      <c r="F103" s="216" t="s">
        <v>33</v>
      </c>
      <c r="G103" s="217"/>
      <c r="H103" s="217">
        <v>60.08</v>
      </c>
      <c r="I103" s="217">
        <v>0.7</v>
      </c>
      <c r="J103" s="218">
        <f>O103/O94</f>
        <v>0.7</v>
      </c>
      <c r="K103" s="217"/>
      <c r="L103" s="218">
        <f t="shared" si="30"/>
        <v>430.8795655960248</v>
      </c>
      <c r="M103" s="219">
        <f t="shared" si="28"/>
        <v>0.4308795655960248</v>
      </c>
      <c r="N103" s="218">
        <f t="shared" si="29"/>
        <v>615.5422365657497</v>
      </c>
      <c r="O103" s="218">
        <f>O94*I68</f>
        <v>7.1717637416115982</v>
      </c>
      <c r="P103" s="220"/>
      <c r="Q103" s="217"/>
      <c r="R103" s="218"/>
      <c r="S103" s="218">
        <v>3160</v>
      </c>
      <c r="T103" s="217" t="s">
        <v>105</v>
      </c>
      <c r="U103" s="218">
        <f>S103/(25000/H103)</f>
        <v>7.5941119999999991</v>
      </c>
      <c r="V103" s="217" t="s">
        <v>106</v>
      </c>
      <c r="W103" s="217" t="s">
        <v>107</v>
      </c>
      <c r="X103" s="254"/>
      <c r="Y103" s="188">
        <f t="shared" si="27"/>
        <v>54.463177091337528</v>
      </c>
      <c r="Z103" s="245"/>
      <c r="AA103" s="245"/>
      <c r="AB103" s="245"/>
    </row>
    <row r="104" spans="1:31" ht="17.5">
      <c r="A104" s="243"/>
      <c r="B104" s="44"/>
      <c r="C104" s="222" t="s">
        <v>236</v>
      </c>
      <c r="D104" s="43"/>
      <c r="E104" s="43" t="s">
        <v>108</v>
      </c>
      <c r="F104" s="44" t="s">
        <v>166</v>
      </c>
      <c r="G104" s="43" t="s">
        <v>109</v>
      </c>
      <c r="H104" s="45">
        <v>130.13999999999999</v>
      </c>
      <c r="I104" s="43"/>
      <c r="J104" s="43"/>
      <c r="K104" s="50">
        <v>0.96799999999999997</v>
      </c>
      <c r="L104" s="45"/>
      <c r="M104" s="45"/>
      <c r="N104" s="43"/>
      <c r="O104" s="45"/>
      <c r="P104" s="198">
        <f>R104*H104</f>
        <v>1000</v>
      </c>
      <c r="Q104" s="189">
        <f>P104/1000</f>
        <v>1</v>
      </c>
      <c r="R104" s="199">
        <v>7.6840325802981413</v>
      </c>
      <c r="S104" s="43"/>
      <c r="T104" s="43"/>
      <c r="U104" s="43"/>
      <c r="V104" s="43"/>
      <c r="W104" s="43"/>
      <c r="X104" s="255"/>
      <c r="Y104" s="46"/>
      <c r="Z104" s="200" t="s">
        <v>175</v>
      </c>
      <c r="AA104" s="252"/>
      <c r="AB104" s="200" t="s">
        <v>174</v>
      </c>
    </row>
    <row r="105" spans="1:31">
      <c r="W105" s="160" t="s">
        <v>162</v>
      </c>
      <c r="X105" s="161">
        <f>X93*X79*X74</f>
        <v>0.4146749999999999</v>
      </c>
      <c r="Y105" s="221">
        <f>(Y74+SUM(Y76:Y77) + SUM(Y81:Y91) + SUM(Y95:Y102))/10</f>
        <v>5280.8514381491696</v>
      </c>
      <c r="AB105" s="11"/>
    </row>
    <row r="106" spans="1:31">
      <c r="M106" s="112"/>
      <c r="X106" s="11"/>
      <c r="Y106" s="23"/>
      <c r="Z106" s="11"/>
    </row>
    <row r="107" spans="1:31">
      <c r="A107" s="246" t="s">
        <v>164</v>
      </c>
      <c r="B107" s="247"/>
      <c r="C107" s="247"/>
      <c r="D107" s="248"/>
      <c r="M107" s="112"/>
      <c r="P107" s="99"/>
      <c r="W107" t="s">
        <v>228</v>
      </c>
      <c r="X107" s="92"/>
      <c r="Y107" s="13">
        <f>(Y77+Y81+Y85+Y95+Y100+Y101+Y102)/10</f>
        <v>1853.3338781209968</v>
      </c>
      <c r="Z107">
        <f>10%*Y107</f>
        <v>185.33338781209969</v>
      </c>
      <c r="AA107" s="92">
        <f>Y107-Z107</f>
        <v>1668.000490308897</v>
      </c>
    </row>
    <row r="108" spans="1:31">
      <c r="A108" s="10" t="s">
        <v>139</v>
      </c>
      <c r="B108" s="10" t="s">
        <v>6</v>
      </c>
      <c r="C108" s="10" t="s">
        <v>140</v>
      </c>
      <c r="D108" s="10" t="s">
        <v>141</v>
      </c>
      <c r="M108" s="112"/>
      <c r="W108" t="s">
        <v>37</v>
      </c>
      <c r="X108" s="92"/>
      <c r="Y108" s="13">
        <f>(Y98+Y91+Y76)/10</f>
        <v>1420.9402656125651</v>
      </c>
      <c r="Z108" s="92"/>
    </row>
    <row r="109" spans="1:31">
      <c r="A109" s="241" t="s">
        <v>237</v>
      </c>
      <c r="B109" s="110" t="s">
        <v>211</v>
      </c>
      <c r="C109" s="104">
        <f>M74</f>
        <v>4.2658494973423418</v>
      </c>
      <c r="D109" s="33"/>
      <c r="W109" s="99" t="s">
        <v>229</v>
      </c>
      <c r="X109" s="224"/>
      <c r="Y109" s="97">
        <f>Y105-AA107-Y108</f>
        <v>2191.9106822277072</v>
      </c>
    </row>
    <row r="110" spans="1:31">
      <c r="A110" s="242"/>
      <c r="B110" s="108" t="s">
        <v>42</v>
      </c>
      <c r="C110" s="40">
        <f>M77</f>
        <v>40.762561863493502</v>
      </c>
      <c r="D110" s="28"/>
      <c r="W110" s="99" t="s">
        <v>230</v>
      </c>
      <c r="X110" s="227"/>
      <c r="Y110" s="181">
        <f>Y105-Y107-Y108</f>
        <v>2006.5772944156076</v>
      </c>
      <c r="Z110" s="27"/>
    </row>
    <row r="111" spans="1:31">
      <c r="A111" s="242"/>
      <c r="B111" s="165" t="s">
        <v>53</v>
      </c>
      <c r="C111" s="40">
        <f>0</f>
        <v>0</v>
      </c>
      <c r="D111" s="28"/>
    </row>
    <row r="112" spans="1:31">
      <c r="A112" s="242"/>
      <c r="B112" s="109" t="s">
        <v>37</v>
      </c>
      <c r="C112" s="40">
        <f>M76</f>
        <v>399.95279866829594</v>
      </c>
      <c r="D112" s="26"/>
      <c r="Y112" s="92"/>
    </row>
    <row r="113" spans="1:5">
      <c r="A113" s="243"/>
      <c r="B113" s="111" t="s">
        <v>47</v>
      </c>
      <c r="C113" s="105" t="s">
        <v>111</v>
      </c>
      <c r="D113" s="106">
        <f>Q78</f>
        <v>3.12951324574435</v>
      </c>
      <c r="E113" s="92"/>
    </row>
    <row r="114" spans="1:5">
      <c r="A114" s="241" t="s">
        <v>233</v>
      </c>
      <c r="B114" s="107" t="s">
        <v>47</v>
      </c>
      <c r="C114" s="104">
        <f>M80</f>
        <v>3.12951324574435</v>
      </c>
      <c r="D114" s="33"/>
    </row>
    <row r="115" spans="1:5">
      <c r="A115" s="242"/>
      <c r="B115" s="108" t="s">
        <v>42</v>
      </c>
      <c r="C115" s="40">
        <f>M81+M85</f>
        <v>267.36595915315502</v>
      </c>
      <c r="D115" s="28"/>
    </row>
    <row r="116" spans="1:5">
      <c r="A116" s="242"/>
      <c r="B116" s="165" t="s">
        <v>53</v>
      </c>
      <c r="C116" s="40">
        <f>M82+M89+M90+M84+M83+M87+M88</f>
        <v>193.01442905270284</v>
      </c>
      <c r="D116" s="28"/>
      <c r="E116" s="92"/>
    </row>
    <row r="117" spans="1:5">
      <c r="A117" s="242"/>
      <c r="B117" s="109" t="s">
        <v>37</v>
      </c>
      <c r="C117" s="40">
        <f>M91</f>
        <v>162.48770746336191</v>
      </c>
      <c r="D117" s="26"/>
    </row>
    <row r="118" spans="1:5">
      <c r="A118" s="243"/>
      <c r="B118" s="111" t="s">
        <v>47</v>
      </c>
      <c r="C118" s="106" t="s">
        <v>111</v>
      </c>
      <c r="D118" s="106">
        <f>Q92</f>
        <v>2.9844782541877986</v>
      </c>
      <c r="E118" s="92"/>
    </row>
    <row r="119" spans="1:5">
      <c r="A119" s="241" t="s">
        <v>235</v>
      </c>
      <c r="B119" s="107" t="s">
        <v>47</v>
      </c>
      <c r="C119" s="104">
        <f>M94</f>
        <v>2.9844782541877986</v>
      </c>
      <c r="D119" s="33"/>
    </row>
    <row r="120" spans="1:5">
      <c r="A120" s="242"/>
      <c r="B120" s="108" t="s">
        <v>42</v>
      </c>
      <c r="C120" s="40">
        <f>M95+M100+M101+M102</f>
        <v>389.00336342334043</v>
      </c>
      <c r="D120" s="28"/>
    </row>
    <row r="121" spans="1:5">
      <c r="A121" s="242"/>
      <c r="B121" s="165" t="s">
        <v>53</v>
      </c>
      <c r="C121" s="40">
        <f>M96+M97+M99</f>
        <v>22.010306971613012</v>
      </c>
      <c r="D121" s="28"/>
    </row>
    <row r="122" spans="1:5">
      <c r="A122" s="242"/>
      <c r="B122" s="109" t="s">
        <v>37</v>
      </c>
      <c r="C122" s="40">
        <f>M98</f>
        <v>235.28034473855408</v>
      </c>
      <c r="D122" s="26"/>
    </row>
    <row r="123" spans="1:5">
      <c r="A123" s="243"/>
      <c r="B123" s="44" t="s">
        <v>113</v>
      </c>
      <c r="C123" s="105" t="s">
        <v>111</v>
      </c>
      <c r="D123" s="106">
        <f>Q104</f>
        <v>1</v>
      </c>
      <c r="E123" s="92"/>
    </row>
    <row r="124" spans="1:5">
      <c r="C124" s="92"/>
    </row>
  </sheetData>
  <mergeCells count="55">
    <mergeCell ref="AD32:AF32"/>
    <mergeCell ref="AD38:AF38"/>
    <mergeCell ref="A1:AB1"/>
    <mergeCell ref="A2:AB2"/>
    <mergeCell ref="A4:A8"/>
    <mergeCell ref="X4:X8"/>
    <mergeCell ref="Z4:Z8"/>
    <mergeCell ref="AA4:AA8"/>
    <mergeCell ref="AB4:AB8"/>
    <mergeCell ref="A23:A34"/>
    <mergeCell ref="X23:X34"/>
    <mergeCell ref="AA23:AA34"/>
    <mergeCell ref="Z23:Z33"/>
    <mergeCell ref="AB23:AB33"/>
    <mergeCell ref="A9:A22"/>
    <mergeCell ref="X9:X22"/>
    <mergeCell ref="AA9:AA22"/>
    <mergeCell ref="Z9:Z21"/>
    <mergeCell ref="AB9:AB21"/>
    <mergeCell ref="A37:AB37"/>
    <mergeCell ref="A39:A43"/>
    <mergeCell ref="X39:X43"/>
    <mergeCell ref="Z39:Z43"/>
    <mergeCell ref="AA39:AA43"/>
    <mergeCell ref="AB39:AB43"/>
    <mergeCell ref="A58:A69"/>
    <mergeCell ref="X58:X69"/>
    <mergeCell ref="AA58:AA69"/>
    <mergeCell ref="Z58:Z68"/>
    <mergeCell ref="AB58:AB68"/>
    <mergeCell ref="A44:A57"/>
    <mergeCell ref="X44:X57"/>
    <mergeCell ref="AA44:AA57"/>
    <mergeCell ref="Z44:Z56"/>
    <mergeCell ref="AB44:AB56"/>
    <mergeCell ref="A72:AB72"/>
    <mergeCell ref="A74:A78"/>
    <mergeCell ref="X74:X78"/>
    <mergeCell ref="Z74:Z78"/>
    <mergeCell ref="AA74:AA78"/>
    <mergeCell ref="AB74:AB78"/>
    <mergeCell ref="A109:A113"/>
    <mergeCell ref="A114:A118"/>
    <mergeCell ref="A119:A123"/>
    <mergeCell ref="A79:A92"/>
    <mergeCell ref="AB93:AB103"/>
    <mergeCell ref="Z93:Z103"/>
    <mergeCell ref="Z79:Z91"/>
    <mergeCell ref="AB79:AB91"/>
    <mergeCell ref="A107:D107"/>
    <mergeCell ref="X79:X92"/>
    <mergeCell ref="AA79:AA92"/>
    <mergeCell ref="A93:A104"/>
    <mergeCell ref="X93:X104"/>
    <mergeCell ref="AA93:AA104"/>
  </mergeCells>
  <phoneticPr fontId="30" type="noConversion"/>
  <hyperlinks>
    <hyperlink ref="W4" r:id="rId1"/>
    <hyperlink ref="W5" r:id="rId2"/>
    <hyperlink ref="W39" r:id="rId3"/>
    <hyperlink ref="W40" r:id="rId4"/>
    <hyperlink ref="W74" r:id="rId5"/>
    <hyperlink ref="W75" r:id="rId6"/>
  </hyperlinks>
  <pageMargins left="0.7" right="0.7" top="0.75" bottom="0.75" header="0.3" footer="0.3"/>
  <drawing r:id="rId7"/>
  <legacyDrawing r:id="rId8"/>
  <oleObjects>
    <mc:AlternateContent xmlns:mc="http://schemas.openxmlformats.org/markup-compatibility/2006">
      <mc:Choice Requires="x14">
        <oleObject progId="ChemDraw.Document.6.0" shapeId="1040" r:id="rId9">
          <objectPr defaultSize="0" autoPict="0" r:id="rId10">
            <anchor moveWithCells="1">
              <from>
                <xdr:col>0</xdr:col>
                <xdr:colOff>38100</xdr:colOff>
                <xdr:row>127</xdr:row>
                <xdr:rowOff>203200</xdr:rowOff>
              </from>
              <to>
                <xdr:col>4</xdr:col>
                <xdr:colOff>1689100</xdr:colOff>
                <xdr:row>139</xdr:row>
                <xdr:rowOff>152400</xdr:rowOff>
              </to>
            </anchor>
          </objectPr>
        </oleObject>
      </mc:Choice>
      <mc:Fallback>
        <oleObject progId="ChemDraw.Document.6.0" shapeId="1040" r:id="rId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75" workbookViewId="0">
      <selection activeCell="A7" sqref="A7"/>
    </sheetView>
  </sheetViews>
  <sheetFormatPr defaultColWidth="11" defaultRowHeight="15.5"/>
  <cols>
    <col min="1" max="1" width="20.6640625" customWidth="1"/>
    <col min="2" max="2" width="38.33203125" customWidth="1"/>
    <col min="3" max="3" width="15.5" customWidth="1"/>
    <col min="4" max="4" width="14.33203125" customWidth="1"/>
    <col min="6" max="6" width="16" bestFit="1" customWidth="1"/>
    <col min="7" max="7" width="22.83203125" customWidth="1"/>
    <col min="8" max="8" width="36.6640625" bestFit="1" customWidth="1"/>
    <col min="9" max="9" width="29.33203125" customWidth="1"/>
    <col min="10" max="10" width="40.6640625" customWidth="1"/>
    <col min="11" max="11" width="34.1640625" customWidth="1"/>
    <col min="12" max="12" width="32.1640625" bestFit="1" customWidth="1"/>
    <col min="13" max="13" width="17.33203125" bestFit="1" customWidth="1"/>
  </cols>
  <sheetData>
    <row r="1" spans="1:13" ht="25.5" thickBot="1">
      <c r="A1" s="266" t="s">
        <v>186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6"/>
    </row>
    <row r="2" spans="1:13">
      <c r="A2" s="265" t="s">
        <v>144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</row>
    <row r="3" spans="1:13">
      <c r="A3" s="10" t="s">
        <v>142</v>
      </c>
      <c r="B3" s="113" t="s">
        <v>212</v>
      </c>
      <c r="C3" s="114" t="s">
        <v>193</v>
      </c>
      <c r="D3" s="173" t="s">
        <v>194</v>
      </c>
      <c r="E3" s="115" t="s">
        <v>195</v>
      </c>
      <c r="F3" s="116" t="s">
        <v>141</v>
      </c>
      <c r="G3" s="10" t="s">
        <v>196</v>
      </c>
      <c r="H3" s="10" t="s">
        <v>197</v>
      </c>
      <c r="I3" s="10" t="s">
        <v>198</v>
      </c>
      <c r="J3" s="10" t="s">
        <v>199</v>
      </c>
      <c r="K3" s="163" t="s">
        <v>200</v>
      </c>
      <c r="L3" s="10" t="s">
        <v>201</v>
      </c>
      <c r="M3" s="10" t="s">
        <v>143</v>
      </c>
    </row>
    <row r="4" spans="1:13">
      <c r="A4" s="27" t="s">
        <v>237</v>
      </c>
      <c r="B4" s="13">
        <f>'One-pot procedure'!C109</f>
        <v>4.2658494973423418</v>
      </c>
      <c r="C4" s="13">
        <f>'One-pot procedure'!C110</f>
        <v>40.762561863493502</v>
      </c>
      <c r="D4" s="13">
        <f>'One-pot procedure'!C111</f>
        <v>0</v>
      </c>
      <c r="E4" s="13">
        <f>'One-pot procedure'!C112</f>
        <v>399.95279866829594</v>
      </c>
      <c r="F4" s="13">
        <f>'One-pot procedure'!D113</f>
        <v>3.12951324574435</v>
      </c>
      <c r="G4" s="13">
        <f>(B4+D4-F4)/F4</f>
        <v>0.36310319285059167</v>
      </c>
      <c r="H4" s="122">
        <f>(B4+D4-F4)/F$7</f>
        <v>1.1363362515979918</v>
      </c>
      <c r="I4" s="13">
        <f>(B4+C4+D4+E4-F4)/F4</f>
        <v>141.18863289178816</v>
      </c>
      <c r="J4" s="13">
        <f>(B4+C4+D4+E4-F4)/F$7</f>
        <v>441.85169678338741</v>
      </c>
      <c r="K4" s="13">
        <f>(B4+D4+0.1*(C4)-F4)/F$7</f>
        <v>5.2125924379473414</v>
      </c>
      <c r="L4" s="13">
        <f>J4+1</f>
        <v>442.85169678338741</v>
      </c>
      <c r="M4" s="28">
        <v>0</v>
      </c>
    </row>
    <row r="5" spans="1:13">
      <c r="A5" s="27" t="s">
        <v>233</v>
      </c>
      <c r="B5" s="13">
        <f>'One-pot procedure'!C114</f>
        <v>3.12951324574435</v>
      </c>
      <c r="C5" s="13">
        <f>'One-pot procedure'!C115</f>
        <v>267.36595915315502</v>
      </c>
      <c r="D5" s="13">
        <f>'One-pot procedure'!C116</f>
        <v>193.01442905270284</v>
      </c>
      <c r="E5" s="13">
        <f>'One-pot procedure'!C117</f>
        <v>162.48770746336191</v>
      </c>
      <c r="F5" s="13">
        <f>'One-pot procedure'!D118</f>
        <v>2.9844782541877986</v>
      </c>
      <c r="G5" s="13">
        <f>(B5+D5-F5)/F5</f>
        <v>64.721350799999769</v>
      </c>
      <c r="H5" s="122">
        <f>(B5+D5-F5)/F$7</f>
        <v>193.15946404425941</v>
      </c>
      <c r="I5" s="13">
        <f t="shared" ref="I5:I6" si="0">(B5+C5+D5+E5-F5)/F5</f>
        <v>208.75110407876775</v>
      </c>
      <c r="J5" s="13">
        <f t="shared" ref="J5:J6" si="1">(B5+C5+D5+E5-F5)/F$7</f>
        <v>623.01313066077626</v>
      </c>
      <c r="K5" s="13">
        <f t="shared" ref="K5:K6" si="2">(B5+D5+0.1*(C5)-F5)/F$7</f>
        <v>219.8960599595749</v>
      </c>
      <c r="L5" s="13">
        <f t="shared" ref="L5:L7" si="3">J5+1</f>
        <v>624.01313066077626</v>
      </c>
      <c r="M5" s="28">
        <v>1</v>
      </c>
    </row>
    <row r="6" spans="1:13">
      <c r="A6" s="27" t="s">
        <v>238</v>
      </c>
      <c r="B6" s="13">
        <f>'One-pot procedure'!C119</f>
        <v>2.9844782541877986</v>
      </c>
      <c r="C6" s="13">
        <f>'One-pot procedure'!C120</f>
        <v>389.00336342334043</v>
      </c>
      <c r="D6" s="13">
        <f>'One-pot procedure'!C121</f>
        <v>22.010306971613012</v>
      </c>
      <c r="E6" s="13">
        <f>'One-pot procedure'!C122</f>
        <v>235.28034473855408</v>
      </c>
      <c r="F6" s="13">
        <f>'One-pot procedure'!D123</f>
        <v>1</v>
      </c>
      <c r="G6" s="13">
        <f>(B6+D6-F6)/F6</f>
        <v>23.994785225800811</v>
      </c>
      <c r="H6" s="122">
        <f>(B6+D6-F6)/F$7</f>
        <v>23.994785225800811</v>
      </c>
      <c r="I6" s="13">
        <f t="shared" si="0"/>
        <v>648.27849338769533</v>
      </c>
      <c r="J6" s="13">
        <f t="shared" si="1"/>
        <v>648.27849338769533</v>
      </c>
      <c r="K6" s="13">
        <f t="shared" si="2"/>
        <v>62.895121568134854</v>
      </c>
      <c r="L6" s="13">
        <f t="shared" si="3"/>
        <v>649.27849338769533</v>
      </c>
      <c r="M6" s="28">
        <v>1</v>
      </c>
    </row>
    <row r="7" spans="1:13">
      <c r="A7" s="117" t="s">
        <v>145</v>
      </c>
      <c r="B7" s="118">
        <f>B4</f>
        <v>4.2658494973423418</v>
      </c>
      <c r="C7" s="118">
        <f>SUM(C4:C6)</f>
        <v>697.13188443998888</v>
      </c>
      <c r="D7" s="118">
        <f>SUM(D4:D6)</f>
        <v>215.02473602431584</v>
      </c>
      <c r="E7" s="118">
        <f>SUM(E4:E6)</f>
        <v>797.72085087021196</v>
      </c>
      <c r="F7" s="118">
        <v>1</v>
      </c>
      <c r="G7" s="119"/>
      <c r="H7" s="123">
        <f>(B7+D7-F7)/F$7</f>
        <v>218.29058552165819</v>
      </c>
      <c r="I7" s="119"/>
      <c r="J7" s="118">
        <f>(B7+C7+D7+E7-F7)/F$7</f>
        <v>1713.143320831859</v>
      </c>
      <c r="K7" s="118">
        <f>(B7+D7+0.1*(C7)-F7)/F$7</f>
        <v>288.00377396565705</v>
      </c>
      <c r="L7" s="118">
        <f t="shared" si="3"/>
        <v>1714.143320831859</v>
      </c>
      <c r="M7" s="121">
        <v>2</v>
      </c>
    </row>
    <row r="10" spans="1:13">
      <c r="A10" s="246" t="s">
        <v>189</v>
      </c>
      <c r="B10" s="247"/>
      <c r="C10" s="247"/>
      <c r="D10" s="248"/>
      <c r="G10" s="277" t="s">
        <v>146</v>
      </c>
      <c r="H10" s="277"/>
      <c r="I10" s="277"/>
    </row>
    <row r="11" spans="1:13">
      <c r="A11" s="113" t="s">
        <v>213</v>
      </c>
      <c r="B11" s="114" t="s">
        <v>193</v>
      </c>
      <c r="C11" s="164" t="s">
        <v>194</v>
      </c>
      <c r="D11" s="115" t="str">
        <f>E3</f>
        <v>Water (kg)</v>
      </c>
      <c r="G11" s="265" t="s">
        <v>190</v>
      </c>
      <c r="H11" s="265"/>
      <c r="I11" s="265"/>
    </row>
    <row r="12" spans="1:13">
      <c r="A12" s="124">
        <f>B7</f>
        <v>4.2658494973423418</v>
      </c>
      <c r="B12" s="124">
        <f>C7</f>
        <v>697.13188443998888</v>
      </c>
      <c r="C12" s="124">
        <f>D7</f>
        <v>215.02473602431584</v>
      </c>
      <c r="D12" s="124">
        <f>E7</f>
        <v>797.72085087021196</v>
      </c>
      <c r="G12" s="10" t="s">
        <v>202</v>
      </c>
      <c r="H12" s="10" t="s">
        <v>203</v>
      </c>
      <c r="I12" s="10" t="s">
        <v>204</v>
      </c>
    </row>
    <row r="13" spans="1:13">
      <c r="G13" s="148">
        <f>H7</f>
        <v>218.29058552165819</v>
      </c>
      <c r="H13" s="148">
        <f>J7</f>
        <v>1713.143320831859</v>
      </c>
      <c r="I13" s="148">
        <f>K7</f>
        <v>288.00377396565705</v>
      </c>
    </row>
    <row r="14" spans="1:13">
      <c r="G14" s="272" t="s">
        <v>147</v>
      </c>
      <c r="H14" s="272"/>
      <c r="I14" s="272"/>
    </row>
    <row r="15" spans="1:13">
      <c r="G15" s="273">
        <f>M7</f>
        <v>2</v>
      </c>
      <c r="H15" s="274"/>
      <c r="I15" s="274"/>
    </row>
  </sheetData>
  <mergeCells count="7">
    <mergeCell ref="G11:I11"/>
    <mergeCell ref="G14:I14"/>
    <mergeCell ref="G15:I15"/>
    <mergeCell ref="A1:M1"/>
    <mergeCell ref="A2:M2"/>
    <mergeCell ref="A10:D10"/>
    <mergeCell ref="G10:I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57"/>
  <sheetViews>
    <sheetView tabSelected="1" topLeftCell="M97" zoomScale="75" zoomScaleNormal="25" workbookViewId="0">
      <selection activeCell="X129" sqref="X129"/>
    </sheetView>
  </sheetViews>
  <sheetFormatPr defaultColWidth="11" defaultRowHeight="15.5"/>
  <cols>
    <col min="2" max="2" width="22.6640625" customWidth="1"/>
    <col min="3" max="3" width="23.5" bestFit="1" customWidth="1"/>
    <col min="4" max="4" width="76" bestFit="1" customWidth="1"/>
    <col min="5" max="5" width="26.1640625" bestFit="1" customWidth="1"/>
    <col min="6" max="6" width="26" bestFit="1" customWidth="1"/>
    <col min="7" max="7" width="70" bestFit="1" customWidth="1"/>
    <col min="8" max="8" width="23" bestFit="1" customWidth="1"/>
    <col min="9" max="9" width="13.33203125" bestFit="1" customWidth="1"/>
    <col min="10" max="10" width="17" bestFit="1" customWidth="1"/>
    <col min="11" max="11" width="13" bestFit="1" customWidth="1"/>
    <col min="12" max="12" width="13.83203125" bestFit="1" customWidth="1"/>
    <col min="13" max="13" width="14.83203125" bestFit="1" customWidth="1"/>
    <col min="14" max="14" width="16.33203125" bestFit="1" customWidth="1"/>
    <col min="16" max="16" width="17.6640625" customWidth="1"/>
    <col min="17" max="17" width="15.5" bestFit="1" customWidth="1"/>
    <col min="18" max="18" width="11.83203125" bestFit="1" customWidth="1"/>
    <col min="19" max="19" width="47.33203125" bestFit="1" customWidth="1"/>
    <col min="20" max="20" width="11.83203125" bestFit="1" customWidth="1"/>
    <col min="21" max="21" width="18.5" bestFit="1" customWidth="1"/>
    <col min="22" max="22" width="25" bestFit="1" customWidth="1"/>
    <col min="23" max="23" width="16.5" bestFit="1" customWidth="1"/>
    <col min="25" max="25" width="17.33203125" bestFit="1" customWidth="1"/>
    <col min="26" max="26" width="17.83203125" customWidth="1"/>
    <col min="27" max="27" width="15.1640625" customWidth="1"/>
    <col min="28" max="28" width="20" customWidth="1"/>
  </cols>
  <sheetData>
    <row r="1" spans="1:28" ht="25.5" thickBot="1">
      <c r="A1" s="266" t="s">
        <v>184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8"/>
    </row>
    <row r="2" spans="1:28">
      <c r="A2" s="269" t="s">
        <v>165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1"/>
    </row>
    <row r="3" spans="1:28">
      <c r="A3" s="1" t="s">
        <v>1</v>
      </c>
      <c r="B3" s="2" t="s">
        <v>2</v>
      </c>
      <c r="C3" s="3" t="s">
        <v>3</v>
      </c>
      <c r="D3" s="4" t="s">
        <v>4</v>
      </c>
      <c r="E3" s="5" t="s">
        <v>5</v>
      </c>
      <c r="F3" s="5" t="s">
        <v>6</v>
      </c>
      <c r="G3" s="5" t="s">
        <v>7</v>
      </c>
      <c r="H3" s="6" t="s">
        <v>8</v>
      </c>
      <c r="I3" s="1" t="s">
        <v>9</v>
      </c>
      <c r="J3" s="1" t="s">
        <v>10</v>
      </c>
      <c r="K3" s="1" t="s">
        <v>11</v>
      </c>
      <c r="L3" s="6" t="s">
        <v>12</v>
      </c>
      <c r="M3" s="7" t="s">
        <v>13</v>
      </c>
      <c r="N3" s="1" t="s">
        <v>14</v>
      </c>
      <c r="O3" s="6" t="s">
        <v>15</v>
      </c>
      <c r="P3" s="51" t="s">
        <v>16</v>
      </c>
      <c r="Q3" s="7" t="s">
        <v>17</v>
      </c>
      <c r="R3" s="1" t="s">
        <v>18</v>
      </c>
      <c r="S3" s="1" t="s">
        <v>19</v>
      </c>
      <c r="T3" s="1" t="s">
        <v>20</v>
      </c>
      <c r="U3" s="1" t="s">
        <v>21</v>
      </c>
      <c r="V3" s="8" t="s">
        <v>22</v>
      </c>
      <c r="W3" s="1" t="s">
        <v>23</v>
      </c>
      <c r="X3" s="1" t="s">
        <v>24</v>
      </c>
      <c r="Y3" s="1" t="s">
        <v>25</v>
      </c>
      <c r="Z3" s="147" t="s">
        <v>26</v>
      </c>
      <c r="AA3" s="1" t="s">
        <v>27</v>
      </c>
      <c r="AB3" s="1" t="s">
        <v>28</v>
      </c>
    </row>
    <row r="4" spans="1:28" ht="17.5">
      <c r="A4" s="286" t="s">
        <v>237</v>
      </c>
      <c r="B4" s="162">
        <v>18</v>
      </c>
      <c r="C4" s="63"/>
      <c r="D4" s="61" t="s">
        <v>29</v>
      </c>
      <c r="E4" s="127" t="s">
        <v>173</v>
      </c>
      <c r="F4" s="128" t="s">
        <v>211</v>
      </c>
      <c r="G4" s="63"/>
      <c r="H4" s="63">
        <v>230.21</v>
      </c>
      <c r="I4" s="63">
        <v>1.98</v>
      </c>
      <c r="J4" s="63">
        <f>O4/O4</f>
        <v>1</v>
      </c>
      <c r="K4" s="63"/>
      <c r="L4" s="61">
        <v>36</v>
      </c>
      <c r="M4" s="69">
        <f>L4/1000</f>
        <v>3.5999999999999997E-2</v>
      </c>
      <c r="N4" s="63">
        <f>L4/I4</f>
        <v>18.181818181818183</v>
      </c>
      <c r="O4" s="61">
        <f>L4/H4</f>
        <v>0.15637895834238302</v>
      </c>
      <c r="P4" s="65"/>
      <c r="Q4" s="63"/>
      <c r="R4" s="63"/>
      <c r="S4" s="63">
        <f>50</f>
        <v>50</v>
      </c>
      <c r="T4" s="63" t="s">
        <v>34</v>
      </c>
      <c r="U4" s="63">
        <f>S4/(1000/H4)</f>
        <v>11.510500000000002</v>
      </c>
      <c r="V4" s="63" t="s">
        <v>30</v>
      </c>
      <c r="W4" s="68" t="s">
        <v>31</v>
      </c>
      <c r="X4" s="263">
        <f>R8/O4</f>
        <v>0.96557697863419678</v>
      </c>
      <c r="Y4" s="66">
        <f>U4*O4</f>
        <v>1.8</v>
      </c>
      <c r="Z4" s="244" t="s">
        <v>114</v>
      </c>
      <c r="AA4" s="244">
        <v>1</v>
      </c>
      <c r="AB4" s="244">
        <v>2</v>
      </c>
    </row>
    <row r="5" spans="1:28">
      <c r="A5" s="259"/>
      <c r="B5" s="129"/>
      <c r="C5" s="129"/>
      <c r="D5" s="130" t="s">
        <v>32</v>
      </c>
      <c r="E5" s="130" t="s">
        <v>111</v>
      </c>
      <c r="F5" s="129" t="s">
        <v>33</v>
      </c>
      <c r="G5" s="130"/>
      <c r="H5" s="130">
        <v>212.82</v>
      </c>
      <c r="I5" s="130"/>
      <c r="J5" s="130">
        <f>O5/O4</f>
        <v>1.5844981061199346</v>
      </c>
      <c r="K5" s="130"/>
      <c r="L5" s="130">
        <v>52.732999999999997</v>
      </c>
      <c r="M5" s="131">
        <f>L5/1000</f>
        <v>5.2732999999999995E-2</v>
      </c>
      <c r="N5" s="130"/>
      <c r="O5" s="130">
        <f>L5/H5</f>
        <v>0.24778216333051403</v>
      </c>
      <c r="P5" s="132"/>
      <c r="Q5" s="130"/>
      <c r="R5" s="130"/>
      <c r="S5" s="130">
        <f>2080*0.078</f>
        <v>162.24</v>
      </c>
      <c r="T5" s="130" t="s">
        <v>34</v>
      </c>
      <c r="U5" s="130">
        <f>S5/(1000/H5)</f>
        <v>34.5279168</v>
      </c>
      <c r="V5" s="133" t="s">
        <v>35</v>
      </c>
      <c r="W5" s="17" t="s">
        <v>36</v>
      </c>
      <c r="X5" s="264"/>
      <c r="Y5" s="18">
        <f>U5*O5</f>
        <v>8.5554019199999995</v>
      </c>
      <c r="Z5" s="245"/>
      <c r="AA5" s="245"/>
      <c r="AB5" s="245"/>
    </row>
    <row r="6" spans="1:28" ht="17.5">
      <c r="A6" s="259"/>
      <c r="B6" s="134"/>
      <c r="C6" s="134"/>
      <c r="D6" s="135" t="s">
        <v>37</v>
      </c>
      <c r="E6" s="136" t="s">
        <v>38</v>
      </c>
      <c r="F6" s="134" t="s">
        <v>37</v>
      </c>
      <c r="G6" s="135"/>
      <c r="H6" s="135">
        <v>18.02</v>
      </c>
      <c r="I6" s="135">
        <v>1</v>
      </c>
      <c r="J6" s="135">
        <f>O6/O4</f>
        <v>1197.7677326393514</v>
      </c>
      <c r="K6" s="135"/>
      <c r="L6" s="135">
        <v>3375.24818</v>
      </c>
      <c r="M6" s="137">
        <f>L6/1000</f>
        <v>3.3752481800000003</v>
      </c>
      <c r="N6" s="135">
        <f>L6/I6</f>
        <v>3375.24818</v>
      </c>
      <c r="O6" s="135">
        <f>L6/H6</f>
        <v>187.3056703662597</v>
      </c>
      <c r="P6" s="138"/>
      <c r="Q6" s="135"/>
      <c r="R6" s="135"/>
      <c r="S6" s="135">
        <f>285</f>
        <v>285</v>
      </c>
      <c r="T6" s="135" t="s">
        <v>58</v>
      </c>
      <c r="U6" s="135">
        <f xml:space="preserve"> S6/((I6*16000)/H6)</f>
        <v>0.32098125</v>
      </c>
      <c r="V6" s="136" t="s">
        <v>112</v>
      </c>
      <c r="W6" s="136" t="s">
        <v>40</v>
      </c>
      <c r="X6" s="264"/>
      <c r="Y6" s="22">
        <f>U6*O6</f>
        <v>60.121608206249995</v>
      </c>
      <c r="Z6" s="245"/>
      <c r="AA6" s="245"/>
      <c r="AB6" s="245"/>
    </row>
    <row r="7" spans="1:28" ht="17.5">
      <c r="A7" s="259"/>
      <c r="B7" s="139"/>
      <c r="C7" s="139"/>
      <c r="D7" s="82" t="s">
        <v>206</v>
      </c>
      <c r="E7" s="140" t="s">
        <v>41</v>
      </c>
      <c r="F7" s="141" t="s">
        <v>42</v>
      </c>
      <c r="G7" s="142"/>
      <c r="H7" s="142">
        <v>86.13</v>
      </c>
      <c r="I7" s="142">
        <v>0.86</v>
      </c>
      <c r="J7" s="142">
        <f>O7/O4</f>
        <v>25.540281486641646</v>
      </c>
      <c r="K7" s="142"/>
      <c r="L7" s="142">
        <v>344</v>
      </c>
      <c r="M7" s="143">
        <f>L7/1000</f>
        <v>0.34399999999999997</v>
      </c>
      <c r="N7" s="142">
        <f>L7/I7</f>
        <v>400</v>
      </c>
      <c r="O7" s="142">
        <f>L7/H7</f>
        <v>3.9939626146522702</v>
      </c>
      <c r="P7" s="144"/>
      <c r="Q7" s="142"/>
      <c r="R7" s="142"/>
      <c r="S7" s="142">
        <f>21394.49*0.078</f>
        <v>1668.7702200000001</v>
      </c>
      <c r="T7" s="142" t="s">
        <v>43</v>
      </c>
      <c r="U7" s="142">
        <f>S7/((20000*I7)/H7)</f>
        <v>8.3564638981744199</v>
      </c>
      <c r="V7" s="82" t="s">
        <v>44</v>
      </c>
      <c r="W7" s="82" t="s">
        <v>45</v>
      </c>
      <c r="X7" s="264"/>
      <c r="Y7" s="26">
        <f>U7*O7</f>
        <v>33.375404400000008</v>
      </c>
      <c r="Z7" s="245"/>
      <c r="AA7" s="245"/>
      <c r="AB7" s="245"/>
    </row>
    <row r="8" spans="1:28" ht="17.5">
      <c r="A8" s="287"/>
      <c r="B8" s="44"/>
      <c r="C8" s="44">
        <v>19</v>
      </c>
      <c r="D8" s="43"/>
      <c r="E8" s="145" t="s">
        <v>46</v>
      </c>
      <c r="F8" s="79" t="s">
        <v>47</v>
      </c>
      <c r="G8" s="79" t="s">
        <v>48</v>
      </c>
      <c r="H8" s="45">
        <v>174.11</v>
      </c>
      <c r="I8" s="43"/>
      <c r="J8" s="43"/>
      <c r="K8" s="50">
        <v>0.96299999999999997</v>
      </c>
      <c r="L8" s="45"/>
      <c r="M8" s="45"/>
      <c r="N8" s="43"/>
      <c r="O8" s="45"/>
      <c r="P8" s="102">
        <f>27.3*96.3%</f>
        <v>26.289899999999999</v>
      </c>
      <c r="Q8" s="91">
        <f>P8/1000</f>
        <v>2.6289899999999998E-2</v>
      </c>
      <c r="R8" s="146">
        <f>P8/H8</f>
        <v>0.15099592211820112</v>
      </c>
      <c r="S8" s="43"/>
      <c r="T8" s="43"/>
      <c r="U8" s="43"/>
      <c r="V8" s="43"/>
      <c r="W8" s="43"/>
      <c r="X8" s="291"/>
      <c r="Y8" s="81"/>
      <c r="Z8" s="252"/>
      <c r="AA8" s="252"/>
      <c r="AB8" s="252"/>
    </row>
    <row r="9" spans="1:28">
      <c r="A9" s="241" t="s">
        <v>233</v>
      </c>
      <c r="B9" s="29"/>
      <c r="C9" s="29"/>
      <c r="D9" s="30"/>
      <c r="E9" s="30"/>
      <c r="F9" s="30"/>
      <c r="G9" s="30"/>
      <c r="H9" s="12"/>
      <c r="I9" s="30"/>
      <c r="J9" s="30"/>
      <c r="K9" s="30"/>
      <c r="L9" s="12"/>
      <c r="M9" s="12"/>
      <c r="N9" s="30"/>
      <c r="O9" s="12"/>
      <c r="P9" s="55"/>
      <c r="Q9" s="31"/>
      <c r="R9" s="32"/>
      <c r="S9" s="30"/>
      <c r="T9" s="30"/>
      <c r="U9" s="30"/>
      <c r="V9" s="30"/>
      <c r="W9" s="30"/>
      <c r="X9" s="260">
        <f>R13/O10</f>
        <v>0.91487281299471779</v>
      </c>
      <c r="Y9" s="33"/>
      <c r="Z9" s="244" t="s">
        <v>149</v>
      </c>
      <c r="AA9" s="244">
        <v>1</v>
      </c>
      <c r="AB9" s="244">
        <v>3.5</v>
      </c>
    </row>
    <row r="10" spans="1:28" ht="17.5">
      <c r="A10" s="242"/>
      <c r="B10" s="27">
        <v>19</v>
      </c>
      <c r="C10" s="27"/>
      <c r="D10" s="34" t="s">
        <v>48</v>
      </c>
      <c r="E10" s="72" t="s">
        <v>46</v>
      </c>
      <c r="F10" s="34" t="s">
        <v>47</v>
      </c>
      <c r="G10" s="11"/>
      <c r="H10" s="13">
        <v>174.11</v>
      </c>
      <c r="I10" s="11"/>
      <c r="J10" s="13">
        <f>O10/O10</f>
        <v>1</v>
      </c>
      <c r="K10" s="83">
        <v>0.96299999999999997</v>
      </c>
      <c r="L10" s="35">
        <f>22*96.3%</f>
        <v>21.186</v>
      </c>
      <c r="M10" s="36">
        <f>L10/1000</f>
        <v>2.1186E-2</v>
      </c>
      <c r="N10" s="11"/>
      <c r="O10" s="47">
        <f>L10/H10</f>
        <v>0.12168169547986904</v>
      </c>
      <c r="P10" s="56"/>
      <c r="Q10" s="11"/>
      <c r="R10" s="13"/>
      <c r="S10" s="11"/>
      <c r="T10" s="11"/>
      <c r="U10" s="11"/>
      <c r="V10" s="11"/>
      <c r="W10" s="11"/>
      <c r="X10" s="261"/>
      <c r="Y10" s="28"/>
      <c r="Z10" s="245"/>
      <c r="AA10" s="245"/>
      <c r="AB10" s="245"/>
    </row>
    <row r="11" spans="1:28" s="99" customFormat="1" ht="17.5">
      <c r="A11" s="242"/>
      <c r="B11" s="103"/>
      <c r="C11" s="103"/>
      <c r="D11" s="96" t="s">
        <v>115</v>
      </c>
      <c r="E11" s="96" t="s">
        <v>49</v>
      </c>
      <c r="F11" s="167" t="s">
        <v>42</v>
      </c>
      <c r="G11" s="96"/>
      <c r="H11" s="96">
        <v>100.16</v>
      </c>
      <c r="I11" s="96">
        <v>0.86</v>
      </c>
      <c r="J11" s="97">
        <f>O11/O10</f>
        <v>14.818292996852163</v>
      </c>
      <c r="K11" s="96"/>
      <c r="L11" s="97">
        <f>N11*I11</f>
        <v>180.6</v>
      </c>
      <c r="M11" s="98">
        <f>L11/1000</f>
        <v>0.18059999999999998</v>
      </c>
      <c r="N11" s="96">
        <v>210</v>
      </c>
      <c r="O11" s="97">
        <f>L11/H11</f>
        <v>1.8031150159744409</v>
      </c>
      <c r="P11" s="168"/>
      <c r="Q11" s="96"/>
      <c r="R11" s="97"/>
      <c r="S11" s="97">
        <f>6630</f>
        <v>6630</v>
      </c>
      <c r="T11" s="96" t="s">
        <v>180</v>
      </c>
      <c r="U11" s="97">
        <f>S11/((195000*I11)/H11)</f>
        <v>3.9598139534883723</v>
      </c>
      <c r="V11" s="170" t="s">
        <v>179</v>
      </c>
      <c r="W11" s="96" t="s">
        <v>51</v>
      </c>
      <c r="X11" s="261"/>
      <c r="Y11" s="169">
        <f>U11*O11</f>
        <v>7.1400000000000006</v>
      </c>
      <c r="Z11" s="245"/>
      <c r="AA11" s="245"/>
      <c r="AB11" s="245"/>
    </row>
    <row r="12" spans="1:28" ht="17.5">
      <c r="A12" s="242"/>
      <c r="B12" s="27"/>
      <c r="C12" s="27"/>
      <c r="D12" s="24" t="s">
        <v>167</v>
      </c>
      <c r="E12" s="24" t="s">
        <v>52</v>
      </c>
      <c r="F12" s="77" t="s">
        <v>53</v>
      </c>
      <c r="G12" s="11"/>
      <c r="H12" s="11">
        <v>102.09</v>
      </c>
      <c r="I12" s="11">
        <v>1.08</v>
      </c>
      <c r="J12" s="13">
        <f>O12/O10</f>
        <v>1.1752882641955231</v>
      </c>
      <c r="K12" s="11"/>
      <c r="L12" s="13">
        <v>14.6</v>
      </c>
      <c r="M12" s="41">
        <f t="shared" ref="M12" si="0">L12/1000</f>
        <v>1.46E-2</v>
      </c>
      <c r="N12" s="13">
        <f>L12/I12</f>
        <v>13.518518518518517</v>
      </c>
      <c r="O12" s="25">
        <f>L12/H12</f>
        <v>0.14301106866490351</v>
      </c>
      <c r="P12" s="56"/>
      <c r="Q12" s="11"/>
      <c r="R12" s="13"/>
      <c r="S12" s="38">
        <f>79.4</f>
        <v>79.400000000000006</v>
      </c>
      <c r="T12" s="11" t="s">
        <v>39</v>
      </c>
      <c r="U12" s="13">
        <f>S12/((1000*I12)/H12)</f>
        <v>7.5055055555555565</v>
      </c>
      <c r="V12" s="24" t="s">
        <v>54</v>
      </c>
      <c r="W12" s="11" t="s">
        <v>55</v>
      </c>
      <c r="X12" s="261"/>
      <c r="Y12" s="26">
        <f>O12*U12</f>
        <v>1.0733703703703705</v>
      </c>
      <c r="Z12" s="245"/>
      <c r="AA12" s="245"/>
      <c r="AB12" s="245"/>
    </row>
    <row r="13" spans="1:28" ht="16.5">
      <c r="A13" s="243"/>
      <c r="B13" s="43"/>
      <c r="C13" s="44">
        <v>20</v>
      </c>
      <c r="D13" s="43"/>
      <c r="E13" s="78" t="s">
        <v>56</v>
      </c>
      <c r="F13" s="79" t="s">
        <v>47</v>
      </c>
      <c r="G13" s="79" t="s">
        <v>148</v>
      </c>
      <c r="H13" s="45">
        <v>156.09</v>
      </c>
      <c r="I13" s="43"/>
      <c r="J13" s="43"/>
      <c r="K13" s="43"/>
      <c r="L13" s="45"/>
      <c r="M13" s="45"/>
      <c r="N13" s="43"/>
      <c r="O13" s="45"/>
      <c r="P13" s="102">
        <f>19.95*87.1%</f>
        <v>17.376449999999998</v>
      </c>
      <c r="Q13" s="91">
        <f>P13/1000</f>
        <v>1.7376449999999998E-2</v>
      </c>
      <c r="R13" s="95">
        <f>P13/H13</f>
        <v>0.11132327503363443</v>
      </c>
      <c r="S13" s="43"/>
      <c r="T13" s="43"/>
      <c r="U13" s="43"/>
      <c r="V13" s="43"/>
      <c r="W13" s="43"/>
      <c r="X13" s="262"/>
      <c r="Y13" s="46"/>
      <c r="Z13" s="252"/>
      <c r="AA13" s="252"/>
      <c r="AB13" s="252"/>
    </row>
    <row r="14" spans="1:28">
      <c r="A14" s="241" t="s">
        <v>239</v>
      </c>
      <c r="X14" s="278">
        <f>R18/O15</f>
        <v>0.99710673392365956</v>
      </c>
      <c r="Z14" s="244" t="s">
        <v>155</v>
      </c>
      <c r="AA14" s="244">
        <v>1</v>
      </c>
      <c r="AB14" s="244">
        <v>16.149999999999999</v>
      </c>
    </row>
    <row r="15" spans="1:28" ht="16.5">
      <c r="A15" s="242"/>
      <c r="B15" s="27">
        <v>20</v>
      </c>
      <c r="D15" s="87" t="s">
        <v>148</v>
      </c>
      <c r="E15" s="150" t="s">
        <v>56</v>
      </c>
      <c r="F15" s="87" t="s">
        <v>47</v>
      </c>
      <c r="H15" s="142">
        <v>156.09</v>
      </c>
      <c r="J15" s="13">
        <f>O15/O15</f>
        <v>1</v>
      </c>
      <c r="L15" s="151">
        <f>19.95*87.1%</f>
        <v>17.376449999999998</v>
      </c>
      <c r="M15" s="152">
        <f>L15/1000</f>
        <v>1.7376449999999998E-2</v>
      </c>
      <c r="O15" s="153">
        <f>L15/H15</f>
        <v>0.11132327503363443</v>
      </c>
      <c r="X15" s="279"/>
      <c r="Z15" s="245"/>
      <c r="AA15" s="245"/>
      <c r="AB15" s="245"/>
    </row>
    <row r="16" spans="1:28" s="99" customFormat="1" ht="17.5">
      <c r="A16" s="242"/>
      <c r="B16" s="103"/>
      <c r="C16" s="103"/>
      <c r="D16" s="96" t="s">
        <v>115</v>
      </c>
      <c r="E16" s="96" t="s">
        <v>49</v>
      </c>
      <c r="F16" s="167" t="s">
        <v>42</v>
      </c>
      <c r="G16" s="96"/>
      <c r="H16" s="96">
        <v>100.16</v>
      </c>
      <c r="I16" s="96">
        <v>0.86</v>
      </c>
      <c r="J16" s="97">
        <f>O16/O15</f>
        <v>10.181038791099303</v>
      </c>
      <c r="K16" s="96"/>
      <c r="L16" s="97">
        <f>N16*I16</f>
        <v>113.52</v>
      </c>
      <c r="M16" s="98">
        <f>L16/1000</f>
        <v>0.11352</v>
      </c>
      <c r="N16" s="96">
        <v>132</v>
      </c>
      <c r="O16" s="97">
        <f>L16/H16</f>
        <v>1.1333865814696487</v>
      </c>
      <c r="P16" s="168"/>
      <c r="Q16" s="96"/>
      <c r="R16" s="97"/>
      <c r="S16" s="97">
        <f>6630</f>
        <v>6630</v>
      </c>
      <c r="T16" s="96" t="s">
        <v>180</v>
      </c>
      <c r="U16" s="97">
        <f>S16/((195000*I16)/H16)</f>
        <v>3.9598139534883723</v>
      </c>
      <c r="V16" s="170" t="s">
        <v>179</v>
      </c>
      <c r="W16" s="96" t="s">
        <v>51</v>
      </c>
      <c r="X16" s="279"/>
      <c r="Y16" s="171">
        <f>U16*O16</f>
        <v>4.4880000000000004</v>
      </c>
      <c r="Z16" s="245"/>
      <c r="AA16" s="245"/>
      <c r="AB16" s="245"/>
    </row>
    <row r="17" spans="1:28" ht="17.5">
      <c r="A17" s="242"/>
      <c r="B17" s="27"/>
      <c r="C17" s="27"/>
      <c r="D17" s="11" t="s">
        <v>171</v>
      </c>
      <c r="E17" s="11" t="s">
        <v>57</v>
      </c>
      <c r="F17" s="77" t="s">
        <v>53</v>
      </c>
      <c r="G17" s="11"/>
      <c r="H17" s="11">
        <v>46.07</v>
      </c>
      <c r="I17" s="11">
        <v>0.78900000000000003</v>
      </c>
      <c r="J17" s="13">
        <f>O17/O15</f>
        <v>10.880027980955887</v>
      </c>
      <c r="K17" s="11"/>
      <c r="L17" s="13">
        <v>55.8</v>
      </c>
      <c r="M17" s="41">
        <f>L17/1000</f>
        <v>5.5799999999999995E-2</v>
      </c>
      <c r="N17" s="13">
        <f>L17/I17</f>
        <v>70.722433460076033</v>
      </c>
      <c r="O17" s="13">
        <f>L17/H17</f>
        <v>1.2112003472975905</v>
      </c>
      <c r="P17" s="56"/>
      <c r="Q17" s="11"/>
      <c r="R17" s="13"/>
      <c r="S17" s="13">
        <f>1070</f>
        <v>1070</v>
      </c>
      <c r="T17" s="11" t="s">
        <v>150</v>
      </c>
      <c r="U17" s="13">
        <f>S17/((16000*I17)/H17)</f>
        <v>3.9048558301647653</v>
      </c>
      <c r="V17" s="39" t="s">
        <v>151</v>
      </c>
      <c r="W17" s="39" t="s">
        <v>60</v>
      </c>
      <c r="X17" s="279"/>
      <c r="Y17" s="142">
        <f>U17*O17</f>
        <v>4.7295627376425848</v>
      </c>
      <c r="Z17" s="245"/>
      <c r="AA17" s="245"/>
      <c r="AB17" s="245"/>
    </row>
    <row r="18" spans="1:28" ht="16.5">
      <c r="A18" s="243"/>
      <c r="B18" s="43"/>
      <c r="C18" s="44">
        <v>21</v>
      </c>
      <c r="D18" s="43"/>
      <c r="E18" s="78" t="s">
        <v>152</v>
      </c>
      <c r="F18" s="79" t="s">
        <v>47</v>
      </c>
      <c r="G18" s="79" t="s">
        <v>153</v>
      </c>
      <c r="H18" s="45">
        <v>202.16</v>
      </c>
      <c r="I18" s="43"/>
      <c r="J18" s="43"/>
      <c r="K18" s="43"/>
      <c r="L18" s="45"/>
      <c r="M18" s="45"/>
      <c r="N18" s="43"/>
      <c r="O18" s="45"/>
      <c r="P18" s="228">
        <f>22.44</f>
        <v>22.44</v>
      </c>
      <c r="Q18" s="229">
        <f>P18/1000</f>
        <v>2.2440000000000002E-2</v>
      </c>
      <c r="R18" s="230">
        <f>P18/H18</f>
        <v>0.1110011871784725</v>
      </c>
      <c r="S18" s="43"/>
      <c r="T18" s="43"/>
      <c r="U18" s="43"/>
      <c r="V18" s="43"/>
      <c r="W18" s="43"/>
      <c r="X18" s="280"/>
      <c r="Y18" s="43"/>
      <c r="Z18" s="252"/>
      <c r="AA18" s="252"/>
      <c r="AB18" s="252"/>
    </row>
    <row r="19" spans="1:28">
      <c r="A19" s="241" t="s">
        <v>240</v>
      </c>
      <c r="X19" s="278">
        <f>R30/O20</f>
        <v>0.80087470696545637</v>
      </c>
      <c r="Y19" s="149"/>
      <c r="Z19" s="244" t="s">
        <v>160</v>
      </c>
      <c r="AA19" s="244">
        <v>0.05</v>
      </c>
      <c r="AB19" s="244">
        <v>5</v>
      </c>
    </row>
    <row r="20" spans="1:28" ht="16.5">
      <c r="A20" s="242"/>
      <c r="B20" s="27">
        <v>21</v>
      </c>
      <c r="D20" s="87" t="s">
        <v>154</v>
      </c>
      <c r="E20" s="150" t="s">
        <v>152</v>
      </c>
      <c r="F20" s="87" t="s">
        <v>47</v>
      </c>
      <c r="H20" s="142">
        <v>202.16</v>
      </c>
      <c r="J20" s="13">
        <f>O20/O20</f>
        <v>1</v>
      </c>
      <c r="L20" s="231">
        <f>22.44</f>
        <v>22.44</v>
      </c>
      <c r="M20" s="232">
        <f>L20/1000</f>
        <v>2.2440000000000002E-2</v>
      </c>
      <c r="O20" s="233">
        <f>L20/H20</f>
        <v>0.1110011871784725</v>
      </c>
      <c r="X20" s="279"/>
      <c r="Y20" s="120"/>
      <c r="Z20" s="245"/>
      <c r="AA20" s="245"/>
      <c r="AB20" s="245"/>
    </row>
    <row r="21" spans="1:28" ht="17.5">
      <c r="A21" s="242"/>
      <c r="B21" s="11"/>
      <c r="C21" s="11"/>
      <c r="D21" s="11" t="s">
        <v>170</v>
      </c>
      <c r="E21" s="11" t="s">
        <v>61</v>
      </c>
      <c r="F21" s="77" t="s">
        <v>53</v>
      </c>
      <c r="G21" s="11"/>
      <c r="H21" s="11">
        <v>126.92</v>
      </c>
      <c r="I21" s="11">
        <v>1.5</v>
      </c>
      <c r="J21" s="13">
        <f>O21/O20</f>
        <v>1.2343601566919635</v>
      </c>
      <c r="K21" s="11" t="s">
        <v>117</v>
      </c>
      <c r="L21" s="13">
        <v>17.39</v>
      </c>
      <c r="M21" s="41">
        <f t="shared" ref="M21:M29" si="1">L21/1000</f>
        <v>1.7389999999999999E-2</v>
      </c>
      <c r="N21" s="13">
        <f t="shared" ref="N21" si="2">L21/I21</f>
        <v>11.593333333333334</v>
      </c>
      <c r="O21" s="41">
        <f t="shared" ref="O21:O25" si="3">L21/H21</f>
        <v>0.1370154427986133</v>
      </c>
      <c r="P21" s="56"/>
      <c r="Q21" s="11"/>
      <c r="R21" s="13"/>
      <c r="S21" s="11">
        <f>1340</f>
        <v>1340</v>
      </c>
      <c r="T21" s="11" t="s">
        <v>127</v>
      </c>
      <c r="U21" s="13">
        <f>S21/(10000/H21)</f>
        <v>17.007280000000002</v>
      </c>
      <c r="V21" s="11" t="s">
        <v>62</v>
      </c>
      <c r="W21" s="11" t="s">
        <v>63</v>
      </c>
      <c r="X21" s="279"/>
      <c r="Y21" s="40">
        <f>U21*O21</f>
        <v>2.3302600000000004</v>
      </c>
      <c r="Z21" s="245"/>
      <c r="AA21" s="245"/>
      <c r="AB21" s="245"/>
    </row>
    <row r="22" spans="1:28" ht="17.5">
      <c r="A22" s="242"/>
      <c r="B22" s="11"/>
      <c r="C22" s="11"/>
      <c r="D22" s="11" t="s">
        <v>118</v>
      </c>
      <c r="E22" s="24" t="s">
        <v>64</v>
      </c>
      <c r="F22" s="71" t="s">
        <v>42</v>
      </c>
      <c r="G22" s="11"/>
      <c r="H22" s="11">
        <v>84.93</v>
      </c>
      <c r="I22" s="13">
        <v>1.325</v>
      </c>
      <c r="J22" s="13">
        <f>O22/O20</f>
        <v>78.273030143519662</v>
      </c>
      <c r="K22" s="11"/>
      <c r="L22" s="13">
        <f>N22*I22</f>
        <v>737.9057499999999</v>
      </c>
      <c r="M22" s="41">
        <f t="shared" si="1"/>
        <v>0.73790574999999992</v>
      </c>
      <c r="N22" s="13">
        <f>556.91</f>
        <v>556.91</v>
      </c>
      <c r="O22" s="13">
        <f t="shared" si="3"/>
        <v>8.6883992699870465</v>
      </c>
      <c r="P22" s="56"/>
      <c r="Q22" s="11"/>
      <c r="R22" s="13"/>
      <c r="S22" s="13">
        <f>701</f>
        <v>701</v>
      </c>
      <c r="T22" s="11" t="s">
        <v>43</v>
      </c>
      <c r="U22" s="13">
        <f>S22/((20000*I22)/H22)</f>
        <v>2.2466388679245286</v>
      </c>
      <c r="V22" s="11" t="s">
        <v>120</v>
      </c>
      <c r="W22" s="11" t="s">
        <v>66</v>
      </c>
      <c r="X22" s="279"/>
      <c r="Y22" s="40">
        <f>U22*O22</f>
        <v>19.519695499999997</v>
      </c>
      <c r="Z22" s="245"/>
      <c r="AA22" s="245"/>
      <c r="AB22" s="245"/>
    </row>
    <row r="23" spans="1:28" s="99" customFormat="1" ht="17.5">
      <c r="A23" s="242"/>
      <c r="B23" s="96"/>
      <c r="C23" s="96"/>
      <c r="D23" s="170" t="s">
        <v>119</v>
      </c>
      <c r="E23" s="96" t="s">
        <v>67</v>
      </c>
      <c r="F23" s="187" t="s">
        <v>207</v>
      </c>
      <c r="G23" s="96"/>
      <c r="H23" s="97">
        <v>73.099999999999994</v>
      </c>
      <c r="I23" s="96">
        <v>0.94399999999999995</v>
      </c>
      <c r="J23" s="97">
        <f>O23/O20</f>
        <v>0.11633944661063031</v>
      </c>
      <c r="K23" s="190" t="s">
        <v>208</v>
      </c>
      <c r="L23" s="97">
        <f>N23*I23</f>
        <v>0.94399999999999995</v>
      </c>
      <c r="M23" s="98">
        <f>L23/1000</f>
        <v>9.4399999999999996E-4</v>
      </c>
      <c r="N23" s="97">
        <v>1</v>
      </c>
      <c r="O23" s="97">
        <f>L23/H23</f>
        <v>1.2913816689466484E-2</v>
      </c>
      <c r="P23" s="176"/>
      <c r="Q23" s="97"/>
      <c r="R23" s="96"/>
      <c r="S23" s="97">
        <f>851</f>
        <v>851</v>
      </c>
      <c r="T23" s="96" t="s">
        <v>101</v>
      </c>
      <c r="U23" s="97">
        <f>S23/((18000*I23)/H23)</f>
        <v>3.6610228342749527</v>
      </c>
      <c r="V23" s="174" t="s">
        <v>121</v>
      </c>
      <c r="W23" s="191" t="s">
        <v>68</v>
      </c>
      <c r="X23" s="279"/>
      <c r="Y23" s="157">
        <f>U23*O23</f>
        <v>4.7277777777777773E-2</v>
      </c>
      <c r="Z23" s="245"/>
      <c r="AA23" s="245"/>
      <c r="AB23" s="245"/>
    </row>
    <row r="24" spans="1:28" s="99" customFormat="1" ht="17.5">
      <c r="A24" s="242"/>
      <c r="B24" s="96"/>
      <c r="C24" s="96"/>
      <c r="D24" s="96" t="s">
        <v>69</v>
      </c>
      <c r="E24" s="96" t="s">
        <v>70</v>
      </c>
      <c r="F24" s="155" t="s">
        <v>53</v>
      </c>
      <c r="G24" s="96"/>
      <c r="H24" s="96">
        <v>107.16</v>
      </c>
      <c r="I24" s="96">
        <v>0.98899999999999999</v>
      </c>
      <c r="J24" s="97">
        <f>O24/O20</f>
        <v>1.0290135396518376</v>
      </c>
      <c r="K24" s="96"/>
      <c r="L24" s="97">
        <v>12.24</v>
      </c>
      <c r="M24" s="98">
        <f t="shared" si="1"/>
        <v>1.2240000000000001E-2</v>
      </c>
      <c r="N24" s="97">
        <f t="shared" ref="N24:N25" si="4">L24/I24</f>
        <v>12.37613751263903</v>
      </c>
      <c r="O24" s="98">
        <f t="shared" si="3"/>
        <v>0.11422172452407615</v>
      </c>
      <c r="P24" s="168"/>
      <c r="Q24" s="96"/>
      <c r="R24" s="97"/>
      <c r="S24" s="97">
        <f>67.6</f>
        <v>67.599999999999994</v>
      </c>
      <c r="T24" s="96" t="s">
        <v>34</v>
      </c>
      <c r="U24" s="97">
        <f t="shared" ref="U24" si="5">S24/(1000/H24)</f>
        <v>7.2440159999999993</v>
      </c>
      <c r="V24" s="96" t="s">
        <v>71</v>
      </c>
      <c r="W24" s="96" t="s">
        <v>72</v>
      </c>
      <c r="X24" s="279"/>
      <c r="Y24" s="157">
        <f>O24*U24</f>
        <v>0.82742399999999994</v>
      </c>
      <c r="Z24" s="245"/>
      <c r="AA24" s="245"/>
      <c r="AB24" s="245"/>
    </row>
    <row r="25" spans="1:28" s="99" customFormat="1" ht="17.5">
      <c r="A25" s="242"/>
      <c r="B25" s="96"/>
      <c r="C25" s="96"/>
      <c r="D25" s="170" t="s">
        <v>168</v>
      </c>
      <c r="E25" s="96" t="s">
        <v>73</v>
      </c>
      <c r="F25" s="155" t="s">
        <v>53</v>
      </c>
      <c r="G25" s="96"/>
      <c r="H25" s="97">
        <v>79.099999999999994</v>
      </c>
      <c r="I25" s="96">
        <v>0.97799999999999998</v>
      </c>
      <c r="J25" s="97">
        <f>O25/O20</f>
        <v>1.0284510908144433</v>
      </c>
      <c r="K25" s="96"/>
      <c r="L25" s="97">
        <v>9.0299999999999994</v>
      </c>
      <c r="M25" s="98">
        <f t="shared" si="1"/>
        <v>9.0299999999999998E-3</v>
      </c>
      <c r="N25" s="97">
        <f t="shared" si="4"/>
        <v>9.2331288343558278</v>
      </c>
      <c r="O25" s="98">
        <f t="shared" si="3"/>
        <v>0.11415929203539824</v>
      </c>
      <c r="P25" s="168"/>
      <c r="Q25" s="96"/>
      <c r="R25" s="97"/>
      <c r="S25" s="97">
        <v>879</v>
      </c>
      <c r="T25" s="96" t="s">
        <v>65</v>
      </c>
      <c r="U25" s="97">
        <f>S25/((8000*I25)/H25)</f>
        <v>8.8866180981595093</v>
      </c>
      <c r="V25" s="96" t="s">
        <v>74</v>
      </c>
      <c r="W25" s="96" t="s">
        <v>75</v>
      </c>
      <c r="X25" s="279"/>
      <c r="Y25" s="157">
        <f>O25*U25</f>
        <v>1.0144900306748468</v>
      </c>
      <c r="Z25" s="245"/>
      <c r="AA25" s="245"/>
      <c r="AB25" s="245"/>
    </row>
    <row r="26" spans="1:28">
      <c r="A26" s="242"/>
      <c r="B26" s="11"/>
      <c r="C26" s="11"/>
      <c r="D26" s="11" t="s">
        <v>76</v>
      </c>
      <c r="E26" s="11" t="s">
        <v>77</v>
      </c>
      <c r="F26" s="77" t="s">
        <v>53</v>
      </c>
      <c r="G26" s="11"/>
      <c r="H26" s="11">
        <v>36.46</v>
      </c>
      <c r="I26" s="11">
        <v>1.19</v>
      </c>
      <c r="J26" s="13">
        <f>O26/O20</f>
        <v>58.807493475622927</v>
      </c>
      <c r="K26" s="11" t="s">
        <v>78</v>
      </c>
      <c r="L26" s="13">
        <f>N26*I26</f>
        <v>238</v>
      </c>
      <c r="M26" s="41">
        <f t="shared" si="1"/>
        <v>0.23799999999999999</v>
      </c>
      <c r="N26" s="13">
        <v>200</v>
      </c>
      <c r="O26" s="13">
        <f>L26/H26</f>
        <v>6.5277015907844209</v>
      </c>
      <c r="P26" s="56"/>
      <c r="Q26" s="11"/>
      <c r="R26" s="13"/>
      <c r="S26" s="13">
        <v>383</v>
      </c>
      <c r="T26" s="11" t="s">
        <v>123</v>
      </c>
      <c r="U26" s="13">
        <f>S26/((1500*I26)/H26)</f>
        <v>7.8230700280112044</v>
      </c>
      <c r="V26" s="11" t="s">
        <v>122</v>
      </c>
      <c r="W26" s="11" t="s">
        <v>79</v>
      </c>
      <c r="X26" s="279"/>
      <c r="Y26" s="40">
        <f>O26*U26</f>
        <v>51.066666666666663</v>
      </c>
      <c r="Z26" s="245"/>
      <c r="AA26" s="245"/>
      <c r="AB26" s="245"/>
    </row>
    <row r="27" spans="1:28" s="99" customFormat="1">
      <c r="A27" s="242"/>
      <c r="D27" s="96" t="s">
        <v>156</v>
      </c>
      <c r="E27" s="96" t="s">
        <v>157</v>
      </c>
      <c r="F27" s="155" t="s">
        <v>53</v>
      </c>
      <c r="H27" s="96">
        <f>58.44</f>
        <v>58.44</v>
      </c>
      <c r="I27" s="96">
        <f>2.16</f>
        <v>2.16</v>
      </c>
      <c r="J27" s="97">
        <f>O27/O20</f>
        <v>16.648914559290208</v>
      </c>
      <c r="L27" s="97">
        <f>N27*I27</f>
        <v>108</v>
      </c>
      <c r="M27" s="98">
        <f t="shared" si="1"/>
        <v>0.108</v>
      </c>
      <c r="N27" s="97">
        <v>50</v>
      </c>
      <c r="O27" s="97">
        <f>L27/H27</f>
        <v>1.8480492813141685</v>
      </c>
      <c r="P27" s="156"/>
      <c r="S27" s="97">
        <f>528</f>
        <v>528</v>
      </c>
      <c r="T27" s="96" t="s">
        <v>134</v>
      </c>
      <c r="U27" s="97">
        <f>S27/(50000/H27)</f>
        <v>0.61712639999999996</v>
      </c>
      <c r="V27" s="96" t="s">
        <v>158</v>
      </c>
      <c r="W27" s="96" t="s">
        <v>159</v>
      </c>
      <c r="X27" s="279"/>
      <c r="Y27" s="157">
        <f>U27*O27</f>
        <v>1.1404799999999999</v>
      </c>
      <c r="Z27" s="245"/>
      <c r="AA27" s="245"/>
      <c r="AB27" s="245"/>
    </row>
    <row r="28" spans="1:28" ht="17.5">
      <c r="A28" s="242"/>
      <c r="B28" s="21"/>
      <c r="C28" s="21"/>
      <c r="D28" s="21" t="s">
        <v>37</v>
      </c>
      <c r="E28" s="21" t="s">
        <v>38</v>
      </c>
      <c r="F28" s="48" t="s">
        <v>37</v>
      </c>
      <c r="G28" s="21"/>
      <c r="H28" s="21">
        <v>18.02</v>
      </c>
      <c r="I28" s="20">
        <v>1</v>
      </c>
      <c r="J28" s="20">
        <f>O28/O20</f>
        <v>49.993965904392226</v>
      </c>
      <c r="K28" s="21"/>
      <c r="L28" s="20">
        <f>N28*I28</f>
        <v>100</v>
      </c>
      <c r="M28" s="84">
        <f t="shared" si="1"/>
        <v>0.1</v>
      </c>
      <c r="N28" s="20">
        <v>100</v>
      </c>
      <c r="O28" s="20">
        <f t="shared" ref="O28" si="6">L28/H28</f>
        <v>5.5493895671476139</v>
      </c>
      <c r="P28" s="58"/>
      <c r="Q28" s="21"/>
      <c r="R28" s="20"/>
      <c r="S28" s="20">
        <f>285</f>
        <v>285</v>
      </c>
      <c r="T28" s="20" t="s">
        <v>58</v>
      </c>
      <c r="U28" s="20">
        <f>S28/((16000*I28)/H28)</f>
        <v>0.32098125</v>
      </c>
      <c r="V28" s="21" t="s">
        <v>112</v>
      </c>
      <c r="W28" s="21" t="s">
        <v>82</v>
      </c>
      <c r="X28" s="279"/>
      <c r="Y28" s="158">
        <f t="shared" ref="Y28:Y29" si="7">U28*O28</f>
        <v>1.78125</v>
      </c>
      <c r="Z28" s="245"/>
      <c r="AA28" s="245"/>
      <c r="AB28" s="245"/>
    </row>
    <row r="29" spans="1:28" s="99" customFormat="1" ht="17.5">
      <c r="A29" s="242"/>
      <c r="B29" s="103"/>
      <c r="C29" s="103"/>
      <c r="D29" s="96" t="s">
        <v>169</v>
      </c>
      <c r="E29" s="96" t="s">
        <v>97</v>
      </c>
      <c r="F29" s="167" t="s">
        <v>42</v>
      </c>
      <c r="G29" s="96"/>
      <c r="H29" s="96">
        <v>92.14</v>
      </c>
      <c r="I29" s="96">
        <v>0.86499999999999999</v>
      </c>
      <c r="J29" s="97">
        <f>O29/O20</f>
        <v>17.760679226798558</v>
      </c>
      <c r="K29" s="96"/>
      <c r="L29" s="97">
        <f>N29*I29</f>
        <v>181.65</v>
      </c>
      <c r="M29" s="98">
        <f t="shared" si="1"/>
        <v>0.18165000000000001</v>
      </c>
      <c r="N29" s="97">
        <v>210</v>
      </c>
      <c r="O29" s="97">
        <f>L29/H29</f>
        <v>1.971456479270675</v>
      </c>
      <c r="P29" s="168"/>
      <c r="Q29" s="96"/>
      <c r="R29" s="97"/>
      <c r="S29" s="97">
        <f>1800</f>
        <v>1800</v>
      </c>
      <c r="T29" s="96" t="s">
        <v>50</v>
      </c>
      <c r="U29" s="97">
        <f>S29/((200000*I29)/H29)</f>
        <v>0.95868208092485552</v>
      </c>
      <c r="V29" s="170" t="s">
        <v>178</v>
      </c>
      <c r="W29" s="96" t="s">
        <v>98</v>
      </c>
      <c r="X29" s="279"/>
      <c r="Y29" s="157">
        <f t="shared" si="7"/>
        <v>1.8900000000000001</v>
      </c>
      <c r="Z29" s="245"/>
      <c r="AA29" s="245"/>
      <c r="AB29" s="245"/>
    </row>
    <row r="30" spans="1:28" ht="16.5">
      <c r="A30" s="243"/>
      <c r="B30" s="43"/>
      <c r="C30" s="44">
        <v>22</v>
      </c>
      <c r="D30" s="43"/>
      <c r="E30" s="78" t="s">
        <v>83</v>
      </c>
      <c r="F30" s="79" t="s">
        <v>47</v>
      </c>
      <c r="G30" s="79" t="s">
        <v>84</v>
      </c>
      <c r="H30" s="45">
        <v>291.3</v>
      </c>
      <c r="I30" s="43"/>
      <c r="J30" s="43"/>
      <c r="K30" s="43"/>
      <c r="L30" s="45"/>
      <c r="M30" s="45"/>
      <c r="N30" s="43"/>
      <c r="O30" s="45"/>
      <c r="P30" s="102">
        <f>26*99.6%</f>
        <v>25.896000000000001</v>
      </c>
      <c r="Q30" s="95">
        <f>P30/1000</f>
        <v>2.5896000000000002E-2</v>
      </c>
      <c r="R30" s="95">
        <f>P30/H30</f>
        <v>8.8898043254376932E-2</v>
      </c>
      <c r="S30" s="43"/>
      <c r="T30" s="43"/>
      <c r="U30" s="43"/>
      <c r="V30" s="43"/>
      <c r="W30" s="43"/>
      <c r="X30" s="280"/>
      <c r="Y30" s="81"/>
      <c r="Z30" s="252"/>
      <c r="AA30" s="252"/>
      <c r="AB30" s="252"/>
    </row>
    <row r="31" spans="1:28">
      <c r="A31" s="241" t="s">
        <v>235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12"/>
      <c r="M31" s="12"/>
      <c r="N31" s="30"/>
      <c r="O31" s="12"/>
      <c r="P31" s="59"/>
      <c r="Q31" s="30"/>
      <c r="R31" s="12"/>
      <c r="S31" s="30"/>
      <c r="T31" s="30"/>
      <c r="U31" s="30"/>
      <c r="V31" s="30"/>
      <c r="W31" s="30"/>
      <c r="X31" s="281">
        <f>R42/O32</f>
        <v>0.74861725910413668</v>
      </c>
      <c r="Y31" s="33"/>
      <c r="Z31" s="284" t="s">
        <v>172</v>
      </c>
      <c r="AA31" s="244">
        <v>0.1</v>
      </c>
      <c r="AB31" s="244">
        <f>24.15</f>
        <v>24.15</v>
      </c>
    </row>
    <row r="32" spans="1:28" ht="16.5">
      <c r="A32" s="242"/>
      <c r="B32" s="27">
        <v>22</v>
      </c>
      <c r="C32" s="27"/>
      <c r="D32" s="34" t="s">
        <v>84</v>
      </c>
      <c r="E32" s="80" t="s">
        <v>83</v>
      </c>
      <c r="F32" s="34" t="s">
        <v>47</v>
      </c>
      <c r="G32" s="11"/>
      <c r="H32" s="13">
        <v>291.3</v>
      </c>
      <c r="I32" s="11"/>
      <c r="J32" s="13">
        <f>O32/O32</f>
        <v>1</v>
      </c>
      <c r="K32" s="11"/>
      <c r="L32" s="35">
        <f>22.15*99.6%</f>
        <v>22.061399999999999</v>
      </c>
      <c r="M32" s="36">
        <f>L32/1000</f>
        <v>2.2061399999999998E-2</v>
      </c>
      <c r="N32" s="11"/>
      <c r="O32" s="47">
        <f>L32/H32</f>
        <v>7.5734294541709574E-2</v>
      </c>
      <c r="P32" s="56"/>
      <c r="Q32" s="11"/>
      <c r="R32" s="13"/>
      <c r="S32" s="11"/>
      <c r="T32" s="11"/>
      <c r="U32" s="11"/>
      <c r="V32" s="11"/>
      <c r="W32" s="11"/>
      <c r="X32" s="282"/>
      <c r="Y32" s="28"/>
      <c r="Z32" s="285"/>
      <c r="AA32" s="245"/>
      <c r="AB32" s="245"/>
    </row>
    <row r="33" spans="1:31" s="99" customFormat="1" ht="17.5">
      <c r="A33" s="242"/>
      <c r="B33" s="103"/>
      <c r="C33" s="103"/>
      <c r="D33" s="96" t="s">
        <v>129</v>
      </c>
      <c r="E33" s="96" t="s">
        <v>85</v>
      </c>
      <c r="F33" s="167" t="s">
        <v>42</v>
      </c>
      <c r="G33" s="96"/>
      <c r="H33" s="96">
        <v>72.11</v>
      </c>
      <c r="I33" s="96">
        <v>0.88900000000000001</v>
      </c>
      <c r="J33" s="97">
        <f>O33/O32</f>
        <v>37.44048941096716</v>
      </c>
      <c r="K33" s="96"/>
      <c r="L33" s="97">
        <f>N33*I33</f>
        <v>204.47</v>
      </c>
      <c r="M33" s="98">
        <f>L33/1000</f>
        <v>0.20446999999999999</v>
      </c>
      <c r="N33" s="97">
        <v>230</v>
      </c>
      <c r="O33" s="97">
        <f t="shared" ref="O33:O41" si="8">L33/H33</f>
        <v>2.8355290528359451</v>
      </c>
      <c r="P33" s="168"/>
      <c r="Q33" s="96"/>
      <c r="R33" s="97"/>
      <c r="S33" s="98">
        <v>6860</v>
      </c>
      <c r="T33" s="96" t="s">
        <v>50</v>
      </c>
      <c r="U33" s="97">
        <f>S33/((200000*I33)/H33)</f>
        <v>2.7821968503937007</v>
      </c>
      <c r="V33" s="170" t="s">
        <v>181</v>
      </c>
      <c r="W33" s="96" t="s">
        <v>86</v>
      </c>
      <c r="X33" s="282"/>
      <c r="Y33" s="169">
        <f t="shared" ref="Y33:Y41" si="9">U33*O33</f>
        <v>7.8890000000000002</v>
      </c>
      <c r="Z33" s="285"/>
      <c r="AA33" s="245"/>
      <c r="AB33" s="245"/>
    </row>
    <row r="34" spans="1:31" ht="17.5">
      <c r="A34" s="242"/>
      <c r="B34" s="27"/>
      <c r="C34" s="27"/>
      <c r="D34" s="11" t="s">
        <v>130</v>
      </c>
      <c r="E34" s="11" t="s">
        <v>87</v>
      </c>
      <c r="F34" s="77" t="s">
        <v>53</v>
      </c>
      <c r="G34" s="11"/>
      <c r="H34" s="13">
        <v>37.950000000000003</v>
      </c>
      <c r="I34" s="11">
        <v>0.91700000000000004</v>
      </c>
      <c r="J34" s="13">
        <f>O34/O32</f>
        <v>4.0008295031140353</v>
      </c>
      <c r="K34" s="11" t="s">
        <v>131</v>
      </c>
      <c r="L34" s="13">
        <v>11.498849999999999</v>
      </c>
      <c r="M34" s="41">
        <f t="shared" ref="M34:M41" si="10">L34/1000</f>
        <v>1.149885E-2</v>
      </c>
      <c r="N34" s="13">
        <f>L34/I34</f>
        <v>12.539640130861503</v>
      </c>
      <c r="O34" s="13">
        <f>L34/H34</f>
        <v>0.30299999999999994</v>
      </c>
      <c r="P34" s="56"/>
      <c r="Q34" s="11"/>
      <c r="R34" s="13"/>
      <c r="S34" s="13">
        <v>711</v>
      </c>
      <c r="T34" s="11" t="s">
        <v>88</v>
      </c>
      <c r="U34" s="13">
        <f>S34/(1000/H34)</f>
        <v>26.98245</v>
      </c>
      <c r="V34" s="11" t="s">
        <v>89</v>
      </c>
      <c r="W34" t="s">
        <v>90</v>
      </c>
      <c r="X34" s="282"/>
      <c r="Y34" s="26">
        <f t="shared" si="9"/>
        <v>8.1756823499999989</v>
      </c>
      <c r="Z34" s="285"/>
      <c r="AA34" s="245"/>
      <c r="AB34" s="245"/>
    </row>
    <row r="35" spans="1:31" ht="17.5">
      <c r="A35" s="242"/>
      <c r="B35" s="27"/>
      <c r="C35" s="27"/>
      <c r="D35" s="11" t="s">
        <v>91</v>
      </c>
      <c r="E35" s="11" t="s">
        <v>92</v>
      </c>
      <c r="F35" s="77" t="s">
        <v>53</v>
      </c>
      <c r="G35" s="11"/>
      <c r="H35" s="13">
        <v>98.07</v>
      </c>
      <c r="I35" s="13">
        <v>1.84</v>
      </c>
      <c r="J35" s="13">
        <f>O35/O32</f>
        <v>12.016795261439805</v>
      </c>
      <c r="K35" s="11" t="s">
        <v>131</v>
      </c>
      <c r="L35" s="13">
        <v>89.251890000000003</v>
      </c>
      <c r="M35" s="41">
        <f t="shared" si="10"/>
        <v>8.925189E-2</v>
      </c>
      <c r="N35" s="13">
        <f t="shared" ref="N35:N41" si="11">L35/I35</f>
        <v>48.50646195652174</v>
      </c>
      <c r="O35" s="13">
        <f t="shared" si="8"/>
        <v>0.91008351177730207</v>
      </c>
      <c r="P35" s="56"/>
      <c r="Q35" s="11"/>
      <c r="R35" s="13"/>
      <c r="S35" s="11">
        <v>105</v>
      </c>
      <c r="T35" s="11" t="s">
        <v>132</v>
      </c>
      <c r="U35" s="13">
        <f>S35/((2500*I35)/H35)</f>
        <v>2.2385543478260868</v>
      </c>
      <c r="V35" s="11" t="s">
        <v>133</v>
      </c>
      <c r="W35" s="11" t="s">
        <v>93</v>
      </c>
      <c r="X35" s="282"/>
      <c r="Y35" s="26">
        <f t="shared" si="9"/>
        <v>2.0372714021739133</v>
      </c>
      <c r="Z35" s="285"/>
      <c r="AA35" s="245"/>
      <c r="AB35" s="245"/>
    </row>
    <row r="36" spans="1:31" ht="17.5">
      <c r="A36" s="242"/>
      <c r="B36" s="48"/>
      <c r="C36" s="48"/>
      <c r="D36" s="21" t="s">
        <v>37</v>
      </c>
      <c r="E36" s="21" t="s">
        <v>38</v>
      </c>
      <c r="F36" s="48" t="s">
        <v>37</v>
      </c>
      <c r="G36" s="21"/>
      <c r="H36" s="21">
        <v>18.02</v>
      </c>
      <c r="I36" s="20">
        <v>1</v>
      </c>
      <c r="J36" s="20">
        <f>O36/O32</f>
        <v>1230.888348197157</v>
      </c>
      <c r="K36" s="21"/>
      <c r="L36" s="20">
        <v>1679.8327019999999</v>
      </c>
      <c r="M36" s="84">
        <f t="shared" si="10"/>
        <v>1.6798327019999999</v>
      </c>
      <c r="N36" s="20">
        <f t="shared" si="11"/>
        <v>1679.8327019999999</v>
      </c>
      <c r="O36" s="20">
        <f t="shared" si="8"/>
        <v>93.220460710321859</v>
      </c>
      <c r="P36" s="58"/>
      <c r="Q36" s="21"/>
      <c r="R36" s="20"/>
      <c r="S36" s="20">
        <f>285</f>
        <v>285</v>
      </c>
      <c r="T36" s="20" t="s">
        <v>58</v>
      </c>
      <c r="U36" s="20">
        <f>S36/((16000*I36)/H36)</f>
        <v>0.32098125</v>
      </c>
      <c r="V36" s="21" t="s">
        <v>112</v>
      </c>
      <c r="W36" s="21" t="s">
        <v>82</v>
      </c>
      <c r="X36" s="282"/>
      <c r="Y36" s="22">
        <f t="shared" si="9"/>
        <v>29.922020004374996</v>
      </c>
      <c r="Z36" s="285"/>
      <c r="AA36" s="245"/>
      <c r="AB36" s="245"/>
    </row>
    <row r="37" spans="1:31">
      <c r="A37" s="242"/>
      <c r="B37" s="27"/>
      <c r="C37" s="27"/>
      <c r="D37" s="11" t="s">
        <v>94</v>
      </c>
      <c r="E37" s="11" t="s">
        <v>95</v>
      </c>
      <c r="F37" s="77" t="s">
        <v>53</v>
      </c>
      <c r="G37" s="11"/>
      <c r="H37" s="13">
        <v>40</v>
      </c>
      <c r="I37" s="11">
        <v>2.13</v>
      </c>
      <c r="J37" s="13">
        <f>O37/O32</f>
        <v>11.011385793535316</v>
      </c>
      <c r="K37" s="11"/>
      <c r="L37" s="13">
        <v>33.357581400000001</v>
      </c>
      <c r="M37" s="41">
        <f t="shared" si="10"/>
        <v>3.3357581400000003E-2</v>
      </c>
      <c r="N37" s="13">
        <f t="shared" si="11"/>
        <v>15.660836338028171</v>
      </c>
      <c r="O37" s="13">
        <f t="shared" si="8"/>
        <v>0.83393953500000007</v>
      </c>
      <c r="P37" s="56"/>
      <c r="Q37" s="11"/>
      <c r="R37" s="13"/>
      <c r="S37" s="13">
        <v>1060</v>
      </c>
      <c r="T37" s="11" t="s">
        <v>134</v>
      </c>
      <c r="U37" s="13">
        <f>S37/(50000/H37)</f>
        <v>0.84799999999999998</v>
      </c>
      <c r="V37" s="11" t="s">
        <v>135</v>
      </c>
      <c r="W37" s="11" t="s">
        <v>96</v>
      </c>
      <c r="X37" s="282"/>
      <c r="Y37" s="26">
        <f t="shared" si="9"/>
        <v>0.70718072568000001</v>
      </c>
      <c r="Z37" s="285"/>
      <c r="AA37" s="245"/>
      <c r="AB37" s="245"/>
    </row>
    <row r="38" spans="1:31" s="99" customFormat="1" ht="17.5">
      <c r="A38" s="242"/>
      <c r="B38" s="103"/>
      <c r="C38" s="103"/>
      <c r="D38" s="96" t="s">
        <v>169</v>
      </c>
      <c r="E38" s="96" t="s">
        <v>97</v>
      </c>
      <c r="F38" s="167" t="s">
        <v>42</v>
      </c>
      <c r="G38" s="96"/>
      <c r="H38" s="96">
        <v>92.14</v>
      </c>
      <c r="I38" s="96">
        <v>0.86499999999999999</v>
      </c>
      <c r="J38" s="97">
        <f>O38/O32</f>
        <v>247.91643081475539</v>
      </c>
      <c r="K38" s="96"/>
      <c r="L38" s="97">
        <v>1730</v>
      </c>
      <c r="M38" s="98">
        <f t="shared" si="10"/>
        <v>1.73</v>
      </c>
      <c r="N38" s="97">
        <f t="shared" si="11"/>
        <v>2000</v>
      </c>
      <c r="O38" s="97">
        <f>L38/H38</f>
        <v>18.775775993054047</v>
      </c>
      <c r="P38" s="168"/>
      <c r="Q38" s="96"/>
      <c r="R38" s="97"/>
      <c r="S38" s="97">
        <f>1800</f>
        <v>1800</v>
      </c>
      <c r="T38" s="96" t="s">
        <v>50</v>
      </c>
      <c r="U38" s="97">
        <f>S38/((200000*I38)/H38)</f>
        <v>0.95868208092485552</v>
      </c>
      <c r="V38" s="170" t="s">
        <v>178</v>
      </c>
      <c r="W38" s="96" t="s">
        <v>98</v>
      </c>
      <c r="X38" s="282"/>
      <c r="Y38" s="169">
        <f t="shared" si="9"/>
        <v>18</v>
      </c>
      <c r="Z38" s="285"/>
      <c r="AA38" s="245"/>
      <c r="AB38" s="245"/>
      <c r="AD38" s="98"/>
    </row>
    <row r="39" spans="1:31" ht="17.5">
      <c r="A39" s="242"/>
      <c r="B39" s="27"/>
      <c r="C39" s="27"/>
      <c r="D39" s="11" t="s">
        <v>118</v>
      </c>
      <c r="E39" s="24" t="s">
        <v>99</v>
      </c>
      <c r="F39" s="71" t="s">
        <v>42</v>
      </c>
      <c r="G39" s="11"/>
      <c r="H39" s="11">
        <v>84.93</v>
      </c>
      <c r="I39" s="13">
        <v>1.325</v>
      </c>
      <c r="J39" s="13">
        <f>O39/O32</f>
        <v>102.99880219015733</v>
      </c>
      <c r="K39" s="11"/>
      <c r="L39" s="13">
        <v>662.5</v>
      </c>
      <c r="M39" s="41">
        <f t="shared" si="10"/>
        <v>0.66249999999999998</v>
      </c>
      <c r="N39" s="13">
        <f>L39/I39</f>
        <v>500</v>
      </c>
      <c r="O39" s="13">
        <f t="shared" si="8"/>
        <v>7.8005416225126565</v>
      </c>
      <c r="P39" s="56"/>
      <c r="Q39" s="11"/>
      <c r="R39" s="13"/>
      <c r="S39" s="13">
        <f>701</f>
        <v>701</v>
      </c>
      <c r="T39" s="11" t="s">
        <v>43</v>
      </c>
      <c r="U39" s="13">
        <f>S39/((20000*I39)/H39)</f>
        <v>2.2466388679245286</v>
      </c>
      <c r="V39" s="11" t="s">
        <v>120</v>
      </c>
      <c r="W39" s="11" t="s">
        <v>66</v>
      </c>
      <c r="X39" s="282"/>
      <c r="Y39" s="26">
        <f t="shared" si="9"/>
        <v>17.524999999999999</v>
      </c>
      <c r="Z39" s="285"/>
      <c r="AA39" s="245"/>
      <c r="AB39" s="245"/>
    </row>
    <row r="40" spans="1:31" ht="17.5">
      <c r="A40" s="242"/>
      <c r="B40" s="27"/>
      <c r="C40" s="27"/>
      <c r="D40" s="11" t="s">
        <v>136</v>
      </c>
      <c r="E40" s="11" t="s">
        <v>100</v>
      </c>
      <c r="F40" s="71" t="s">
        <v>42</v>
      </c>
      <c r="G40" s="11"/>
      <c r="H40" s="11">
        <v>88.11</v>
      </c>
      <c r="I40" s="11">
        <v>0.90200000000000002</v>
      </c>
      <c r="J40" s="13">
        <f>O40/O32</f>
        <v>27.034525263828712</v>
      </c>
      <c r="K40" s="11"/>
      <c r="L40" s="13">
        <v>180.4</v>
      </c>
      <c r="M40" s="41">
        <f t="shared" si="10"/>
        <v>0.1804</v>
      </c>
      <c r="N40" s="13">
        <f t="shared" si="11"/>
        <v>200</v>
      </c>
      <c r="O40" s="13">
        <f t="shared" si="8"/>
        <v>2.0474406991260925</v>
      </c>
      <c r="P40" s="56"/>
      <c r="Q40" s="11"/>
      <c r="R40" s="13"/>
      <c r="S40" s="13">
        <v>3650</v>
      </c>
      <c r="T40" s="11" t="s">
        <v>50</v>
      </c>
      <c r="U40" s="13">
        <f>S40/((200000*I40)/H40)</f>
        <v>1.7827134146341463</v>
      </c>
      <c r="V40" s="11" t="s">
        <v>137</v>
      </c>
      <c r="W40" s="11" t="s">
        <v>102</v>
      </c>
      <c r="X40" s="282"/>
      <c r="Y40" s="26">
        <f t="shared" si="9"/>
        <v>3.6500000000000004</v>
      </c>
      <c r="Z40" s="285"/>
      <c r="AA40" s="245"/>
      <c r="AB40" s="245"/>
    </row>
    <row r="41" spans="1:31" ht="17.5">
      <c r="A41" s="242"/>
      <c r="B41" s="49"/>
      <c r="C41" s="49"/>
      <c r="D41" s="16" t="s">
        <v>103</v>
      </c>
      <c r="E41" s="16" t="s">
        <v>104</v>
      </c>
      <c r="F41" s="49" t="s">
        <v>33</v>
      </c>
      <c r="G41" s="16"/>
      <c r="H41" s="16">
        <v>60.08</v>
      </c>
      <c r="I41" s="16">
        <v>0.7</v>
      </c>
      <c r="J41" s="15">
        <f>O41/O32</f>
        <v>4.3954919327739432</v>
      </c>
      <c r="K41" s="16"/>
      <c r="L41" s="15">
        <v>20</v>
      </c>
      <c r="M41" s="85">
        <f t="shared" si="10"/>
        <v>0.02</v>
      </c>
      <c r="N41" s="15">
        <f t="shared" si="11"/>
        <v>28.571428571428573</v>
      </c>
      <c r="O41" s="15">
        <f t="shared" si="8"/>
        <v>0.33288948069241014</v>
      </c>
      <c r="P41" s="60"/>
      <c r="Q41" s="16"/>
      <c r="R41" s="15"/>
      <c r="S41" s="15">
        <v>3160</v>
      </c>
      <c r="T41" s="16" t="s">
        <v>105</v>
      </c>
      <c r="U41" s="15">
        <f>S41/(25000/H41)</f>
        <v>7.5941119999999991</v>
      </c>
      <c r="V41" s="16" t="s">
        <v>106</v>
      </c>
      <c r="W41" s="16" t="s">
        <v>107</v>
      </c>
      <c r="X41" s="282"/>
      <c r="Y41" s="18">
        <f t="shared" si="9"/>
        <v>2.528</v>
      </c>
      <c r="Z41" s="285"/>
      <c r="AA41" s="245"/>
      <c r="AB41" s="245"/>
      <c r="AD41" t="s">
        <v>223</v>
      </c>
    </row>
    <row r="42" spans="1:31" ht="17.5">
      <c r="A42" s="243"/>
      <c r="B42" s="44"/>
      <c r="C42" s="222" t="s">
        <v>236</v>
      </c>
      <c r="D42" s="43"/>
      <c r="E42" s="43" t="s">
        <v>108</v>
      </c>
      <c r="F42" s="44" t="s">
        <v>113</v>
      </c>
      <c r="G42" s="43" t="s">
        <v>109</v>
      </c>
      <c r="H42" s="45">
        <v>130.13999999999999</v>
      </c>
      <c r="I42" s="43"/>
      <c r="J42" s="43"/>
      <c r="K42" s="50">
        <v>0.96799999999999997</v>
      </c>
      <c r="L42" s="45"/>
      <c r="M42" s="45"/>
      <c r="N42" s="43"/>
      <c r="O42" s="45"/>
      <c r="P42" s="236">
        <f>7.37841744</f>
        <v>7.3784174399999998</v>
      </c>
      <c r="Q42" s="172">
        <f>P42/1000</f>
        <v>7.3784174399999999E-3</v>
      </c>
      <c r="R42" s="237">
        <f>P42/H42</f>
        <v>5.6696000000000003E-2</v>
      </c>
      <c r="S42" s="43"/>
      <c r="T42" s="43"/>
      <c r="U42" s="43"/>
      <c r="V42" s="43"/>
      <c r="W42" s="43"/>
      <c r="X42" s="283"/>
      <c r="Y42" s="46"/>
      <c r="Z42" s="166" t="s">
        <v>175</v>
      </c>
      <c r="AA42" s="252"/>
      <c r="AB42" s="166" t="s">
        <v>174</v>
      </c>
      <c r="AD42" t="s">
        <v>224</v>
      </c>
      <c r="AE42" t="s">
        <v>225</v>
      </c>
    </row>
    <row r="43" spans="1:31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D43">
        <f>74.9%*0.076</f>
        <v>5.6924000000000009E-2</v>
      </c>
      <c r="AE43">
        <f>AD43*130.14</f>
        <v>7.4080893600000008</v>
      </c>
    </row>
    <row r="44" spans="1:31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 t="s">
        <v>161</v>
      </c>
      <c r="P44" s="100">
        <f>P73/P30</f>
        <v>0.85192307692307689</v>
      </c>
      <c r="Q44" s="100">
        <f>P61/P18</f>
        <v>0.85285455413903744</v>
      </c>
      <c r="R44" s="100">
        <f>P56/P13</f>
        <v>0.85038703695518947</v>
      </c>
      <c r="S44" s="100">
        <f>P51/P8</f>
        <v>0.68896313582934898</v>
      </c>
      <c r="T44" s="93"/>
      <c r="U44" s="93"/>
      <c r="V44" s="93"/>
      <c r="W44" s="93"/>
      <c r="X44" s="93"/>
      <c r="Y44" s="93"/>
      <c r="Z44" s="93"/>
      <c r="AA44" s="93"/>
      <c r="AB44" s="93"/>
    </row>
    <row r="45" spans="1:31">
      <c r="A45" s="256" t="s">
        <v>217</v>
      </c>
      <c r="B45" s="257"/>
      <c r="C45" s="257"/>
      <c r="D45" s="257"/>
      <c r="E45" s="257"/>
      <c r="F45" s="257"/>
      <c r="G45" s="257"/>
      <c r="H45" s="257"/>
      <c r="I45" s="257"/>
      <c r="J45" s="257"/>
      <c r="K45" s="257"/>
      <c r="L45" s="257"/>
      <c r="M45" s="257"/>
      <c r="N45" s="257"/>
      <c r="O45" s="257"/>
      <c r="P45" s="257"/>
      <c r="Q45" s="257"/>
      <c r="R45" s="257"/>
      <c r="S45" s="257"/>
      <c r="T45" s="257"/>
      <c r="U45" s="257"/>
      <c r="V45" s="257"/>
      <c r="W45" s="257"/>
      <c r="X45" s="257"/>
      <c r="Y45" s="257"/>
      <c r="Z45" s="257"/>
      <c r="AA45" s="257"/>
      <c r="AB45" s="258"/>
    </row>
    <row r="46" spans="1:31">
      <c r="A46" s="1" t="s">
        <v>1</v>
      </c>
      <c r="B46" s="2" t="s">
        <v>2</v>
      </c>
      <c r="C46" s="3" t="s">
        <v>3</v>
      </c>
      <c r="D46" s="4" t="s">
        <v>4</v>
      </c>
      <c r="E46" s="5" t="s">
        <v>5</v>
      </c>
      <c r="F46" s="5" t="s">
        <v>6</v>
      </c>
      <c r="G46" s="5" t="s">
        <v>7</v>
      </c>
      <c r="H46" s="6" t="s">
        <v>8</v>
      </c>
      <c r="I46" s="1" t="s">
        <v>9</v>
      </c>
      <c r="J46" s="1" t="s">
        <v>10</v>
      </c>
      <c r="K46" s="1" t="s">
        <v>11</v>
      </c>
      <c r="L46" s="6" t="s">
        <v>12</v>
      </c>
      <c r="M46" s="7" t="s">
        <v>13</v>
      </c>
      <c r="N46" s="1" t="s">
        <v>14</v>
      </c>
      <c r="O46" s="6" t="s">
        <v>15</v>
      </c>
      <c r="P46" s="51" t="s">
        <v>16</v>
      </c>
      <c r="Q46" s="7" t="s">
        <v>17</v>
      </c>
      <c r="R46" s="1" t="s">
        <v>18</v>
      </c>
      <c r="S46" s="1" t="s">
        <v>19</v>
      </c>
      <c r="T46" s="1" t="s">
        <v>20</v>
      </c>
      <c r="U46" s="1" t="s">
        <v>21</v>
      </c>
      <c r="V46" s="8" t="s">
        <v>22</v>
      </c>
      <c r="W46" s="1" t="s">
        <v>23</v>
      </c>
      <c r="X46" s="1" t="s">
        <v>24</v>
      </c>
      <c r="Y46" s="1" t="s">
        <v>25</v>
      </c>
      <c r="Z46" s="147" t="s">
        <v>26</v>
      </c>
      <c r="AA46" s="1" t="s">
        <v>27</v>
      </c>
      <c r="AB46" s="1" t="s">
        <v>28</v>
      </c>
    </row>
    <row r="47" spans="1:31" ht="17.5">
      <c r="A47" s="286" t="s">
        <v>237</v>
      </c>
      <c r="B47" s="162">
        <v>18</v>
      </c>
      <c r="C47" s="63"/>
      <c r="D47" s="61" t="s">
        <v>29</v>
      </c>
      <c r="E47" s="127" t="s">
        <v>173</v>
      </c>
      <c r="F47" s="128" t="s">
        <v>211</v>
      </c>
      <c r="G47" s="63"/>
      <c r="H47" s="63">
        <v>230.21</v>
      </c>
      <c r="I47" s="63">
        <v>1.98</v>
      </c>
      <c r="J47" s="63">
        <f>O47/O47</f>
        <v>1</v>
      </c>
      <c r="K47" s="63"/>
      <c r="L47" s="61">
        <f>O47*H47</f>
        <v>24.689577269113407</v>
      </c>
      <c r="M47" s="69">
        <f>L47/1000</f>
        <v>2.4689577269113406E-2</v>
      </c>
      <c r="N47" s="63">
        <f>L47/I47</f>
        <v>12.469483469249196</v>
      </c>
      <c r="O47" s="234">
        <f>0.104030624/97%</f>
        <v>0.10724806597938145</v>
      </c>
      <c r="P47" s="65"/>
      <c r="Q47" s="63"/>
      <c r="R47" s="63"/>
      <c r="S47" s="63">
        <f>50</f>
        <v>50</v>
      </c>
      <c r="T47" s="63" t="s">
        <v>34</v>
      </c>
      <c r="U47" s="63">
        <f>S47/(1000/H47)</f>
        <v>11.510500000000002</v>
      </c>
      <c r="V47" s="63" t="s">
        <v>30</v>
      </c>
      <c r="W47" s="68" t="s">
        <v>31</v>
      </c>
      <c r="X47" s="288">
        <f>R51/O47</f>
        <v>0.97</v>
      </c>
      <c r="Y47" s="66">
        <f>U47*O47</f>
        <v>1.2344788634556705</v>
      </c>
      <c r="Z47" s="244" t="s">
        <v>114</v>
      </c>
      <c r="AA47" s="244">
        <v>1</v>
      </c>
      <c r="AB47" s="244">
        <v>2</v>
      </c>
      <c r="AD47">
        <v>5.6696000000000003E-2</v>
      </c>
    </row>
    <row r="48" spans="1:31">
      <c r="A48" s="259"/>
      <c r="B48" s="129"/>
      <c r="C48" s="129"/>
      <c r="D48" s="130" t="s">
        <v>32</v>
      </c>
      <c r="E48" s="130" t="s">
        <v>111</v>
      </c>
      <c r="F48" s="129" t="s">
        <v>33</v>
      </c>
      <c r="G48" s="130"/>
      <c r="H48" s="130">
        <v>212.82</v>
      </c>
      <c r="I48" s="130"/>
      <c r="J48" s="130">
        <f>O48/O47</f>
        <v>1.5844981061199346</v>
      </c>
      <c r="K48" s="130"/>
      <c r="L48" s="130">
        <f>O48*H48</f>
        <v>36.165429948115481</v>
      </c>
      <c r="M48" s="131">
        <f>L48/1000</f>
        <v>3.6165429948115481E-2</v>
      </c>
      <c r="N48" s="130"/>
      <c r="O48" s="130">
        <f>O47*J5</f>
        <v>0.1699343574293557</v>
      </c>
      <c r="P48" s="132"/>
      <c r="Q48" s="130"/>
      <c r="R48" s="130"/>
      <c r="S48" s="130">
        <f>2080*0.078</f>
        <v>162.24</v>
      </c>
      <c r="T48" s="130" t="s">
        <v>34</v>
      </c>
      <c r="U48" s="130">
        <f>S48/(1000/H48)</f>
        <v>34.5279168</v>
      </c>
      <c r="V48" s="133" t="s">
        <v>35</v>
      </c>
      <c r="W48" s="17" t="s">
        <v>36</v>
      </c>
      <c r="X48" s="289"/>
      <c r="Y48" s="18">
        <f>U48*O48</f>
        <v>5.8674793547822555</v>
      </c>
      <c r="Z48" s="245"/>
      <c r="AA48" s="245"/>
      <c r="AB48" s="245"/>
    </row>
    <row r="49" spans="1:31" ht="17.5">
      <c r="A49" s="259"/>
      <c r="B49" s="134"/>
      <c r="C49" s="134"/>
      <c r="D49" s="135" t="s">
        <v>37</v>
      </c>
      <c r="E49" s="136" t="s">
        <v>38</v>
      </c>
      <c r="F49" s="134" t="s">
        <v>37</v>
      </c>
      <c r="G49" s="135"/>
      <c r="H49" s="135">
        <v>18.02</v>
      </c>
      <c r="I49" s="135">
        <v>1</v>
      </c>
      <c r="J49" s="135">
        <f>O49/O47</f>
        <v>1197.7677326393514</v>
      </c>
      <c r="K49" s="135"/>
      <c r="L49" s="135">
        <f>O49*H49</f>
        <v>2314.8180761817885</v>
      </c>
      <c r="M49" s="137">
        <f>L49/1000</f>
        <v>2.3148180761817883</v>
      </c>
      <c r="N49" s="135">
        <f>L49/I49</f>
        <v>2314.8180761817885</v>
      </c>
      <c r="O49" s="135">
        <f>O47*J6</f>
        <v>128.45827281807928</v>
      </c>
      <c r="P49" s="138"/>
      <c r="Q49" s="135"/>
      <c r="R49" s="135"/>
      <c r="S49" s="135">
        <f>285</f>
        <v>285</v>
      </c>
      <c r="T49" s="135" t="s">
        <v>58</v>
      </c>
      <c r="U49" s="135">
        <f xml:space="preserve"> S49/((I49*16000)/H49)</f>
        <v>0.32098125</v>
      </c>
      <c r="V49" s="136" t="s">
        <v>112</v>
      </c>
      <c r="W49" s="136" t="s">
        <v>40</v>
      </c>
      <c r="X49" s="289"/>
      <c r="Y49" s="22">
        <f>U49*O49</f>
        <v>41.232696981988113</v>
      </c>
      <c r="Z49" s="245"/>
      <c r="AA49" s="245"/>
      <c r="AB49" s="245"/>
    </row>
    <row r="50" spans="1:31" ht="17.5">
      <c r="A50" s="259"/>
      <c r="B50" s="139"/>
      <c r="C50" s="139"/>
      <c r="D50" s="82" t="s">
        <v>206</v>
      </c>
      <c r="E50" s="140" t="s">
        <v>41</v>
      </c>
      <c r="F50" s="141" t="s">
        <v>42</v>
      </c>
      <c r="G50" s="142"/>
      <c r="H50" s="142">
        <v>86.13</v>
      </c>
      <c r="I50" s="142">
        <v>0.86</v>
      </c>
      <c r="J50" s="142">
        <f>O50/O47</f>
        <v>25.540281486641643</v>
      </c>
      <c r="K50" s="142"/>
      <c r="L50" s="142">
        <f>O50*H50</f>
        <v>235.92262723819479</v>
      </c>
      <c r="M50" s="143">
        <f>L50/1000</f>
        <v>0.23592262723819479</v>
      </c>
      <c r="N50" s="142">
        <f>L50/I50</f>
        <v>274.32863632348233</v>
      </c>
      <c r="O50" s="142">
        <f>O47*J7</f>
        <v>2.7391457940113177</v>
      </c>
      <c r="P50" s="144"/>
      <c r="Q50" s="142"/>
      <c r="R50" s="142"/>
      <c r="S50" s="142">
        <f>21394.49*0.078</f>
        <v>1668.7702200000001</v>
      </c>
      <c r="T50" s="142" t="s">
        <v>43</v>
      </c>
      <c r="U50" s="142">
        <f>S50/((20000*I50)/H50)</f>
        <v>8.3564638981744199</v>
      </c>
      <c r="V50" s="82" t="s">
        <v>44</v>
      </c>
      <c r="W50" s="82" t="s">
        <v>45</v>
      </c>
      <c r="X50" s="289"/>
      <c r="Y50" s="26">
        <f>U50*O50</f>
        <v>22.889572939491885</v>
      </c>
      <c r="Z50" s="245"/>
      <c r="AA50" s="245"/>
      <c r="AB50" s="245"/>
    </row>
    <row r="51" spans="1:31" ht="17.5">
      <c r="A51" s="287"/>
      <c r="B51" s="44"/>
      <c r="C51" s="44">
        <v>19</v>
      </c>
      <c r="D51" s="43"/>
      <c r="E51" s="145" t="s">
        <v>46</v>
      </c>
      <c r="F51" s="79" t="s">
        <v>47</v>
      </c>
      <c r="G51" s="79" t="s">
        <v>48</v>
      </c>
      <c r="H51" s="45">
        <v>174.11</v>
      </c>
      <c r="I51" s="43"/>
      <c r="J51" s="43"/>
      <c r="K51" s="50">
        <v>0.96299999999999997</v>
      </c>
      <c r="L51" s="45"/>
      <c r="M51" s="45"/>
      <c r="N51" s="43"/>
      <c r="O51" s="45"/>
      <c r="P51" s="102">
        <f>R51*H51</f>
        <v>18.112771944640002</v>
      </c>
      <c r="Q51" s="91">
        <f>P51/1000</f>
        <v>1.8112771944640001E-2</v>
      </c>
      <c r="R51" s="95">
        <f>O53</f>
        <v>0.104030624</v>
      </c>
      <c r="S51" s="43"/>
      <c r="T51" s="43"/>
      <c r="U51" s="43"/>
      <c r="V51" s="43"/>
      <c r="W51" s="43"/>
      <c r="X51" s="290"/>
      <c r="Y51" s="81"/>
      <c r="Z51" s="252"/>
      <c r="AA51" s="252"/>
      <c r="AB51" s="252"/>
    </row>
    <row r="52" spans="1:31">
      <c r="A52" s="241" t="s">
        <v>233</v>
      </c>
      <c r="B52" s="29"/>
      <c r="C52" s="29"/>
      <c r="D52" s="30"/>
      <c r="E52" s="30"/>
      <c r="F52" s="30"/>
      <c r="G52" s="30"/>
      <c r="H52" s="12"/>
      <c r="I52" s="30"/>
      <c r="J52" s="30"/>
      <c r="K52" s="30"/>
      <c r="L52" s="12"/>
      <c r="M52" s="12"/>
      <c r="N52" s="30"/>
      <c r="O52" s="12"/>
      <c r="P52" s="55"/>
      <c r="Q52" s="31"/>
      <c r="R52" s="32"/>
      <c r="S52" s="30"/>
      <c r="T52" s="30"/>
      <c r="U52" s="30"/>
      <c r="V52" s="30"/>
      <c r="W52" s="30"/>
      <c r="X52" s="278">
        <f>R56/O53</f>
        <v>0.91000002076311681</v>
      </c>
      <c r="Y52" s="33"/>
      <c r="Z52" s="244" t="s">
        <v>149</v>
      </c>
      <c r="AA52" s="244">
        <v>1</v>
      </c>
      <c r="AB52" s="244">
        <v>3.5</v>
      </c>
    </row>
    <row r="53" spans="1:31" ht="17.5">
      <c r="A53" s="242"/>
      <c r="B53" s="27">
        <v>19</v>
      </c>
      <c r="C53" s="27"/>
      <c r="D53" s="34" t="s">
        <v>48</v>
      </c>
      <c r="E53" s="72" t="s">
        <v>46</v>
      </c>
      <c r="F53" s="34" t="s">
        <v>47</v>
      </c>
      <c r="G53" s="11"/>
      <c r="H53" s="13">
        <v>174.11</v>
      </c>
      <c r="I53" s="11"/>
      <c r="J53" s="13">
        <f>O53/O53</f>
        <v>1</v>
      </c>
      <c r="K53" s="83">
        <v>0.96299999999999997</v>
      </c>
      <c r="L53" s="35">
        <f>O53*H53</f>
        <v>18.112771944640002</v>
      </c>
      <c r="M53" s="36">
        <f>L53/1000</f>
        <v>1.8112771944640001E-2</v>
      </c>
      <c r="N53" s="11"/>
      <c r="O53" s="233">
        <v>0.104030624</v>
      </c>
      <c r="P53" s="56"/>
      <c r="Q53" s="11"/>
      <c r="R53" s="13"/>
      <c r="S53" s="11"/>
      <c r="T53" s="11"/>
      <c r="U53" s="11"/>
      <c r="V53" s="11"/>
      <c r="W53" s="11"/>
      <c r="X53" s="279"/>
      <c r="Y53" s="28"/>
      <c r="Z53" s="245"/>
      <c r="AA53" s="245"/>
      <c r="AB53" s="245"/>
    </row>
    <row r="54" spans="1:31" s="99" customFormat="1" ht="17.5">
      <c r="A54" s="242"/>
      <c r="B54" s="103"/>
      <c r="C54" s="103"/>
      <c r="D54" s="96" t="s">
        <v>115</v>
      </c>
      <c r="E54" s="96" t="s">
        <v>49</v>
      </c>
      <c r="F54" s="167" t="s">
        <v>42</v>
      </c>
      <c r="G54" s="96"/>
      <c r="H54" s="96">
        <v>100.16</v>
      </c>
      <c r="I54" s="96">
        <v>0.86</v>
      </c>
      <c r="J54" s="97">
        <f>O54/O53</f>
        <v>14.818292996852163</v>
      </c>
      <c r="K54" s="96"/>
      <c r="L54" s="97">
        <f>O54*H54</f>
        <v>154.40227571046844</v>
      </c>
      <c r="M54" s="98">
        <f>L54/1000</f>
        <v>0.15440227571046844</v>
      </c>
      <c r="N54" s="97">
        <f>L54/I54</f>
        <v>179.53752989589356</v>
      </c>
      <c r="O54" s="97">
        <f>O53*J11</f>
        <v>1.5415562670773606</v>
      </c>
      <c r="P54" s="168"/>
      <c r="Q54" s="96"/>
      <c r="R54" s="97"/>
      <c r="S54" s="97">
        <v>6630</v>
      </c>
      <c r="T54" s="96" t="s">
        <v>180</v>
      </c>
      <c r="U54" s="97">
        <f>S54/((195000*I54)/H54)</f>
        <v>3.9598139534883723</v>
      </c>
      <c r="V54" s="170" t="s">
        <v>179</v>
      </c>
      <c r="W54" s="96" t="s">
        <v>51</v>
      </c>
      <c r="X54" s="279"/>
      <c r="Y54" s="169">
        <f>U54*O54</f>
        <v>6.1042760164603802</v>
      </c>
      <c r="Z54" s="245"/>
      <c r="AA54" s="245"/>
      <c r="AB54" s="245"/>
    </row>
    <row r="55" spans="1:31" ht="17.5">
      <c r="A55" s="242"/>
      <c r="B55" s="27"/>
      <c r="C55" s="27"/>
      <c r="D55" s="24" t="s">
        <v>167</v>
      </c>
      <c r="E55" s="24" t="s">
        <v>52</v>
      </c>
      <c r="F55" s="77" t="s">
        <v>53</v>
      </c>
      <c r="G55" s="11"/>
      <c r="H55" s="11">
        <v>102.09</v>
      </c>
      <c r="I55" s="11">
        <v>1.08</v>
      </c>
      <c r="J55" s="13">
        <f>O55/O53</f>
        <v>1.1752882641955231</v>
      </c>
      <c r="K55" s="11"/>
      <c r="L55" s="13">
        <f>O55*H55</f>
        <v>12.48213303085736</v>
      </c>
      <c r="M55" s="41">
        <f t="shared" ref="M55" si="12">L55/1000</f>
        <v>1.2482133030857361E-2</v>
      </c>
      <c r="N55" s="13">
        <f>L55/I55</f>
        <v>11.557530584127186</v>
      </c>
      <c r="O55" s="25">
        <f>O53*J12</f>
        <v>0.12226597150413714</v>
      </c>
      <c r="P55" s="56"/>
      <c r="Q55" s="11"/>
      <c r="R55" s="13"/>
      <c r="S55" s="38">
        <f>79.4</f>
        <v>79.400000000000006</v>
      </c>
      <c r="T55" s="11" t="s">
        <v>39</v>
      </c>
      <c r="U55" s="13">
        <f>S55/((1000*I55)/H55)</f>
        <v>7.5055055555555565</v>
      </c>
      <c r="V55" s="24" t="s">
        <v>54</v>
      </c>
      <c r="W55" s="11" t="s">
        <v>55</v>
      </c>
      <c r="X55" s="279"/>
      <c r="Y55" s="26">
        <f>O55*U55</f>
        <v>0.91766792837969868</v>
      </c>
      <c r="Z55" s="245"/>
      <c r="AA55" s="245"/>
      <c r="AB55" s="245"/>
    </row>
    <row r="56" spans="1:31" ht="16.5">
      <c r="A56" s="243"/>
      <c r="B56" s="43"/>
      <c r="C56" s="44">
        <v>20</v>
      </c>
      <c r="D56" s="43"/>
      <c r="E56" s="78" t="s">
        <v>56</v>
      </c>
      <c r="F56" s="79" t="s">
        <v>47</v>
      </c>
      <c r="G56" s="79" t="s">
        <v>148</v>
      </c>
      <c r="H56" s="45">
        <v>156.09</v>
      </c>
      <c r="I56" s="43"/>
      <c r="J56" s="43"/>
      <c r="K56" s="43"/>
      <c r="L56" s="45"/>
      <c r="M56" s="45"/>
      <c r="N56" s="43"/>
      <c r="O56" s="45"/>
      <c r="P56" s="102">
        <f>R56*H56</f>
        <v>14.776707828300001</v>
      </c>
      <c r="Q56" s="91">
        <f>P56/1000</f>
        <v>1.4776707828300002E-2</v>
      </c>
      <c r="R56" s="95">
        <f>O58</f>
        <v>9.4667870000000001E-2</v>
      </c>
      <c r="S56" s="43"/>
      <c r="T56" s="43"/>
      <c r="U56" s="43"/>
      <c r="V56" s="43"/>
      <c r="W56" s="43"/>
      <c r="X56" s="280"/>
      <c r="Y56" s="46"/>
      <c r="Z56" s="252"/>
      <c r="AA56" s="252"/>
      <c r="AB56" s="252"/>
    </row>
    <row r="57" spans="1:31">
      <c r="A57" s="241" t="s">
        <v>239</v>
      </c>
      <c r="X57" s="278">
        <f>R61/O58</f>
        <v>0.999999978873508</v>
      </c>
      <c r="Z57" s="244" t="s">
        <v>155</v>
      </c>
      <c r="AA57" s="244">
        <v>1</v>
      </c>
      <c r="AB57" s="244">
        <v>16.149999999999999</v>
      </c>
    </row>
    <row r="58" spans="1:31" ht="16.5">
      <c r="A58" s="242"/>
      <c r="B58" s="27">
        <v>20</v>
      </c>
      <c r="D58" s="87" t="s">
        <v>148</v>
      </c>
      <c r="E58" s="150" t="s">
        <v>56</v>
      </c>
      <c r="F58" s="87" t="s">
        <v>47</v>
      </c>
      <c r="H58" s="142">
        <v>156.09</v>
      </c>
      <c r="J58" s="13">
        <f>O58/O58</f>
        <v>1</v>
      </c>
      <c r="L58" s="151">
        <f>O58*H58</f>
        <v>14.776707828300001</v>
      </c>
      <c r="M58" s="152">
        <f>L58/1000</f>
        <v>1.4776707828300002E-2</v>
      </c>
      <c r="O58" s="235">
        <v>9.4667870000000001E-2</v>
      </c>
      <c r="X58" s="279"/>
      <c r="Z58" s="245"/>
      <c r="AA58" s="245"/>
      <c r="AB58" s="245"/>
    </row>
    <row r="59" spans="1:31" s="99" customFormat="1" ht="17.5">
      <c r="A59" s="242"/>
      <c r="B59" s="103"/>
      <c r="C59" s="103"/>
      <c r="D59" s="96" t="s">
        <v>115</v>
      </c>
      <c r="E59" s="96" t="s">
        <v>49</v>
      </c>
      <c r="F59" s="167" t="s">
        <v>42</v>
      </c>
      <c r="G59" s="96"/>
      <c r="H59" s="96">
        <v>100.16</v>
      </c>
      <c r="I59" s="96">
        <v>0.86</v>
      </c>
      <c r="J59" s="97">
        <f>O59/O58</f>
        <v>10.181038791099303</v>
      </c>
      <c r="K59" s="96"/>
      <c r="L59" s="97">
        <f>O59*H59</f>
        <v>96.535936435153104</v>
      </c>
      <c r="M59" s="98">
        <f>L59/1000</f>
        <v>9.6535936435153111E-2</v>
      </c>
      <c r="N59" s="97">
        <f>L59/I59</f>
        <v>112.251088878085</v>
      </c>
      <c r="O59" s="97">
        <f>O58*J16</f>
        <v>0.96381725674074592</v>
      </c>
      <c r="P59" s="168"/>
      <c r="Q59" s="96"/>
      <c r="R59" s="97"/>
      <c r="S59" s="97">
        <f>6630</f>
        <v>6630</v>
      </c>
      <c r="T59" s="96" t="s">
        <v>180</v>
      </c>
      <c r="U59" s="97">
        <f>S59/((195000*I59)/H59)</f>
        <v>3.9598139534883723</v>
      </c>
      <c r="V59" s="170" t="s">
        <v>179</v>
      </c>
      <c r="W59" s="96" t="s">
        <v>51</v>
      </c>
      <c r="X59" s="279"/>
      <c r="Y59" s="171">
        <f>U59*O59</f>
        <v>3.8165370218548906</v>
      </c>
      <c r="Z59" s="245"/>
      <c r="AA59" s="245"/>
      <c r="AB59" s="245"/>
    </row>
    <row r="60" spans="1:31" ht="17.5">
      <c r="A60" s="242"/>
      <c r="B60" s="27"/>
      <c r="C60" s="27"/>
      <c r="D60" s="11" t="s">
        <v>171</v>
      </c>
      <c r="E60" s="11" t="s">
        <v>57</v>
      </c>
      <c r="F60" s="77" t="s">
        <v>53</v>
      </c>
      <c r="G60" s="11"/>
      <c r="H60" s="11">
        <v>46.07</v>
      </c>
      <c r="I60" s="11">
        <v>0.78900000000000003</v>
      </c>
      <c r="J60" s="13">
        <f>O60/O58</f>
        <v>10.880027980955887</v>
      </c>
      <c r="K60" s="11"/>
      <c r="L60" s="13">
        <f>O60*H60</f>
        <v>47.451596662099568</v>
      </c>
      <c r="M60" s="41">
        <f>L60/1000</f>
        <v>4.7451596662099568E-2</v>
      </c>
      <c r="N60" s="13">
        <f>L60/I60</f>
        <v>60.141440636374611</v>
      </c>
      <c r="O60" s="13">
        <f>O58*J17</f>
        <v>1.0299890744974944</v>
      </c>
      <c r="P60" s="56"/>
      <c r="Q60" s="11"/>
      <c r="R60" s="13"/>
      <c r="S60" s="13">
        <f>1070</f>
        <v>1070</v>
      </c>
      <c r="T60" s="11" t="s">
        <v>150</v>
      </c>
      <c r="U60" s="13">
        <f>S60/((16000*I60)/H60)</f>
        <v>3.9048558301647653</v>
      </c>
      <c r="V60" s="39" t="s">
        <v>151</v>
      </c>
      <c r="W60" s="39" t="s">
        <v>60</v>
      </c>
      <c r="X60" s="279"/>
      <c r="Y60" s="142">
        <f>U60*O60</f>
        <v>4.0219588425575523</v>
      </c>
      <c r="Z60" s="245"/>
      <c r="AA60" s="245"/>
      <c r="AB60" s="245"/>
    </row>
    <row r="61" spans="1:31" ht="16.5">
      <c r="A61" s="243"/>
      <c r="B61" s="43"/>
      <c r="C61" s="44">
        <v>21</v>
      </c>
      <c r="D61" s="43"/>
      <c r="E61" s="78" t="s">
        <v>152</v>
      </c>
      <c r="F61" s="79" t="s">
        <v>47</v>
      </c>
      <c r="G61" s="79" t="s">
        <v>153</v>
      </c>
      <c r="H61" s="45">
        <v>202.16</v>
      </c>
      <c r="I61" s="43"/>
      <c r="J61" s="43"/>
      <c r="K61" s="43"/>
      <c r="L61" s="45"/>
      <c r="M61" s="45"/>
      <c r="N61" s="43"/>
      <c r="O61" s="45"/>
      <c r="P61" s="102">
        <f>R61*H61</f>
        <v>19.138056194880001</v>
      </c>
      <c r="Q61" s="91">
        <f>P61/1000</f>
        <v>1.9138056194880002E-2</v>
      </c>
      <c r="R61" s="95">
        <f>O63</f>
        <v>9.4667868000000002E-2</v>
      </c>
      <c r="S61" s="43"/>
      <c r="T61" s="43"/>
      <c r="U61" s="43"/>
      <c r="V61" s="43"/>
      <c r="W61" s="43"/>
      <c r="X61" s="280"/>
      <c r="Y61" s="43"/>
      <c r="Z61" s="252"/>
      <c r="AA61" s="252"/>
      <c r="AB61" s="252"/>
    </row>
    <row r="62" spans="1:31">
      <c r="A62" s="241" t="s">
        <v>240</v>
      </c>
      <c r="X62" s="278">
        <f>R73/O63</f>
        <v>0.80000000149691308</v>
      </c>
      <c r="Y62" s="149"/>
      <c r="Z62" s="244" t="s">
        <v>160</v>
      </c>
      <c r="AA62" s="244">
        <v>0.05</v>
      </c>
      <c r="AB62" s="244">
        <v>5</v>
      </c>
    </row>
    <row r="63" spans="1:31" ht="16.5">
      <c r="A63" s="242"/>
      <c r="B63" s="27">
        <v>21</v>
      </c>
      <c r="D63" s="87" t="s">
        <v>154</v>
      </c>
      <c r="E63" s="150" t="s">
        <v>152</v>
      </c>
      <c r="F63" s="87" t="s">
        <v>47</v>
      </c>
      <c r="H63" s="142">
        <v>202.16</v>
      </c>
      <c r="J63" s="13">
        <f>O63/O63</f>
        <v>1</v>
      </c>
      <c r="L63" s="151">
        <f>O63*H63</f>
        <v>19.138056194880001</v>
      </c>
      <c r="M63" s="152">
        <f>L63/1000</f>
        <v>1.9138056194880002E-2</v>
      </c>
      <c r="O63" s="233">
        <v>9.4667868000000002E-2</v>
      </c>
      <c r="X63" s="279"/>
      <c r="Y63" s="120"/>
      <c r="Z63" s="245"/>
      <c r="AA63" s="245"/>
      <c r="AB63" s="245"/>
    </row>
    <row r="64" spans="1:31" ht="17.5">
      <c r="A64" s="242"/>
      <c r="B64" s="11"/>
      <c r="C64" s="11"/>
      <c r="D64" s="11" t="s">
        <v>170</v>
      </c>
      <c r="E64" s="11" t="s">
        <v>61</v>
      </c>
      <c r="F64" s="77" t="s">
        <v>53</v>
      </c>
      <c r="G64" s="11"/>
      <c r="H64" s="11">
        <v>126.92</v>
      </c>
      <c r="I64" s="11">
        <v>1.5</v>
      </c>
      <c r="J64" s="13">
        <f>O64/O63</f>
        <v>1.2343601566919635</v>
      </c>
      <c r="K64" s="11" t="s">
        <v>117</v>
      </c>
      <c r="L64" s="13">
        <f t="shared" ref="L64:L72" si="13">O64*H64</f>
        <v>14.83114069647786</v>
      </c>
      <c r="M64" s="41">
        <f t="shared" ref="M64:M65" si="14">L64/1000</f>
        <v>1.4831140696477859E-2</v>
      </c>
      <c r="N64" s="13">
        <f t="shared" ref="N64" si="15">L64/I64</f>
        <v>9.8874271309852393</v>
      </c>
      <c r="O64" s="41">
        <f>O63*J21</f>
        <v>0.11685424437817413</v>
      </c>
      <c r="P64" s="56"/>
      <c r="Q64" s="11"/>
      <c r="R64" s="13"/>
      <c r="S64" s="11">
        <f>1340</f>
        <v>1340</v>
      </c>
      <c r="T64" s="11" t="s">
        <v>127</v>
      </c>
      <c r="U64" s="13">
        <f>S64/(10000/H64)</f>
        <v>17.007280000000002</v>
      </c>
      <c r="V64" s="11" t="s">
        <v>62</v>
      </c>
      <c r="W64" s="11" t="s">
        <v>63</v>
      </c>
      <c r="X64" s="279"/>
      <c r="Y64" s="40">
        <f>U64*O64</f>
        <v>1.9873728533280335</v>
      </c>
      <c r="Z64" s="245"/>
      <c r="AA64" s="245"/>
      <c r="AB64" s="245"/>
      <c r="AD64">
        <f>0.104030624/97%</f>
        <v>0.10724806597938145</v>
      </c>
      <c r="AE64">
        <f>0.104030624/97%</f>
        <v>0.10724806597938145</v>
      </c>
    </row>
    <row r="65" spans="1:31" ht="17.5">
      <c r="A65" s="242"/>
      <c r="B65" s="11"/>
      <c r="C65" s="11"/>
      <c r="D65" s="11" t="s">
        <v>118</v>
      </c>
      <c r="E65" s="24" t="s">
        <v>64</v>
      </c>
      <c r="F65" s="71" t="s">
        <v>42</v>
      </c>
      <c r="G65" s="11"/>
      <c r="H65" s="11">
        <v>84.93</v>
      </c>
      <c r="I65" s="13">
        <v>1.325</v>
      </c>
      <c r="J65" s="13">
        <f>O65/O63</f>
        <v>78.273030143519662</v>
      </c>
      <c r="K65" s="11"/>
      <c r="L65" s="13">
        <f t="shared" si="13"/>
        <v>629.32627941288195</v>
      </c>
      <c r="M65" s="41">
        <f t="shared" si="14"/>
        <v>0.62932627941288199</v>
      </c>
      <c r="N65" s="13">
        <f>L65/I65</f>
        <v>474.96322974557131</v>
      </c>
      <c r="O65" s="13">
        <f>O63*J22</f>
        <v>7.4099408855867406</v>
      </c>
      <c r="P65" s="56"/>
      <c r="Q65" s="11"/>
      <c r="R65" s="13"/>
      <c r="S65" s="13">
        <f>701</f>
        <v>701</v>
      </c>
      <c r="T65" s="11" t="s">
        <v>43</v>
      </c>
      <c r="U65" s="13">
        <f>S65/((20000*I65)/H65)</f>
        <v>2.2466388679245286</v>
      </c>
      <c r="V65" s="11" t="s">
        <v>120</v>
      </c>
      <c r="W65" s="11" t="s">
        <v>66</v>
      </c>
      <c r="X65" s="279"/>
      <c r="Y65" s="40">
        <f>U65*O65</f>
        <v>16.647461202582274</v>
      </c>
      <c r="Z65" s="245"/>
      <c r="AA65" s="245"/>
      <c r="AB65" s="245"/>
    </row>
    <row r="66" spans="1:31" s="99" customFormat="1" ht="17.5">
      <c r="A66" s="242"/>
      <c r="B66" s="96"/>
      <c r="C66" s="96"/>
      <c r="D66" s="170" t="s">
        <v>119</v>
      </c>
      <c r="E66" s="96" t="s">
        <v>67</v>
      </c>
      <c r="F66" s="187" t="s">
        <v>207</v>
      </c>
      <c r="G66" s="96"/>
      <c r="H66" s="97">
        <v>73.099999999999994</v>
      </c>
      <c r="I66" s="96">
        <v>0.94399999999999995</v>
      </c>
      <c r="J66" s="97">
        <f>O66/O63</f>
        <v>0.11633944661063031</v>
      </c>
      <c r="K66" s="190" t="s">
        <v>208</v>
      </c>
      <c r="L66" s="97">
        <f t="shared" si="13"/>
        <v>0.80509469910725118</v>
      </c>
      <c r="M66" s="98">
        <f>L66/1000</f>
        <v>8.0509469910725116E-4</v>
      </c>
      <c r="N66" s="97">
        <f>L66/I66</f>
        <v>0.85285455413903732</v>
      </c>
      <c r="O66" s="97">
        <f>O63*J23</f>
        <v>1.1013607374928198E-2</v>
      </c>
      <c r="P66" s="176"/>
      <c r="Q66" s="97"/>
      <c r="R66" s="96"/>
      <c r="S66" s="97">
        <f>851</f>
        <v>851</v>
      </c>
      <c r="T66" s="96" t="s">
        <v>101</v>
      </c>
      <c r="U66" s="97">
        <f>S66/((18000*I66)/H66)</f>
        <v>3.6610228342749527</v>
      </c>
      <c r="V66" s="174" t="s">
        <v>121</v>
      </c>
      <c r="W66" s="191" t="s">
        <v>68</v>
      </c>
      <c r="X66" s="279"/>
      <c r="Y66" s="157">
        <f>U66*O66</f>
        <v>4.0321068087351149E-2</v>
      </c>
      <c r="Z66" s="245"/>
      <c r="AA66" s="245"/>
      <c r="AB66" s="245"/>
      <c r="AD66" s="99">
        <f>0.094667868/91%</f>
        <v>0.10403062417582418</v>
      </c>
      <c r="AE66" s="99">
        <v>0.10403062417582418</v>
      </c>
    </row>
    <row r="67" spans="1:31" s="99" customFormat="1" ht="17.5">
      <c r="A67" s="242"/>
      <c r="B67" s="96"/>
      <c r="C67" s="96"/>
      <c r="D67" s="96" t="s">
        <v>69</v>
      </c>
      <c r="E67" s="96" t="s">
        <v>70</v>
      </c>
      <c r="F67" s="155" t="s">
        <v>53</v>
      </c>
      <c r="G67" s="96"/>
      <c r="H67" s="96">
        <v>107.16</v>
      </c>
      <c r="I67" s="96">
        <v>0.98899999999999999</v>
      </c>
      <c r="J67" s="97">
        <f>O67/O63</f>
        <v>1.0290135396518376</v>
      </c>
      <c r="K67" s="96"/>
      <c r="L67" s="97">
        <f t="shared" si="13"/>
        <v>10.43893974266182</v>
      </c>
      <c r="M67" s="98">
        <f t="shared" ref="M67:M72" si="16">L67/1000</f>
        <v>1.0438939742661819E-2</v>
      </c>
      <c r="N67" s="97">
        <f t="shared" ref="N67:N68" si="17">L67/I67</f>
        <v>10.555045240305176</v>
      </c>
      <c r="O67" s="98">
        <f>O63*J24</f>
        <v>9.7414517941972936E-2</v>
      </c>
      <c r="P67" s="168"/>
      <c r="Q67" s="96"/>
      <c r="R67" s="97"/>
      <c r="S67" s="97">
        <f>67.6</f>
        <v>67.599999999999994</v>
      </c>
      <c r="T67" s="96" t="s">
        <v>34</v>
      </c>
      <c r="U67" s="97">
        <f t="shared" ref="U67" si="18">S67/(1000/H67)</f>
        <v>7.2440159999999993</v>
      </c>
      <c r="V67" s="96" t="s">
        <v>71</v>
      </c>
      <c r="W67" s="96" t="s">
        <v>72</v>
      </c>
      <c r="X67" s="279"/>
      <c r="Y67" s="157">
        <f>O67*U67</f>
        <v>0.70567232660393897</v>
      </c>
      <c r="Z67" s="245"/>
      <c r="AA67" s="245"/>
      <c r="AB67" s="245"/>
    </row>
    <row r="68" spans="1:31" s="99" customFormat="1" ht="17.5">
      <c r="A68" s="242"/>
      <c r="B68" s="96"/>
      <c r="C68" s="96"/>
      <c r="D68" s="170" t="s">
        <v>168</v>
      </c>
      <c r="E68" s="96" t="s">
        <v>73</v>
      </c>
      <c r="F68" s="155" t="s">
        <v>53</v>
      </c>
      <c r="G68" s="96"/>
      <c r="H68" s="97">
        <v>79.099999999999994</v>
      </c>
      <c r="I68" s="96">
        <v>0.97799999999999998</v>
      </c>
      <c r="J68" s="97">
        <f>O68/O63</f>
        <v>1.0284510908144433</v>
      </c>
      <c r="K68" s="96"/>
      <c r="L68" s="97">
        <f t="shared" si="13"/>
        <v>7.7012766238755086</v>
      </c>
      <c r="M68" s="98">
        <f t="shared" si="16"/>
        <v>7.7012766238755085E-3</v>
      </c>
      <c r="N68" s="97">
        <f t="shared" si="17"/>
        <v>7.8745159753328311</v>
      </c>
      <c r="O68" s="98">
        <f>O63*J25</f>
        <v>9.7361272109677738E-2</v>
      </c>
      <c r="P68" s="168"/>
      <c r="Q68" s="96"/>
      <c r="R68" s="97"/>
      <c r="S68" s="97">
        <v>879</v>
      </c>
      <c r="T68" s="96" t="s">
        <v>65</v>
      </c>
      <c r="U68" s="97">
        <f>S68/((8000*I68)/H68)</f>
        <v>8.8866180981595093</v>
      </c>
      <c r="V68" s="96" t="s">
        <v>74</v>
      </c>
      <c r="W68" s="96" t="s">
        <v>75</v>
      </c>
      <c r="X68" s="279"/>
      <c r="Y68" s="157">
        <f>O68*U68</f>
        <v>0.86521244278969489</v>
      </c>
      <c r="Z68" s="245"/>
      <c r="AA68" s="245"/>
      <c r="AB68" s="245"/>
      <c r="AD68" s="99">
        <f>R73/80%</f>
        <v>9.466786817713696E-2</v>
      </c>
      <c r="AE68" s="99">
        <v>9.466786817713696E-2</v>
      </c>
    </row>
    <row r="69" spans="1:31">
      <c r="A69" s="242"/>
      <c r="B69" s="11"/>
      <c r="C69" s="11"/>
      <c r="D69" s="11" t="s">
        <v>76</v>
      </c>
      <c r="E69" s="11" t="s">
        <v>77</v>
      </c>
      <c r="F69" s="77" t="s">
        <v>53</v>
      </c>
      <c r="G69" s="11"/>
      <c r="H69" s="11">
        <v>36.46</v>
      </c>
      <c r="I69" s="11">
        <v>1.19</v>
      </c>
      <c r="J69" s="13">
        <f>O69/O63</f>
        <v>58.807493475622927</v>
      </c>
      <c r="K69" s="11" t="s">
        <v>78</v>
      </c>
      <c r="L69" s="13">
        <f t="shared" si="13"/>
        <v>202.9793838850909</v>
      </c>
      <c r="M69" s="41">
        <f t="shared" si="16"/>
        <v>0.2029793838850909</v>
      </c>
      <c r="N69" s="13">
        <f>L69/I69</f>
        <v>170.5709108278075</v>
      </c>
      <c r="O69" s="13">
        <f>O63*J26</f>
        <v>5.5671800297611327</v>
      </c>
      <c r="P69" s="56"/>
      <c r="Q69" s="11"/>
      <c r="R69" s="13"/>
      <c r="S69" s="13">
        <v>383</v>
      </c>
      <c r="T69" s="11" t="s">
        <v>123</v>
      </c>
      <c r="U69" s="13">
        <f>S69/((1500*I69)/H69)</f>
        <v>7.8230700280112044</v>
      </c>
      <c r="V69" s="11" t="s">
        <v>122</v>
      </c>
      <c r="W69" s="11" t="s">
        <v>79</v>
      </c>
      <c r="X69" s="279"/>
      <c r="Y69" s="40">
        <f>O69*U69</f>
        <v>43.55243923136684</v>
      </c>
      <c r="Z69" s="245"/>
      <c r="AA69" s="245"/>
      <c r="AB69" s="245"/>
    </row>
    <row r="70" spans="1:31">
      <c r="A70" s="242"/>
      <c r="B70" s="99"/>
      <c r="C70" s="99"/>
      <c r="D70" s="96" t="s">
        <v>156</v>
      </c>
      <c r="E70" s="96" t="s">
        <v>157</v>
      </c>
      <c r="F70" s="155" t="s">
        <v>53</v>
      </c>
      <c r="G70" s="99"/>
      <c r="H70" s="96">
        <f>58.44</f>
        <v>58.44</v>
      </c>
      <c r="I70" s="96">
        <f>2.16</f>
        <v>2.16</v>
      </c>
      <c r="J70" s="97">
        <f>O70/O63</f>
        <v>16.648914559290208</v>
      </c>
      <c r="K70" s="99"/>
      <c r="L70" s="97">
        <f t="shared" si="13"/>
        <v>92.108291847016048</v>
      </c>
      <c r="M70" s="98">
        <f t="shared" si="16"/>
        <v>9.2108291847016049E-2</v>
      </c>
      <c r="N70" s="97">
        <f>L70/I70</f>
        <v>42.642727706951874</v>
      </c>
      <c r="O70" s="97">
        <f>O63*J27</f>
        <v>1.5761172458421637</v>
      </c>
      <c r="P70" s="156"/>
      <c r="Q70" s="99"/>
      <c r="R70" s="99"/>
      <c r="S70" s="97">
        <f>528</f>
        <v>528</v>
      </c>
      <c r="T70" s="96" t="s">
        <v>134</v>
      </c>
      <c r="U70" s="97">
        <f>S70/(50000/H70)</f>
        <v>0.61712639999999996</v>
      </c>
      <c r="V70" s="96" t="s">
        <v>158</v>
      </c>
      <c r="W70" s="96" t="s">
        <v>159</v>
      </c>
      <c r="X70" s="279"/>
      <c r="Y70" s="157">
        <f>U70*O70</f>
        <v>0.97266356190448944</v>
      </c>
      <c r="Z70" s="245"/>
      <c r="AA70" s="245"/>
      <c r="AB70" s="245"/>
    </row>
    <row r="71" spans="1:31" ht="17.5">
      <c r="A71" s="242"/>
      <c r="B71" s="21"/>
      <c r="C71" s="21"/>
      <c r="D71" s="21" t="s">
        <v>37</v>
      </c>
      <c r="E71" s="21" t="s">
        <v>38</v>
      </c>
      <c r="F71" s="48" t="s">
        <v>37</v>
      </c>
      <c r="G71" s="21"/>
      <c r="H71" s="21">
        <v>18.02</v>
      </c>
      <c r="I71" s="20">
        <v>1</v>
      </c>
      <c r="J71" s="20">
        <f>O71/O63</f>
        <v>49.993965904392226</v>
      </c>
      <c r="K71" s="21"/>
      <c r="L71" s="20">
        <f t="shared" si="13"/>
        <v>85.285455413903733</v>
      </c>
      <c r="M71" s="84">
        <f t="shared" si="16"/>
        <v>8.5285455413903727E-2</v>
      </c>
      <c r="N71" s="20">
        <f>L71/I71</f>
        <v>85.285455413903733</v>
      </c>
      <c r="O71" s="20">
        <f>O63*J28</f>
        <v>4.7328221650335038</v>
      </c>
      <c r="P71" s="58"/>
      <c r="Q71" s="21"/>
      <c r="R71" s="20"/>
      <c r="S71" s="20">
        <f>285</f>
        <v>285</v>
      </c>
      <c r="T71" s="20" t="s">
        <v>58</v>
      </c>
      <c r="U71" s="20">
        <f>S71/((16000*I71)/H71)</f>
        <v>0.32098125</v>
      </c>
      <c r="V71" s="21" t="s">
        <v>112</v>
      </c>
      <c r="W71" s="21" t="s">
        <v>82</v>
      </c>
      <c r="X71" s="279"/>
      <c r="Y71" s="158">
        <f t="shared" ref="Y71:Y72" si="19">U71*O71</f>
        <v>1.5191471745601604</v>
      </c>
      <c r="Z71" s="245"/>
      <c r="AA71" s="245"/>
      <c r="AB71" s="245"/>
    </row>
    <row r="72" spans="1:31" s="99" customFormat="1" ht="17.5">
      <c r="A72" s="242"/>
      <c r="B72" s="103"/>
      <c r="C72" s="103"/>
      <c r="D72" s="96" t="s">
        <v>169</v>
      </c>
      <c r="E72" s="96" t="s">
        <v>97</v>
      </c>
      <c r="F72" s="167" t="s">
        <v>42</v>
      </c>
      <c r="G72" s="96"/>
      <c r="H72" s="96">
        <v>92.14</v>
      </c>
      <c r="I72" s="96">
        <v>0.86499999999999999</v>
      </c>
      <c r="J72" s="97">
        <f>O72/O63</f>
        <v>17.760679226798558</v>
      </c>
      <c r="K72" s="96"/>
      <c r="L72" s="97">
        <f t="shared" si="13"/>
        <v>154.92102975935614</v>
      </c>
      <c r="M72" s="98">
        <f t="shared" si="16"/>
        <v>0.15492102975935615</v>
      </c>
      <c r="N72" s="97">
        <f>L72/I72</f>
        <v>179.09945636919787</v>
      </c>
      <c r="O72" s="97">
        <f>O63*J29</f>
        <v>1.6813656366329079</v>
      </c>
      <c r="P72" s="168"/>
      <c r="Q72" s="96"/>
      <c r="R72" s="97"/>
      <c r="S72" s="97">
        <f>1800</f>
        <v>1800</v>
      </c>
      <c r="T72" s="96" t="s">
        <v>50</v>
      </c>
      <c r="U72" s="97">
        <f>S72/((200000*I72)/H72)</f>
        <v>0.95868208092485552</v>
      </c>
      <c r="V72" s="170" t="s">
        <v>178</v>
      </c>
      <c r="W72" s="96" t="s">
        <v>98</v>
      </c>
      <c r="X72" s="279"/>
      <c r="Y72" s="157">
        <f t="shared" si="19"/>
        <v>1.6118951073227807</v>
      </c>
      <c r="Z72" s="245"/>
      <c r="AA72" s="245"/>
      <c r="AB72" s="245"/>
    </row>
    <row r="73" spans="1:31" ht="16.5">
      <c r="A73" s="243"/>
      <c r="B73" s="43"/>
      <c r="C73" s="44">
        <v>22</v>
      </c>
      <c r="D73" s="43"/>
      <c r="E73" s="78" t="s">
        <v>83</v>
      </c>
      <c r="F73" s="79" t="s">
        <v>47</v>
      </c>
      <c r="G73" s="79" t="s">
        <v>84</v>
      </c>
      <c r="H73" s="45">
        <v>291.3</v>
      </c>
      <c r="I73" s="43"/>
      <c r="J73" s="43"/>
      <c r="K73" s="43"/>
      <c r="L73" s="45"/>
      <c r="M73" s="45"/>
      <c r="N73" s="43"/>
      <c r="O73" s="45"/>
      <c r="P73" s="102">
        <f>R73*H73</f>
        <v>22.061399999999999</v>
      </c>
      <c r="Q73" s="95">
        <f>P73/1000</f>
        <v>2.2061399999999998E-2</v>
      </c>
      <c r="R73" s="95">
        <f>O75</f>
        <v>7.5734294541709574E-2</v>
      </c>
      <c r="S73" s="43"/>
      <c r="T73" s="43"/>
      <c r="U73" s="43"/>
      <c r="V73" s="43"/>
      <c r="W73" s="43"/>
      <c r="X73" s="280"/>
      <c r="Y73" s="81"/>
      <c r="Z73" s="252"/>
      <c r="AA73" s="252"/>
      <c r="AB73" s="252"/>
    </row>
    <row r="74" spans="1:31">
      <c r="A74" s="241" t="s">
        <v>235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12"/>
      <c r="M74" s="12"/>
      <c r="N74" s="30"/>
      <c r="O74" s="12"/>
      <c r="P74" s="59"/>
      <c r="Q74" s="30"/>
      <c r="R74" s="12"/>
      <c r="S74" s="30"/>
      <c r="T74" s="30"/>
      <c r="U74" s="30"/>
      <c r="V74" s="30"/>
      <c r="W74" s="30"/>
      <c r="X74" s="281">
        <f>R85/O75</f>
        <v>0.74861725910413668</v>
      </c>
      <c r="Y74" s="33"/>
      <c r="Z74" s="284" t="s">
        <v>172</v>
      </c>
      <c r="AA74" s="244">
        <v>0.1</v>
      </c>
      <c r="AB74" s="244">
        <f>24.15</f>
        <v>24.15</v>
      </c>
    </row>
    <row r="75" spans="1:31" ht="16.5">
      <c r="A75" s="242"/>
      <c r="B75" s="27">
        <v>22</v>
      </c>
      <c r="C75" s="27"/>
      <c r="D75" s="34" t="s">
        <v>84</v>
      </c>
      <c r="E75" s="80" t="s">
        <v>83</v>
      </c>
      <c r="F75" s="34" t="s">
        <v>47</v>
      </c>
      <c r="G75" s="11"/>
      <c r="H75" s="13">
        <v>291.3</v>
      </c>
      <c r="I75" s="11"/>
      <c r="J75" s="13">
        <f>O75/O75</f>
        <v>1</v>
      </c>
      <c r="K75" s="11"/>
      <c r="L75" s="35">
        <f>O75*H75</f>
        <v>22.061399999999999</v>
      </c>
      <c r="M75" s="36">
        <f>L75/1000</f>
        <v>2.2061399999999998E-2</v>
      </c>
      <c r="N75" s="11"/>
      <c r="O75" s="47">
        <v>7.5734294541709574E-2</v>
      </c>
      <c r="P75" s="56"/>
      <c r="Q75" s="11"/>
      <c r="R75" s="13"/>
      <c r="S75" s="11"/>
      <c r="T75" s="11"/>
      <c r="U75" s="11"/>
      <c r="V75" s="11"/>
      <c r="W75" s="11"/>
      <c r="X75" s="282"/>
      <c r="Y75" s="28"/>
      <c r="Z75" s="285"/>
      <c r="AA75" s="245"/>
      <c r="AB75" s="245"/>
    </row>
    <row r="76" spans="1:31" s="99" customFormat="1" ht="17.5">
      <c r="A76" s="242"/>
      <c r="B76" s="103"/>
      <c r="C76" s="103"/>
      <c r="D76" s="96" t="s">
        <v>129</v>
      </c>
      <c r="E76" s="96" t="s">
        <v>85</v>
      </c>
      <c r="F76" s="167" t="s">
        <v>42</v>
      </c>
      <c r="G76" s="96"/>
      <c r="H76" s="96">
        <v>72.11</v>
      </c>
      <c r="I76" s="96">
        <v>0.88900000000000001</v>
      </c>
      <c r="J76" s="97">
        <f>O76/O75</f>
        <v>37.44048941096716</v>
      </c>
      <c r="K76" s="96"/>
      <c r="L76" s="97">
        <f t="shared" ref="L76:L84" si="20">O76*H76</f>
        <v>204.47</v>
      </c>
      <c r="M76" s="98">
        <f>L76/1000</f>
        <v>0.20446999999999999</v>
      </c>
      <c r="N76" s="97">
        <f>L76/I76</f>
        <v>230</v>
      </c>
      <c r="O76" s="97">
        <f>O75*J33</f>
        <v>2.8355290528359451</v>
      </c>
      <c r="P76" s="168"/>
      <c r="Q76" s="96"/>
      <c r="R76" s="97"/>
      <c r="S76" s="98">
        <v>6860</v>
      </c>
      <c r="T76" s="96" t="s">
        <v>50</v>
      </c>
      <c r="U76" s="97">
        <f>S76/((200000*I76)/H76)</f>
        <v>2.7821968503937007</v>
      </c>
      <c r="V76" s="170" t="s">
        <v>181</v>
      </c>
      <c r="W76" s="96" t="s">
        <v>86</v>
      </c>
      <c r="X76" s="282"/>
      <c r="Y76" s="169">
        <f t="shared" ref="Y76:Y84" si="21">U76*O76</f>
        <v>7.8890000000000002</v>
      </c>
      <c r="Z76" s="285"/>
      <c r="AA76" s="245"/>
      <c r="AB76" s="245"/>
    </row>
    <row r="77" spans="1:31" ht="17.5">
      <c r="A77" s="242"/>
      <c r="B77" s="27"/>
      <c r="C77" s="27"/>
      <c r="D77" s="11" t="s">
        <v>130</v>
      </c>
      <c r="E77" s="11" t="s">
        <v>87</v>
      </c>
      <c r="F77" s="77" t="s">
        <v>53</v>
      </c>
      <c r="G77" s="11"/>
      <c r="H77" s="13">
        <v>37.950000000000003</v>
      </c>
      <c r="I77" s="11">
        <v>0.91700000000000004</v>
      </c>
      <c r="J77" s="13">
        <f>O77/O75</f>
        <v>4.0008295031140353</v>
      </c>
      <c r="K77" s="11" t="s">
        <v>131</v>
      </c>
      <c r="L77" s="13">
        <f t="shared" si="20"/>
        <v>11.498849999999999</v>
      </c>
      <c r="M77" s="41">
        <f t="shared" ref="M77:M84" si="22">L77/1000</f>
        <v>1.149885E-2</v>
      </c>
      <c r="N77" s="13">
        <f>L77/I77</f>
        <v>12.539640130861503</v>
      </c>
      <c r="O77" s="13">
        <f>O75*J34</f>
        <v>0.30299999999999994</v>
      </c>
      <c r="P77" s="56"/>
      <c r="Q77" s="11"/>
      <c r="R77" s="13"/>
      <c r="S77" s="13">
        <v>711</v>
      </c>
      <c r="T77" s="11" t="s">
        <v>88</v>
      </c>
      <c r="U77" s="13">
        <f>S77/(1000/H77)</f>
        <v>26.98245</v>
      </c>
      <c r="V77" s="11" t="s">
        <v>89</v>
      </c>
      <c r="W77" t="s">
        <v>90</v>
      </c>
      <c r="X77" s="282"/>
      <c r="Y77" s="26">
        <f t="shared" si="21"/>
        <v>8.1756823499999989</v>
      </c>
      <c r="Z77" s="285"/>
      <c r="AA77" s="245"/>
      <c r="AB77" s="245"/>
    </row>
    <row r="78" spans="1:31" ht="17.5">
      <c r="A78" s="242"/>
      <c r="B78" s="27"/>
      <c r="C78" s="27"/>
      <c r="D78" s="11" t="s">
        <v>91</v>
      </c>
      <c r="E78" s="11" t="s">
        <v>92</v>
      </c>
      <c r="F78" s="77" t="s">
        <v>53</v>
      </c>
      <c r="G78" s="11"/>
      <c r="H78" s="13">
        <v>98.07</v>
      </c>
      <c r="I78" s="13">
        <v>1.84</v>
      </c>
      <c r="J78" s="13">
        <f>O78/O75</f>
        <v>12.016795261439805</v>
      </c>
      <c r="K78" s="11" t="s">
        <v>131</v>
      </c>
      <c r="L78" s="13">
        <f t="shared" si="20"/>
        <v>89.251890000000003</v>
      </c>
      <c r="M78" s="41">
        <f t="shared" si="22"/>
        <v>8.925189E-2</v>
      </c>
      <c r="N78" s="13">
        <f t="shared" ref="N78:N81" si="23">L78/I78</f>
        <v>48.50646195652174</v>
      </c>
      <c r="O78" s="13">
        <f>O75*J35</f>
        <v>0.91008351177730207</v>
      </c>
      <c r="P78" s="56"/>
      <c r="Q78" s="11"/>
      <c r="R78" s="13"/>
      <c r="S78" s="11">
        <v>105</v>
      </c>
      <c r="T78" s="11" t="s">
        <v>132</v>
      </c>
      <c r="U78" s="13">
        <f>S78/((2500*I78)/H78)</f>
        <v>2.2385543478260868</v>
      </c>
      <c r="V78" s="11" t="s">
        <v>133</v>
      </c>
      <c r="W78" s="11" t="s">
        <v>93</v>
      </c>
      <c r="X78" s="282"/>
      <c r="Y78" s="26">
        <f t="shared" si="21"/>
        <v>2.0372714021739133</v>
      </c>
      <c r="Z78" s="285"/>
      <c r="AA78" s="245"/>
      <c r="AB78" s="245"/>
    </row>
    <row r="79" spans="1:31" ht="17.5">
      <c r="A79" s="242"/>
      <c r="B79" s="48"/>
      <c r="C79" s="48"/>
      <c r="D79" s="21" t="s">
        <v>37</v>
      </c>
      <c r="E79" s="21" t="s">
        <v>38</v>
      </c>
      <c r="F79" s="48" t="s">
        <v>37</v>
      </c>
      <c r="G79" s="21"/>
      <c r="H79" s="21">
        <v>18.02</v>
      </c>
      <c r="I79" s="20">
        <v>1</v>
      </c>
      <c r="J79" s="20">
        <f>O79/O75</f>
        <v>1230.888348197157</v>
      </c>
      <c r="K79" s="21"/>
      <c r="L79" s="20">
        <f t="shared" si="20"/>
        <v>1679.8327019999999</v>
      </c>
      <c r="M79" s="84">
        <f t="shared" si="22"/>
        <v>1.6798327019999999</v>
      </c>
      <c r="N79" s="20">
        <f t="shared" si="23"/>
        <v>1679.8327019999999</v>
      </c>
      <c r="O79" s="20">
        <f>O75*J36</f>
        <v>93.220460710321859</v>
      </c>
      <c r="P79" s="58"/>
      <c r="Q79" s="21"/>
      <c r="R79" s="20"/>
      <c r="S79" s="20">
        <f>285</f>
        <v>285</v>
      </c>
      <c r="T79" s="20" t="s">
        <v>58</v>
      </c>
      <c r="U79" s="20">
        <f>S79/((16000*I79)/H79)</f>
        <v>0.32098125</v>
      </c>
      <c r="V79" s="21" t="s">
        <v>112</v>
      </c>
      <c r="W79" s="21" t="s">
        <v>82</v>
      </c>
      <c r="X79" s="282"/>
      <c r="Y79" s="22">
        <f t="shared" si="21"/>
        <v>29.922020004374996</v>
      </c>
      <c r="Z79" s="285"/>
      <c r="AA79" s="245"/>
      <c r="AB79" s="245"/>
    </row>
    <row r="80" spans="1:31">
      <c r="A80" s="242"/>
      <c r="B80" s="27"/>
      <c r="C80" s="27"/>
      <c r="D80" s="11" t="s">
        <v>94</v>
      </c>
      <c r="E80" s="11" t="s">
        <v>95</v>
      </c>
      <c r="F80" s="77" t="s">
        <v>53</v>
      </c>
      <c r="G80" s="11"/>
      <c r="H80" s="13">
        <v>40</v>
      </c>
      <c r="I80" s="11">
        <v>2.13</v>
      </c>
      <c r="J80" s="13">
        <f>O80/O75</f>
        <v>11.011385793535316</v>
      </c>
      <c r="K80" s="11"/>
      <c r="L80" s="13">
        <f t="shared" si="20"/>
        <v>33.357581400000001</v>
      </c>
      <c r="M80" s="41">
        <f t="shared" si="22"/>
        <v>3.3357581400000003E-2</v>
      </c>
      <c r="N80" s="13">
        <f t="shared" si="23"/>
        <v>15.660836338028171</v>
      </c>
      <c r="O80" s="13">
        <f>O75*J37</f>
        <v>0.83393953500000007</v>
      </c>
      <c r="P80" s="56"/>
      <c r="Q80" s="11"/>
      <c r="R80" s="13"/>
      <c r="S80" s="13">
        <v>1060</v>
      </c>
      <c r="T80" s="11" t="s">
        <v>134</v>
      </c>
      <c r="U80" s="13">
        <f>S80/(50000/H80)</f>
        <v>0.84799999999999998</v>
      </c>
      <c r="V80" s="11" t="s">
        <v>135</v>
      </c>
      <c r="W80" s="11" t="s">
        <v>96</v>
      </c>
      <c r="X80" s="282"/>
      <c r="Y80" s="26">
        <f t="shared" si="21"/>
        <v>0.70718072568000001</v>
      </c>
      <c r="Z80" s="285"/>
      <c r="AA80" s="245"/>
      <c r="AB80" s="245"/>
    </row>
    <row r="81" spans="1:28" s="99" customFormat="1" ht="17.5">
      <c r="A81" s="242"/>
      <c r="B81" s="103"/>
      <c r="C81" s="103"/>
      <c r="D81" s="96" t="s">
        <v>169</v>
      </c>
      <c r="E81" s="96" t="s">
        <v>97</v>
      </c>
      <c r="F81" s="167" t="s">
        <v>42</v>
      </c>
      <c r="G81" s="96"/>
      <c r="H81" s="96">
        <v>92.14</v>
      </c>
      <c r="I81" s="96">
        <v>0.86499999999999999</v>
      </c>
      <c r="J81" s="97">
        <f>O81/O75</f>
        <v>247.91643081475539</v>
      </c>
      <c r="K81" s="96"/>
      <c r="L81" s="97">
        <f t="shared" si="20"/>
        <v>1730</v>
      </c>
      <c r="M81" s="98">
        <f t="shared" si="22"/>
        <v>1.73</v>
      </c>
      <c r="N81" s="97">
        <f t="shared" si="23"/>
        <v>2000</v>
      </c>
      <c r="O81" s="97">
        <f>O75*J38</f>
        <v>18.775775993054047</v>
      </c>
      <c r="P81" s="168"/>
      <c r="Q81" s="96"/>
      <c r="R81" s="97"/>
      <c r="S81" s="97">
        <f>1800</f>
        <v>1800</v>
      </c>
      <c r="T81" s="96" t="s">
        <v>50</v>
      </c>
      <c r="U81" s="97">
        <f>S81/((200000*I81)/H81)</f>
        <v>0.95868208092485552</v>
      </c>
      <c r="V81" s="170" t="s">
        <v>178</v>
      </c>
      <c r="W81" s="96" t="s">
        <v>98</v>
      </c>
      <c r="X81" s="282"/>
      <c r="Y81" s="169">
        <f t="shared" si="21"/>
        <v>18</v>
      </c>
      <c r="Z81" s="285"/>
      <c r="AA81" s="245"/>
      <c r="AB81" s="245"/>
    </row>
    <row r="82" spans="1:28" ht="17.5">
      <c r="A82" s="242"/>
      <c r="B82" s="27"/>
      <c r="C82" s="27"/>
      <c r="D82" s="11" t="s">
        <v>118</v>
      </c>
      <c r="E82" s="24" t="s">
        <v>99</v>
      </c>
      <c r="F82" s="71" t="s">
        <v>42</v>
      </c>
      <c r="G82" s="11"/>
      <c r="H82" s="11">
        <v>84.93</v>
      </c>
      <c r="I82" s="13">
        <v>1.325</v>
      </c>
      <c r="J82" s="13">
        <f>O82/O75</f>
        <v>102.99880219015733</v>
      </c>
      <c r="K82" s="11"/>
      <c r="L82" s="13">
        <f t="shared" si="20"/>
        <v>662.5</v>
      </c>
      <c r="M82" s="41">
        <f t="shared" si="22"/>
        <v>0.66249999999999998</v>
      </c>
      <c r="N82" s="13">
        <f>L82/I82</f>
        <v>500</v>
      </c>
      <c r="O82" s="13">
        <f>O75*J39</f>
        <v>7.8005416225126565</v>
      </c>
      <c r="P82" s="56"/>
      <c r="Q82" s="11"/>
      <c r="R82" s="13"/>
      <c r="S82" s="13">
        <f>701</f>
        <v>701</v>
      </c>
      <c r="T82" s="11" t="s">
        <v>43</v>
      </c>
      <c r="U82" s="13">
        <f>S82/((20000*I82)/H82)</f>
        <v>2.2466388679245286</v>
      </c>
      <c r="V82" s="11" t="s">
        <v>120</v>
      </c>
      <c r="W82" s="11" t="s">
        <v>66</v>
      </c>
      <c r="X82" s="282"/>
      <c r="Y82" s="26">
        <f t="shared" si="21"/>
        <v>17.524999999999999</v>
      </c>
      <c r="Z82" s="285"/>
      <c r="AA82" s="245"/>
      <c r="AB82" s="245"/>
    </row>
    <row r="83" spans="1:28" ht="17.5">
      <c r="A83" s="242"/>
      <c r="B83" s="27"/>
      <c r="C83" s="27"/>
      <c r="D83" s="11" t="s">
        <v>136</v>
      </c>
      <c r="E83" s="11" t="s">
        <v>100</v>
      </c>
      <c r="F83" s="71" t="s">
        <v>42</v>
      </c>
      <c r="G83" s="11"/>
      <c r="H83" s="11">
        <v>88.11</v>
      </c>
      <c r="I83" s="11">
        <v>0.90200000000000002</v>
      </c>
      <c r="J83" s="13">
        <f>O83/O75</f>
        <v>27.034525263828712</v>
      </c>
      <c r="K83" s="11"/>
      <c r="L83" s="13">
        <f t="shared" si="20"/>
        <v>180.4</v>
      </c>
      <c r="M83" s="41">
        <f t="shared" si="22"/>
        <v>0.1804</v>
      </c>
      <c r="N83" s="13">
        <f t="shared" ref="N83:N84" si="24">L83/I83</f>
        <v>200</v>
      </c>
      <c r="O83" s="13">
        <f>O75*J40</f>
        <v>2.0474406991260925</v>
      </c>
      <c r="P83" s="56"/>
      <c r="Q83" s="11"/>
      <c r="R83" s="13"/>
      <c r="S83" s="13">
        <v>3650</v>
      </c>
      <c r="T83" s="11" t="s">
        <v>50</v>
      </c>
      <c r="U83" s="13">
        <f>S83/((200000*I83)/H83)</f>
        <v>1.7827134146341463</v>
      </c>
      <c r="V83" s="11" t="s">
        <v>137</v>
      </c>
      <c r="W83" s="11" t="s">
        <v>102</v>
      </c>
      <c r="X83" s="282"/>
      <c r="Y83" s="26">
        <f t="shared" si="21"/>
        <v>3.6500000000000004</v>
      </c>
      <c r="Z83" s="285"/>
      <c r="AA83" s="245"/>
      <c r="AB83" s="245"/>
    </row>
    <row r="84" spans="1:28" ht="17.5">
      <c r="A84" s="242"/>
      <c r="B84" s="49"/>
      <c r="C84" s="49"/>
      <c r="D84" s="16" t="s">
        <v>103</v>
      </c>
      <c r="E84" s="16" t="s">
        <v>104</v>
      </c>
      <c r="F84" s="49" t="s">
        <v>33</v>
      </c>
      <c r="G84" s="16"/>
      <c r="H84" s="16">
        <v>60.08</v>
      </c>
      <c r="I84" s="16">
        <v>0.7</v>
      </c>
      <c r="J84" s="15">
        <f>O84/O75</f>
        <v>4.3954919327739432</v>
      </c>
      <c r="K84" s="16"/>
      <c r="L84" s="15">
        <f t="shared" si="20"/>
        <v>19.999999999999996</v>
      </c>
      <c r="M84" s="85">
        <f t="shared" si="22"/>
        <v>1.9999999999999997E-2</v>
      </c>
      <c r="N84" s="15">
        <f t="shared" si="24"/>
        <v>28.571428571428569</v>
      </c>
      <c r="O84" s="15">
        <f>O75*J41</f>
        <v>0.33288948069241009</v>
      </c>
      <c r="P84" s="60"/>
      <c r="Q84" s="16"/>
      <c r="R84" s="15"/>
      <c r="S84" s="15">
        <v>3160</v>
      </c>
      <c r="T84" s="16" t="s">
        <v>105</v>
      </c>
      <c r="U84" s="15">
        <f>S84/(25000/H84)</f>
        <v>7.5941119999999991</v>
      </c>
      <c r="V84" s="16" t="s">
        <v>106</v>
      </c>
      <c r="W84" s="16" t="s">
        <v>107</v>
      </c>
      <c r="X84" s="282"/>
      <c r="Y84" s="18">
        <f t="shared" si="21"/>
        <v>2.5279999999999996</v>
      </c>
      <c r="Z84" s="285"/>
      <c r="AA84" s="245"/>
      <c r="AB84" s="245"/>
    </row>
    <row r="85" spans="1:28" ht="17.5">
      <c r="A85" s="243"/>
      <c r="B85" s="44"/>
      <c r="C85" s="222" t="s">
        <v>236</v>
      </c>
      <c r="D85" s="43"/>
      <c r="E85" s="43" t="s">
        <v>108</v>
      </c>
      <c r="F85" s="44" t="s">
        <v>113</v>
      </c>
      <c r="G85" s="43" t="s">
        <v>109</v>
      </c>
      <c r="H85" s="45">
        <v>130.13999999999999</v>
      </c>
      <c r="I85" s="43"/>
      <c r="J85" s="43"/>
      <c r="K85" s="50">
        <v>0.96799999999999997</v>
      </c>
      <c r="L85" s="45"/>
      <c r="M85" s="45"/>
      <c r="N85" s="43"/>
      <c r="O85" s="45"/>
      <c r="P85" s="236">
        <f>R85*H85</f>
        <v>7.3784174399999998</v>
      </c>
      <c r="Q85" s="172">
        <f>P85/1000</f>
        <v>7.3784174399999999E-3</v>
      </c>
      <c r="R85" s="237">
        <f>0.056696</f>
        <v>5.6696000000000003E-2</v>
      </c>
      <c r="S85" s="43"/>
      <c r="T85" s="43"/>
      <c r="U85" s="43"/>
      <c r="V85" s="43"/>
      <c r="W85" s="43"/>
      <c r="X85" s="283"/>
      <c r="Y85" s="46"/>
      <c r="Z85" s="166" t="s">
        <v>175</v>
      </c>
      <c r="AA85" s="252"/>
      <c r="AB85" s="166" t="s">
        <v>174</v>
      </c>
    </row>
    <row r="86" spans="1:28">
      <c r="A86" s="93"/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</row>
    <row r="87" spans="1:28">
      <c r="A87" s="93"/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 t="s">
        <v>161</v>
      </c>
      <c r="P87" s="100">
        <f>P116/P73</f>
        <v>135.46116163224659</v>
      </c>
      <c r="Q87" s="100">
        <f>P104/P61</f>
        <v>135.46116185905865</v>
      </c>
      <c r="R87" s="100">
        <f>P99/P56</f>
        <v>135.46115899723949</v>
      </c>
      <c r="S87" s="100">
        <f>P94/P51</f>
        <v>135.46116208800422</v>
      </c>
      <c r="T87" s="101">
        <f>P128/P85</f>
        <v>135.53041802416644</v>
      </c>
      <c r="U87" s="93"/>
      <c r="V87" s="93"/>
      <c r="W87" s="93"/>
      <c r="X87" s="93"/>
      <c r="Y87" s="93"/>
      <c r="Z87" s="93"/>
      <c r="AA87" s="93"/>
      <c r="AB87" s="93"/>
    </row>
    <row r="88" spans="1:28">
      <c r="A88" s="256" t="s">
        <v>216</v>
      </c>
      <c r="B88" s="257"/>
      <c r="C88" s="257"/>
      <c r="D88" s="257"/>
      <c r="E88" s="257"/>
      <c r="F88" s="257"/>
      <c r="G88" s="257"/>
      <c r="H88" s="257"/>
      <c r="I88" s="257"/>
      <c r="J88" s="257"/>
      <c r="K88" s="257"/>
      <c r="L88" s="257"/>
      <c r="M88" s="257"/>
      <c r="N88" s="257"/>
      <c r="O88" s="257"/>
      <c r="P88" s="257"/>
      <c r="Q88" s="257"/>
      <c r="R88" s="257"/>
      <c r="S88" s="257"/>
      <c r="T88" s="257"/>
      <c r="U88" s="257"/>
      <c r="V88" s="257"/>
      <c r="W88" s="257"/>
      <c r="X88" s="257"/>
      <c r="Y88" s="257"/>
      <c r="Z88" s="257"/>
      <c r="AA88" s="257"/>
      <c r="AB88" s="258"/>
    </row>
    <row r="89" spans="1:28">
      <c r="A89" s="1" t="s">
        <v>1</v>
      </c>
      <c r="B89" s="2" t="s">
        <v>2</v>
      </c>
      <c r="C89" s="3" t="s">
        <v>3</v>
      </c>
      <c r="D89" s="4" t="s">
        <v>4</v>
      </c>
      <c r="E89" s="5" t="s">
        <v>5</v>
      </c>
      <c r="F89" s="5" t="s">
        <v>6</v>
      </c>
      <c r="G89" s="5" t="s">
        <v>7</v>
      </c>
      <c r="H89" s="6" t="s">
        <v>8</v>
      </c>
      <c r="I89" s="1" t="s">
        <v>9</v>
      </c>
      <c r="J89" s="1" t="s">
        <v>10</v>
      </c>
      <c r="K89" s="1" t="s">
        <v>11</v>
      </c>
      <c r="L89" s="6" t="s">
        <v>12</v>
      </c>
      <c r="M89" s="7" t="s">
        <v>13</v>
      </c>
      <c r="N89" s="1" t="s">
        <v>14</v>
      </c>
      <c r="O89" s="6" t="s">
        <v>15</v>
      </c>
      <c r="P89" s="51" t="s">
        <v>16</v>
      </c>
      <c r="Q89" s="7" t="s">
        <v>17</v>
      </c>
      <c r="R89" s="1" t="s">
        <v>18</v>
      </c>
      <c r="S89" s="1" t="s">
        <v>19</v>
      </c>
      <c r="T89" s="1" t="s">
        <v>20</v>
      </c>
      <c r="U89" s="1" t="s">
        <v>21</v>
      </c>
      <c r="V89" s="193" t="s">
        <v>22</v>
      </c>
      <c r="W89" s="1" t="s">
        <v>23</v>
      </c>
      <c r="X89" s="1" t="s">
        <v>24</v>
      </c>
      <c r="Y89" s="1" t="s">
        <v>25</v>
      </c>
      <c r="Z89" s="147" t="s">
        <v>26</v>
      </c>
      <c r="AA89" s="1" t="s">
        <v>27</v>
      </c>
      <c r="AB89" s="1" t="s">
        <v>28</v>
      </c>
    </row>
    <row r="90" spans="1:28" s="99" customFormat="1" ht="17.5">
      <c r="A90" s="286" t="s">
        <v>237</v>
      </c>
      <c r="B90" s="162">
        <v>18</v>
      </c>
      <c r="C90" s="63"/>
      <c r="D90" s="61" t="s">
        <v>29</v>
      </c>
      <c r="E90" s="127" t="s">
        <v>173</v>
      </c>
      <c r="F90" s="128" t="s">
        <v>211</v>
      </c>
      <c r="G90" s="63"/>
      <c r="H90" s="63">
        <v>230.21</v>
      </c>
      <c r="I90" s="63">
        <v>1.98</v>
      </c>
      <c r="J90" s="63">
        <f>O90/O90</f>
        <v>1</v>
      </c>
      <c r="K90" s="63"/>
      <c r="L90" s="61">
        <f>O90*H90</f>
        <v>3344.4788283878352</v>
      </c>
      <c r="M90" s="197">
        <f>L90/1000</f>
        <v>3.3444788283878353</v>
      </c>
      <c r="N90" s="63">
        <f>L90/I90</f>
        <v>1689.1307214079975</v>
      </c>
      <c r="O90" s="238">
        <f>14.09210922/97%</f>
        <v>14.527947649484537</v>
      </c>
      <c r="P90" s="65"/>
      <c r="Q90" s="63"/>
      <c r="R90" s="63"/>
      <c r="S90" s="63">
        <f>50</f>
        <v>50</v>
      </c>
      <c r="T90" s="63" t="s">
        <v>34</v>
      </c>
      <c r="U90" s="63">
        <f>S90/(1000/H90)</f>
        <v>11.510500000000002</v>
      </c>
      <c r="V90" s="63" t="s">
        <v>30</v>
      </c>
      <c r="W90" s="68" t="s">
        <v>31</v>
      </c>
      <c r="X90" s="288">
        <f>R94/O90</f>
        <v>0.96999999998487185</v>
      </c>
      <c r="Y90" s="66">
        <f>U90*O90</f>
        <v>167.22394141939179</v>
      </c>
      <c r="Z90" s="244" t="s">
        <v>114</v>
      </c>
      <c r="AA90" s="244">
        <v>1</v>
      </c>
      <c r="AB90" s="244">
        <v>2</v>
      </c>
    </row>
    <row r="91" spans="1:28">
      <c r="A91" s="259"/>
      <c r="B91" s="129"/>
      <c r="C91" s="129"/>
      <c r="D91" s="130" t="s">
        <v>32</v>
      </c>
      <c r="E91" s="130" t="s">
        <v>111</v>
      </c>
      <c r="F91" s="129" t="s">
        <v>33</v>
      </c>
      <c r="G91" s="130"/>
      <c r="H91" s="130">
        <v>212.82</v>
      </c>
      <c r="I91" s="130"/>
      <c r="J91" s="130">
        <f>O91/O90</f>
        <v>1.5844981061199346</v>
      </c>
      <c r="K91" s="130"/>
      <c r="L91" s="130">
        <f>O91*H91</f>
        <v>4899.0111682604365</v>
      </c>
      <c r="M91" s="130">
        <f>L91/1000</f>
        <v>4.8990111682604365</v>
      </c>
      <c r="N91" s="130"/>
      <c r="O91" s="130">
        <f>O90*J48</f>
        <v>23.019505536417803</v>
      </c>
      <c r="P91" s="132"/>
      <c r="Q91" s="130"/>
      <c r="R91" s="130"/>
      <c r="S91" s="130">
        <f>2080*0.078</f>
        <v>162.24</v>
      </c>
      <c r="T91" s="130" t="s">
        <v>34</v>
      </c>
      <c r="U91" s="130">
        <f>S91/(1000/H91)</f>
        <v>34.5279168</v>
      </c>
      <c r="V91" s="133" t="s">
        <v>35</v>
      </c>
      <c r="W91" s="17" t="s">
        <v>36</v>
      </c>
      <c r="X91" s="289"/>
      <c r="Y91" s="18">
        <f>U91*O91</f>
        <v>794.81557193857327</v>
      </c>
      <c r="Z91" s="245"/>
      <c r="AA91" s="245"/>
      <c r="AB91" s="245"/>
    </row>
    <row r="92" spans="1:28" ht="17.5">
      <c r="A92" s="259"/>
      <c r="B92" s="134"/>
      <c r="C92" s="134"/>
      <c r="D92" s="135" t="s">
        <v>37</v>
      </c>
      <c r="E92" s="136" t="s">
        <v>38</v>
      </c>
      <c r="F92" s="134" t="s">
        <v>37</v>
      </c>
      <c r="G92" s="135"/>
      <c r="H92" s="135">
        <v>18.02</v>
      </c>
      <c r="I92" s="135">
        <v>1</v>
      </c>
      <c r="J92" s="135">
        <f>O92/O90</f>
        <v>1197.7677326393514</v>
      </c>
      <c r="K92" s="135"/>
      <c r="L92" s="135">
        <f>O92*H92</f>
        <v>313567.94662679371</v>
      </c>
      <c r="M92" s="135">
        <f>L92/1000</f>
        <v>313.56794662679368</v>
      </c>
      <c r="N92" s="135">
        <f>L92/I92</f>
        <v>313567.94662679371</v>
      </c>
      <c r="O92" s="135">
        <f>O90*J49</f>
        <v>17401.106916026289</v>
      </c>
      <c r="P92" s="138"/>
      <c r="Q92" s="135"/>
      <c r="R92" s="135"/>
      <c r="S92" s="135">
        <f>285</f>
        <v>285</v>
      </c>
      <c r="T92" s="135" t="s">
        <v>58</v>
      </c>
      <c r="U92" s="135">
        <f xml:space="preserve"> S92/((I92*16000)/H92)</f>
        <v>0.32098125</v>
      </c>
      <c r="V92" s="136" t="s">
        <v>112</v>
      </c>
      <c r="W92" s="136" t="s">
        <v>40</v>
      </c>
      <c r="X92" s="289"/>
      <c r="Y92" s="22">
        <f>U92*O92</f>
        <v>5585.4290492897635</v>
      </c>
      <c r="Z92" s="245"/>
      <c r="AA92" s="245"/>
      <c r="AB92" s="245"/>
    </row>
    <row r="93" spans="1:28" s="99" customFormat="1" ht="17.5">
      <c r="A93" s="259"/>
      <c r="B93" s="139"/>
      <c r="C93" s="139"/>
      <c r="D93" s="82" t="s">
        <v>206</v>
      </c>
      <c r="E93" s="140" t="s">
        <v>41</v>
      </c>
      <c r="F93" s="141" t="s">
        <v>42</v>
      </c>
      <c r="G93" s="142"/>
      <c r="H93" s="142">
        <v>86.13</v>
      </c>
      <c r="I93" s="142">
        <v>0.86</v>
      </c>
      <c r="J93" s="142">
        <f>O93/O90</f>
        <v>25.540281486641643</v>
      </c>
      <c r="K93" s="142"/>
      <c r="L93" s="142">
        <f>O93*H93</f>
        <v>31958.353249039315</v>
      </c>
      <c r="M93" s="142">
        <f>L93/1000</f>
        <v>31.958353249039316</v>
      </c>
      <c r="N93" s="142">
        <f>L93/I93</f>
        <v>37160.87587097595</v>
      </c>
      <c r="O93" s="142">
        <f>O90*J50</f>
        <v>371.04787239102887</v>
      </c>
      <c r="P93" s="144"/>
      <c r="Q93" s="142"/>
      <c r="R93" s="142"/>
      <c r="S93" s="142">
        <f>21394.49*0.078</f>
        <v>1668.7702200000001</v>
      </c>
      <c r="T93" s="142" t="s">
        <v>43</v>
      </c>
      <c r="U93" s="142">
        <f>S93/((20000*I93)/H93)</f>
        <v>8.3564638981744199</v>
      </c>
      <c r="V93" s="82" t="s">
        <v>44</v>
      </c>
      <c r="W93" s="82" t="s">
        <v>45</v>
      </c>
      <c r="X93" s="289"/>
      <c r="Y93" s="26">
        <f>U93*O93</f>
        <v>3100.6481501300618</v>
      </c>
      <c r="Z93" s="245"/>
      <c r="AA93" s="245"/>
      <c r="AB93" s="245"/>
    </row>
    <row r="94" spans="1:28" ht="17.5">
      <c r="A94" s="287"/>
      <c r="B94" s="44"/>
      <c r="C94" s="44">
        <v>19</v>
      </c>
      <c r="D94" s="43"/>
      <c r="E94" s="145" t="s">
        <v>46</v>
      </c>
      <c r="F94" s="79" t="s">
        <v>47</v>
      </c>
      <c r="G94" s="79" t="s">
        <v>48</v>
      </c>
      <c r="H94" s="45">
        <v>174.11</v>
      </c>
      <c r="I94" s="43"/>
      <c r="J94" s="43"/>
      <c r="K94" s="50">
        <v>0.96299999999999997</v>
      </c>
      <c r="L94" s="45"/>
      <c r="M94" s="45"/>
      <c r="N94" s="43"/>
      <c r="O94" s="45"/>
      <c r="P94" s="102">
        <f>R94*H94</f>
        <v>2453.5771362559344</v>
      </c>
      <c r="Q94" s="91">
        <f>P94/1000</f>
        <v>2.4535771362559342</v>
      </c>
      <c r="R94" s="95">
        <f>O96</f>
        <v>14.09210921978022</v>
      </c>
      <c r="S94" s="43"/>
      <c r="T94" s="43"/>
      <c r="U94" s="43"/>
      <c r="V94" s="43"/>
      <c r="W94" s="43"/>
      <c r="X94" s="290"/>
      <c r="Y94" s="81"/>
      <c r="Z94" s="252"/>
      <c r="AA94" s="252"/>
      <c r="AB94" s="252"/>
    </row>
    <row r="95" spans="1:28">
      <c r="A95" s="241" t="s">
        <v>233</v>
      </c>
      <c r="B95" s="29"/>
      <c r="C95" s="29"/>
      <c r="D95" s="30"/>
      <c r="E95" s="30"/>
      <c r="F95" s="30"/>
      <c r="G95" s="30"/>
      <c r="H95" s="12"/>
      <c r="I95" s="30"/>
      <c r="J95" s="30"/>
      <c r="K95" s="30"/>
      <c r="L95" s="12"/>
      <c r="M95" s="12"/>
      <c r="N95" s="30"/>
      <c r="O95" s="12"/>
      <c r="P95" s="55"/>
      <c r="Q95" s="31"/>
      <c r="R95" s="32"/>
      <c r="S95" s="30"/>
      <c r="T95" s="30"/>
      <c r="U95" s="30"/>
      <c r="V95" s="30"/>
      <c r="W95" s="30"/>
      <c r="X95" s="278">
        <f>R99/O96</f>
        <v>0.91</v>
      </c>
      <c r="Y95" s="33"/>
      <c r="Z95" s="244" t="s">
        <v>149</v>
      </c>
      <c r="AA95" s="244">
        <v>1</v>
      </c>
      <c r="AB95" s="244">
        <v>3.5</v>
      </c>
    </row>
    <row r="96" spans="1:28" ht="17.5">
      <c r="A96" s="242"/>
      <c r="B96" s="27">
        <v>19</v>
      </c>
      <c r="C96" s="27"/>
      <c r="D96" s="34" t="s">
        <v>48</v>
      </c>
      <c r="E96" s="72" t="s">
        <v>46</v>
      </c>
      <c r="F96" s="34" t="s">
        <v>47</v>
      </c>
      <c r="G96" s="11"/>
      <c r="H96" s="13">
        <v>174.11</v>
      </c>
      <c r="I96" s="11"/>
      <c r="J96" s="13">
        <f>O96/O96</f>
        <v>1</v>
      </c>
      <c r="K96" s="83">
        <v>0.96299999999999997</v>
      </c>
      <c r="L96" s="35">
        <f>O96*H96</f>
        <v>2453.5771362559344</v>
      </c>
      <c r="M96" s="159">
        <f>L96/1000</f>
        <v>2.4535771362559342</v>
      </c>
      <c r="N96" s="11"/>
      <c r="O96" s="151">
        <v>14.09210921978022</v>
      </c>
      <c r="P96" s="56"/>
      <c r="Q96" s="11"/>
      <c r="R96" s="13"/>
      <c r="S96" s="11"/>
      <c r="T96" s="11"/>
      <c r="U96" s="11"/>
      <c r="V96" s="11"/>
      <c r="W96" s="11"/>
      <c r="X96" s="279"/>
      <c r="Y96" s="28"/>
      <c r="Z96" s="245"/>
      <c r="AA96" s="245"/>
      <c r="AB96" s="245"/>
    </row>
    <row r="97" spans="1:28" s="99" customFormat="1" ht="17.5">
      <c r="A97" s="242"/>
      <c r="B97" s="103"/>
      <c r="C97" s="103"/>
      <c r="D97" s="96" t="s">
        <v>115</v>
      </c>
      <c r="E97" s="96" t="s">
        <v>49</v>
      </c>
      <c r="F97" s="167" t="s">
        <v>42</v>
      </c>
      <c r="G97" s="96"/>
      <c r="H97" s="96">
        <v>100.16</v>
      </c>
      <c r="I97" s="96">
        <v>0.86</v>
      </c>
      <c r="J97" s="97">
        <f>O97/O96</f>
        <v>14.818292996852163</v>
      </c>
      <c r="K97" s="96"/>
      <c r="L97" s="97">
        <f>O97*H97</f>
        <v>20915.511696772479</v>
      </c>
      <c r="M97" s="97">
        <f>L97/1000</f>
        <v>20.91551169677248</v>
      </c>
      <c r="N97" s="97">
        <f>L97/I97</f>
        <v>24320.362438107535</v>
      </c>
      <c r="O97" s="97">
        <f>O96*J54</f>
        <v>208.82100336234504</v>
      </c>
      <c r="P97" s="168"/>
      <c r="Q97" s="96"/>
      <c r="R97" s="97"/>
      <c r="S97" s="97">
        <v>6630</v>
      </c>
      <c r="T97" s="96" t="s">
        <v>180</v>
      </c>
      <c r="U97" s="97">
        <f>S97/((195000*I97)/H97)</f>
        <v>3.9598139534883723</v>
      </c>
      <c r="V97" s="170" t="s">
        <v>179</v>
      </c>
      <c r="W97" s="96" t="s">
        <v>51</v>
      </c>
      <c r="X97" s="279"/>
      <c r="Y97" s="169">
        <f>U97*O97</f>
        <v>826.89232289565621</v>
      </c>
      <c r="Z97" s="245"/>
      <c r="AA97" s="245"/>
      <c r="AB97" s="245"/>
    </row>
    <row r="98" spans="1:28" s="99" customFormat="1" ht="17.5">
      <c r="A98" s="242"/>
      <c r="B98" s="27"/>
      <c r="C98" s="27"/>
      <c r="D98" s="24" t="s">
        <v>167</v>
      </c>
      <c r="E98" s="24" t="s">
        <v>52</v>
      </c>
      <c r="F98" s="77" t="s">
        <v>53</v>
      </c>
      <c r="G98" s="11"/>
      <c r="H98" s="11">
        <v>102.09</v>
      </c>
      <c r="I98" s="11">
        <v>1.08</v>
      </c>
      <c r="J98" s="13">
        <f>O98/O96</f>
        <v>1.1752882641955231</v>
      </c>
      <c r="K98" s="11"/>
      <c r="L98" s="13">
        <f>O98*H98</f>
        <v>1690.8442456969999</v>
      </c>
      <c r="M98" s="13">
        <f t="shared" ref="M98" si="25">L98/1000</f>
        <v>1.6908442456969999</v>
      </c>
      <c r="N98" s="13">
        <f>L98/I98</f>
        <v>1565.5965237935184</v>
      </c>
      <c r="O98" s="25">
        <f>O96*J55</f>
        <v>16.562290583769222</v>
      </c>
      <c r="P98" s="56"/>
      <c r="Q98" s="11"/>
      <c r="R98" s="13"/>
      <c r="S98" s="38">
        <f>79.4</f>
        <v>79.400000000000006</v>
      </c>
      <c r="T98" s="11" t="s">
        <v>39</v>
      </c>
      <c r="U98" s="13">
        <f>S98/((1000*I98)/H98)</f>
        <v>7.5055055555555565</v>
      </c>
      <c r="V98" s="24" t="s">
        <v>54</v>
      </c>
      <c r="W98" s="11" t="s">
        <v>55</v>
      </c>
      <c r="X98" s="279"/>
      <c r="Y98" s="26">
        <f>O98*U98</f>
        <v>124.30836398920538</v>
      </c>
      <c r="Z98" s="245"/>
      <c r="AA98" s="245"/>
      <c r="AB98" s="245"/>
    </row>
    <row r="99" spans="1:28" ht="16.5">
      <c r="A99" s="243"/>
      <c r="B99" s="43"/>
      <c r="C99" s="44">
        <v>20</v>
      </c>
      <c r="D99" s="43"/>
      <c r="E99" s="78" t="s">
        <v>56</v>
      </c>
      <c r="F99" s="79" t="s">
        <v>47</v>
      </c>
      <c r="G99" s="79" t="s">
        <v>148</v>
      </c>
      <c r="H99" s="45">
        <v>156.09</v>
      </c>
      <c r="I99" s="43"/>
      <c r="J99" s="43"/>
      <c r="K99" s="43"/>
      <c r="L99" s="45"/>
      <c r="M99" s="45"/>
      <c r="N99" s="43"/>
      <c r="O99" s="45"/>
      <c r="P99" s="102">
        <f>R99*H99</f>
        <v>2001.6699685851002</v>
      </c>
      <c r="Q99" s="91">
        <f>P99/1000</f>
        <v>2.0016699685851003</v>
      </c>
      <c r="R99" s="95">
        <f>O101</f>
        <v>12.823819390000001</v>
      </c>
      <c r="S99" s="43"/>
      <c r="T99" s="43"/>
      <c r="U99" s="43"/>
      <c r="V99" s="43"/>
      <c r="W99" s="43"/>
      <c r="X99" s="280"/>
      <c r="Y99" s="46"/>
      <c r="Z99" s="252"/>
      <c r="AA99" s="252"/>
      <c r="AB99" s="252"/>
    </row>
    <row r="100" spans="1:28">
      <c r="A100" s="241" t="s">
        <v>239</v>
      </c>
      <c r="M100" s="92"/>
      <c r="X100" s="278">
        <f>R104/O101</f>
        <v>1</v>
      </c>
      <c r="Z100" s="244" t="s">
        <v>155</v>
      </c>
      <c r="AA100" s="244">
        <v>1</v>
      </c>
      <c r="AB100" s="244">
        <v>16.149999999999999</v>
      </c>
    </row>
    <row r="101" spans="1:28" ht="16.5">
      <c r="A101" s="242"/>
      <c r="B101" s="27">
        <v>20</v>
      </c>
      <c r="D101" s="87" t="s">
        <v>148</v>
      </c>
      <c r="E101" s="150" t="s">
        <v>56</v>
      </c>
      <c r="F101" s="87" t="s">
        <v>47</v>
      </c>
      <c r="H101" s="142">
        <v>156.09</v>
      </c>
      <c r="J101" s="13">
        <f>O101/O101</f>
        <v>1</v>
      </c>
      <c r="L101" s="151">
        <f>O101*H101</f>
        <v>2001.6699685851002</v>
      </c>
      <c r="M101" s="151">
        <f>L101/1000</f>
        <v>2.0016699685851003</v>
      </c>
      <c r="O101" s="239">
        <v>12.823819390000001</v>
      </c>
      <c r="X101" s="279"/>
      <c r="Z101" s="245"/>
      <c r="AA101" s="245"/>
      <c r="AB101" s="245"/>
    </row>
    <row r="102" spans="1:28" s="99" customFormat="1" ht="17.5">
      <c r="A102" s="242"/>
      <c r="B102" s="103"/>
      <c r="C102" s="103"/>
      <c r="D102" s="96" t="s">
        <v>115</v>
      </c>
      <c r="E102" s="96" t="s">
        <v>49</v>
      </c>
      <c r="F102" s="167" t="s">
        <v>42</v>
      </c>
      <c r="G102" s="96"/>
      <c r="H102" s="96">
        <v>100.16</v>
      </c>
      <c r="I102" s="96">
        <v>0.86</v>
      </c>
      <c r="J102" s="97">
        <f>O102/O101</f>
        <v>10.181038791099303</v>
      </c>
      <c r="K102" s="96"/>
      <c r="L102" s="97">
        <f>O102*H102</f>
        <v>13076.869834389683</v>
      </c>
      <c r="M102" s="97">
        <f>L102/1000</f>
        <v>13.076869834389683</v>
      </c>
      <c r="N102" s="97">
        <f>L102/I102</f>
        <v>15205.662598127539</v>
      </c>
      <c r="O102" s="97">
        <f>O101*J59</f>
        <v>130.55980265964141</v>
      </c>
      <c r="P102" s="168"/>
      <c r="Q102" s="96"/>
      <c r="R102" s="97"/>
      <c r="S102" s="97">
        <f>6630</f>
        <v>6630</v>
      </c>
      <c r="T102" s="96" t="s">
        <v>180</v>
      </c>
      <c r="U102" s="97">
        <f>S102/((195000*I102)/H102)</f>
        <v>3.9598139534883723</v>
      </c>
      <c r="V102" s="170" t="s">
        <v>179</v>
      </c>
      <c r="W102" s="96" t="s">
        <v>51</v>
      </c>
      <c r="X102" s="279"/>
      <c r="Y102" s="171">
        <f>U102*O102</f>
        <v>516.99252833633636</v>
      </c>
      <c r="Z102" s="245"/>
      <c r="AA102" s="245"/>
      <c r="AB102" s="245"/>
    </row>
    <row r="103" spans="1:28" s="99" customFormat="1" ht="17.5">
      <c r="A103" s="242"/>
      <c r="B103" s="27"/>
      <c r="C103" s="27"/>
      <c r="D103" s="11" t="s">
        <v>171</v>
      </c>
      <c r="E103" s="11" t="s">
        <v>57</v>
      </c>
      <c r="F103" s="77" t="s">
        <v>53</v>
      </c>
      <c r="G103" s="11"/>
      <c r="H103" s="11">
        <v>46.07</v>
      </c>
      <c r="I103" s="11">
        <v>0.78900000000000003</v>
      </c>
      <c r="J103" s="13">
        <f>O103/O101</f>
        <v>10.880027980955889</v>
      </c>
      <c r="K103" s="11"/>
      <c r="L103" s="13">
        <f>O103*H103</f>
        <v>6427.8482801175496</v>
      </c>
      <c r="M103" s="13">
        <f>L103/1000</f>
        <v>6.4278482801175496</v>
      </c>
      <c r="N103" s="13">
        <f>L103/I103</f>
        <v>8146.8292523669825</v>
      </c>
      <c r="O103" s="13">
        <f>O101*J60</f>
        <v>139.52351378592468</v>
      </c>
      <c r="P103" s="56"/>
      <c r="Q103" s="11"/>
      <c r="R103" s="13"/>
      <c r="S103" s="13">
        <f>1070</f>
        <v>1070</v>
      </c>
      <c r="T103" s="11" t="s">
        <v>150</v>
      </c>
      <c r="U103" s="13">
        <f>S103/((16000*I103)/H103)</f>
        <v>3.9048558301647653</v>
      </c>
      <c r="V103" s="39" t="s">
        <v>151</v>
      </c>
      <c r="W103" s="39" t="s">
        <v>60</v>
      </c>
      <c r="X103" s="279"/>
      <c r="Y103" s="142">
        <f>U103*O103</f>
        <v>544.81920625204202</v>
      </c>
      <c r="Z103" s="245"/>
      <c r="AA103" s="245"/>
      <c r="AB103" s="245"/>
    </row>
    <row r="104" spans="1:28" ht="16.5">
      <c r="A104" s="243"/>
      <c r="B104" s="43"/>
      <c r="C104" s="44">
        <v>21</v>
      </c>
      <c r="D104" s="43"/>
      <c r="E104" s="78" t="s">
        <v>152</v>
      </c>
      <c r="F104" s="79" t="s">
        <v>47</v>
      </c>
      <c r="G104" s="79" t="s">
        <v>153</v>
      </c>
      <c r="H104" s="45">
        <v>202.16</v>
      </c>
      <c r="I104" s="43"/>
      <c r="J104" s="43"/>
      <c r="K104" s="43"/>
      <c r="L104" s="45"/>
      <c r="M104" s="45"/>
      <c r="N104" s="43"/>
      <c r="O104" s="45"/>
      <c r="P104" s="102">
        <f>R104*H104</f>
        <v>2592.4633278823999</v>
      </c>
      <c r="Q104" s="91">
        <f>P104/1000</f>
        <v>2.5924633278823999</v>
      </c>
      <c r="R104" s="95">
        <f>O106</f>
        <v>12.823819390000001</v>
      </c>
      <c r="S104" s="43"/>
      <c r="T104" s="43"/>
      <c r="U104" s="43"/>
      <c r="V104" s="43"/>
      <c r="W104" s="43"/>
      <c r="X104" s="280"/>
      <c r="Y104" s="43"/>
      <c r="Z104" s="252"/>
      <c r="AA104" s="252"/>
      <c r="AB104" s="252"/>
    </row>
    <row r="105" spans="1:28">
      <c r="A105" s="241" t="s">
        <v>240</v>
      </c>
      <c r="M105" s="92"/>
      <c r="X105" s="278">
        <f>R116/O106</f>
        <v>0.80000000015741723</v>
      </c>
      <c r="Y105" s="149"/>
      <c r="Z105" s="244" t="s">
        <v>160</v>
      </c>
      <c r="AA105" s="244">
        <v>0.05</v>
      </c>
      <c r="AB105" s="244">
        <v>5</v>
      </c>
    </row>
    <row r="106" spans="1:28" ht="16.5">
      <c r="A106" s="242"/>
      <c r="B106" s="27">
        <v>21</v>
      </c>
      <c r="D106" s="87" t="s">
        <v>154</v>
      </c>
      <c r="E106" s="150" t="s">
        <v>152</v>
      </c>
      <c r="F106" s="87" t="s">
        <v>47</v>
      </c>
      <c r="H106" s="142">
        <v>202.16</v>
      </c>
      <c r="J106" s="13">
        <f>O106/O106</f>
        <v>1</v>
      </c>
      <c r="L106" s="151">
        <f>O106*H106</f>
        <v>2592.4633278823999</v>
      </c>
      <c r="M106" s="151">
        <f>L106/1000</f>
        <v>2.5924633278823999</v>
      </c>
      <c r="O106" s="151">
        <v>12.823819390000001</v>
      </c>
      <c r="X106" s="279"/>
      <c r="Y106" s="120"/>
      <c r="Z106" s="245"/>
      <c r="AA106" s="245"/>
      <c r="AB106" s="245"/>
    </row>
    <row r="107" spans="1:28" s="99" customFormat="1" ht="17.5">
      <c r="A107" s="242"/>
      <c r="B107" s="11"/>
      <c r="C107" s="11"/>
      <c r="D107" s="11" t="s">
        <v>170</v>
      </c>
      <c r="E107" s="11" t="s">
        <v>61</v>
      </c>
      <c r="F107" s="77" t="s">
        <v>53</v>
      </c>
      <c r="G107" s="11"/>
      <c r="H107" s="11">
        <v>126.92</v>
      </c>
      <c r="I107" s="11">
        <v>1.5</v>
      </c>
      <c r="J107" s="13">
        <f>O107/O106</f>
        <v>1.2343601566919635</v>
      </c>
      <c r="K107" s="11" t="s">
        <v>117</v>
      </c>
      <c r="L107" s="13">
        <f t="shared" ref="L107:L115" si="26">O107*H107</f>
        <v>2009.0435504400593</v>
      </c>
      <c r="M107" s="13">
        <f t="shared" ref="M107:M108" si="27">L107/1000</f>
        <v>2.0090435504400594</v>
      </c>
      <c r="N107" s="13">
        <f t="shared" ref="N107" si="28">L107/I107</f>
        <v>1339.3623669600395</v>
      </c>
      <c r="O107" s="41">
        <f>O106*J64</f>
        <v>15.82921171162984</v>
      </c>
      <c r="P107" s="56"/>
      <c r="Q107" s="11"/>
      <c r="R107" s="13"/>
      <c r="S107" s="11">
        <f>1340</f>
        <v>1340</v>
      </c>
      <c r="T107" s="11" t="s">
        <v>127</v>
      </c>
      <c r="U107" s="13">
        <f>S107/(10000/H107)</f>
        <v>17.007280000000002</v>
      </c>
      <c r="V107" s="11" t="s">
        <v>62</v>
      </c>
      <c r="W107" s="11" t="s">
        <v>63</v>
      </c>
      <c r="X107" s="279"/>
      <c r="Y107" s="40">
        <f>U107*O107</f>
        <v>269.21183575896799</v>
      </c>
      <c r="Z107" s="245"/>
      <c r="AA107" s="245"/>
      <c r="AB107" s="245"/>
    </row>
    <row r="108" spans="1:28" s="99" customFormat="1" ht="17.5">
      <c r="A108" s="242"/>
      <c r="B108" s="11"/>
      <c r="C108" s="11"/>
      <c r="D108" s="11" t="s">
        <v>118</v>
      </c>
      <c r="E108" s="24" t="s">
        <v>64</v>
      </c>
      <c r="F108" s="71" t="s">
        <v>42</v>
      </c>
      <c r="G108" s="11"/>
      <c r="H108" s="11">
        <v>84.93</v>
      </c>
      <c r="I108" s="13">
        <v>1.325</v>
      </c>
      <c r="J108" s="13">
        <f>O108/O106</f>
        <v>78.273030143519662</v>
      </c>
      <c r="K108" s="11"/>
      <c r="L108" s="13">
        <f t="shared" si="26"/>
        <v>85249.268997707579</v>
      </c>
      <c r="M108" s="13">
        <f t="shared" si="27"/>
        <v>85.249268997707574</v>
      </c>
      <c r="N108" s="13">
        <f>L108/I108</f>
        <v>64339.070941666097</v>
      </c>
      <c r="O108" s="13">
        <f>O106*J65</f>
        <v>1003.759201668522</v>
      </c>
      <c r="P108" s="56"/>
      <c r="Q108" s="11"/>
      <c r="R108" s="13"/>
      <c r="S108" s="13">
        <f>701</f>
        <v>701</v>
      </c>
      <c r="T108" s="11" t="s">
        <v>43</v>
      </c>
      <c r="U108" s="13">
        <f>S108/((20000*I108)/H108)</f>
        <v>2.2466388679245286</v>
      </c>
      <c r="V108" s="11" t="s">
        <v>120</v>
      </c>
      <c r="W108" s="11" t="s">
        <v>66</v>
      </c>
      <c r="X108" s="279"/>
      <c r="Y108" s="40">
        <f>U108*O108</f>
        <v>2255.0844365053968</v>
      </c>
      <c r="Z108" s="245"/>
      <c r="AA108" s="245"/>
      <c r="AB108" s="245"/>
    </row>
    <row r="109" spans="1:28" s="99" customFormat="1" ht="17.5">
      <c r="A109" s="242"/>
      <c r="B109" s="96"/>
      <c r="C109" s="96"/>
      <c r="D109" s="170" t="s">
        <v>119</v>
      </c>
      <c r="E109" s="96" t="s">
        <v>67</v>
      </c>
      <c r="F109" s="187" t="s">
        <v>207</v>
      </c>
      <c r="G109" s="96"/>
      <c r="H109" s="97">
        <v>73.099999999999994</v>
      </c>
      <c r="I109" s="96">
        <v>0.94399999999999995</v>
      </c>
      <c r="J109" s="97">
        <f>O109/O106</f>
        <v>0.11633944661063031</v>
      </c>
      <c r="K109" s="190" t="s">
        <v>208</v>
      </c>
      <c r="L109" s="97">
        <f t="shared" si="26"/>
        <v>109.05906334763749</v>
      </c>
      <c r="M109" s="97">
        <f>L109/1000</f>
        <v>0.10905906334763749</v>
      </c>
      <c r="N109" s="97">
        <f>L109/I109</f>
        <v>115.52866880046345</v>
      </c>
      <c r="O109" s="97">
        <f>O106*J66</f>
        <v>1.4919160512672709</v>
      </c>
      <c r="P109" s="176"/>
      <c r="Q109" s="97"/>
      <c r="R109" s="96"/>
      <c r="S109" s="97">
        <f>851</f>
        <v>851</v>
      </c>
      <c r="T109" s="96" t="s">
        <v>101</v>
      </c>
      <c r="U109" s="97">
        <f>S109/((18000*I109)/H109)</f>
        <v>3.6610228342749527</v>
      </c>
      <c r="V109" s="174" t="s">
        <v>121</v>
      </c>
      <c r="W109" s="191" t="s">
        <v>68</v>
      </c>
      <c r="X109" s="279"/>
      <c r="Y109" s="157">
        <f>U109*O109</f>
        <v>5.4619387305107994</v>
      </c>
      <c r="Z109" s="245"/>
      <c r="AA109" s="245"/>
      <c r="AB109" s="245"/>
    </row>
    <row r="110" spans="1:28" s="99" customFormat="1" ht="17.5">
      <c r="A110" s="242"/>
      <c r="B110" s="96"/>
      <c r="C110" s="96"/>
      <c r="D110" s="96" t="s">
        <v>69</v>
      </c>
      <c r="E110" s="96" t="s">
        <v>70</v>
      </c>
      <c r="F110" s="155" t="s">
        <v>53</v>
      </c>
      <c r="G110" s="96"/>
      <c r="H110" s="96">
        <v>107.16</v>
      </c>
      <c r="I110" s="96">
        <v>0.98899999999999999</v>
      </c>
      <c r="J110" s="97">
        <f>O110/O106</f>
        <v>1.0290135396518376</v>
      </c>
      <c r="K110" s="96"/>
      <c r="L110" s="97">
        <f t="shared" si="26"/>
        <v>1414.0709061176728</v>
      </c>
      <c r="M110" s="97">
        <f t="shared" ref="M110:M115" si="29">L110/1000</f>
        <v>1.4140709061176728</v>
      </c>
      <c r="N110" s="97">
        <f t="shared" ref="N110:N111" si="30">L110/I110</f>
        <v>1429.7986917266662</v>
      </c>
      <c r="O110" s="98">
        <f>O106*J67</f>
        <v>13.19588378235977</v>
      </c>
      <c r="P110" s="168"/>
      <c r="Q110" s="96"/>
      <c r="R110" s="97"/>
      <c r="S110" s="97">
        <f>67.6</f>
        <v>67.599999999999994</v>
      </c>
      <c r="T110" s="96" t="s">
        <v>34</v>
      </c>
      <c r="U110" s="97">
        <f t="shared" ref="U110" si="31">S110/(1000/H110)</f>
        <v>7.2440159999999993</v>
      </c>
      <c r="V110" s="96" t="s">
        <v>71</v>
      </c>
      <c r="W110" s="96" t="s">
        <v>72</v>
      </c>
      <c r="X110" s="279"/>
      <c r="Y110" s="157">
        <f>O110*U110</f>
        <v>95.591193253554678</v>
      </c>
      <c r="Z110" s="245"/>
      <c r="AA110" s="245"/>
      <c r="AB110" s="245"/>
    </row>
    <row r="111" spans="1:28" s="99" customFormat="1" ht="17.5">
      <c r="A111" s="242"/>
      <c r="B111" s="96"/>
      <c r="C111" s="96"/>
      <c r="D111" s="170" t="s">
        <v>168</v>
      </c>
      <c r="E111" s="96" t="s">
        <v>73</v>
      </c>
      <c r="F111" s="155" t="s">
        <v>53</v>
      </c>
      <c r="G111" s="96"/>
      <c r="H111" s="97">
        <v>79.099999999999994</v>
      </c>
      <c r="I111" s="96">
        <v>0.97799999999999998</v>
      </c>
      <c r="J111" s="97">
        <f>O111/O106</f>
        <v>1.0284510908144433</v>
      </c>
      <c r="K111" s="96"/>
      <c r="L111" s="97">
        <f t="shared" si="26"/>
        <v>1043.2238792681851</v>
      </c>
      <c r="M111" s="97">
        <f t="shared" si="29"/>
        <v>1.0432238792681852</v>
      </c>
      <c r="N111" s="97">
        <f t="shared" si="30"/>
        <v>1066.6910830963038</v>
      </c>
      <c r="O111" s="98">
        <f>O106*J68</f>
        <v>13.18867104005291</v>
      </c>
      <c r="P111" s="168"/>
      <c r="Q111" s="96"/>
      <c r="R111" s="97"/>
      <c r="S111" s="97">
        <v>879</v>
      </c>
      <c r="T111" s="96" t="s">
        <v>65</v>
      </c>
      <c r="U111" s="97">
        <f>S111/((8000*I111)/H111)</f>
        <v>8.8866180981595093</v>
      </c>
      <c r="V111" s="96" t="s">
        <v>74</v>
      </c>
      <c r="W111" s="96" t="s">
        <v>75</v>
      </c>
      <c r="X111" s="279"/>
      <c r="Y111" s="157">
        <f>O111*U111</f>
        <v>117.20268275520638</v>
      </c>
      <c r="Z111" s="245"/>
      <c r="AA111" s="245"/>
      <c r="AB111" s="245"/>
    </row>
    <row r="112" spans="1:28" s="99" customFormat="1">
      <c r="A112" s="242"/>
      <c r="B112" s="11"/>
      <c r="C112" s="11"/>
      <c r="D112" s="11" t="s">
        <v>76</v>
      </c>
      <c r="E112" s="11" t="s">
        <v>77</v>
      </c>
      <c r="F112" s="77" t="s">
        <v>53</v>
      </c>
      <c r="G112" s="11"/>
      <c r="H112" s="11">
        <v>36.46</v>
      </c>
      <c r="I112" s="11">
        <v>1.19</v>
      </c>
      <c r="J112" s="13">
        <f>O112/O106</f>
        <v>58.807493475622934</v>
      </c>
      <c r="K112" s="11" t="s">
        <v>78</v>
      </c>
      <c r="L112" s="13">
        <f t="shared" si="26"/>
        <v>27495.823174510304</v>
      </c>
      <c r="M112" s="13">
        <f t="shared" si="29"/>
        <v>27.495823174510303</v>
      </c>
      <c r="N112" s="13">
        <f>L112/I112</f>
        <v>23105.733760092695</v>
      </c>
      <c r="O112" s="13">
        <f>O106*J69</f>
        <v>754.13667510999187</v>
      </c>
      <c r="P112" s="56"/>
      <c r="Q112" s="11"/>
      <c r="R112" s="13"/>
      <c r="S112" s="13">
        <v>383</v>
      </c>
      <c r="T112" s="11" t="s">
        <v>123</v>
      </c>
      <c r="U112" s="13">
        <f>S112/((1500*I112)/H112)</f>
        <v>7.8230700280112044</v>
      </c>
      <c r="V112" s="11" t="s">
        <v>122</v>
      </c>
      <c r="W112" s="11" t="s">
        <v>79</v>
      </c>
      <c r="X112" s="279"/>
      <c r="Y112" s="40">
        <f>O112*U112</f>
        <v>5899.6640200770007</v>
      </c>
      <c r="Z112" s="245"/>
      <c r="AA112" s="245"/>
      <c r="AB112" s="245"/>
    </row>
    <row r="113" spans="1:30" s="99" customFormat="1">
      <c r="A113" s="242"/>
      <c r="D113" s="96" t="s">
        <v>156</v>
      </c>
      <c r="E113" s="96" t="s">
        <v>157</v>
      </c>
      <c r="F113" s="155" t="s">
        <v>53</v>
      </c>
      <c r="H113" s="96">
        <f>58.44</f>
        <v>58.44</v>
      </c>
      <c r="I113" s="96">
        <f>2.16</f>
        <v>2.16</v>
      </c>
      <c r="J113" s="97">
        <f>O113/O106</f>
        <v>16.648914559290208</v>
      </c>
      <c r="L113" s="97">
        <f t="shared" si="26"/>
        <v>12477.096230450054</v>
      </c>
      <c r="M113" s="97">
        <f t="shared" si="29"/>
        <v>12.477096230450053</v>
      </c>
      <c r="N113" s="97">
        <f>L113/I113</f>
        <v>5776.4334400231728</v>
      </c>
      <c r="O113" s="97">
        <f>O106*J70</f>
        <v>213.5026733478791</v>
      </c>
      <c r="P113" s="156"/>
      <c r="S113" s="97">
        <f>528</f>
        <v>528</v>
      </c>
      <c r="T113" s="96" t="s">
        <v>134</v>
      </c>
      <c r="U113" s="97">
        <f>S113/(50000/H113)</f>
        <v>0.61712639999999996</v>
      </c>
      <c r="V113" s="96" t="s">
        <v>158</v>
      </c>
      <c r="W113" s="96" t="s">
        <v>159</v>
      </c>
      <c r="X113" s="279"/>
      <c r="Y113" s="157">
        <f>U113*O113</f>
        <v>131.75813619355256</v>
      </c>
      <c r="Z113" s="245"/>
      <c r="AA113" s="245"/>
      <c r="AB113" s="245"/>
      <c r="AD113" s="99" t="s">
        <v>182</v>
      </c>
    </row>
    <row r="114" spans="1:30" ht="17.5">
      <c r="A114" s="242"/>
      <c r="B114" s="21"/>
      <c r="C114" s="21"/>
      <c r="D114" s="21" t="s">
        <v>37</v>
      </c>
      <c r="E114" s="21" t="s">
        <v>38</v>
      </c>
      <c r="F114" s="48" t="s">
        <v>37</v>
      </c>
      <c r="G114" s="21"/>
      <c r="H114" s="21">
        <v>18.02</v>
      </c>
      <c r="I114" s="20">
        <v>1</v>
      </c>
      <c r="J114" s="20">
        <f>O114/O106</f>
        <v>49.993965904392226</v>
      </c>
      <c r="K114" s="21"/>
      <c r="L114" s="20">
        <f t="shared" si="26"/>
        <v>11552.866880046346</v>
      </c>
      <c r="M114" s="154">
        <f t="shared" si="29"/>
        <v>11.552866880046345</v>
      </c>
      <c r="N114" s="20">
        <f>L114/I114</f>
        <v>11552.866880046346</v>
      </c>
      <c r="O114" s="20">
        <f>O106*J71</f>
        <v>641.11358934774398</v>
      </c>
      <c r="P114" s="58"/>
      <c r="Q114" s="21"/>
      <c r="R114" s="20"/>
      <c r="S114" s="20">
        <f>285</f>
        <v>285</v>
      </c>
      <c r="T114" s="20" t="s">
        <v>58</v>
      </c>
      <c r="U114" s="20">
        <f>S114/((16000*I114)/H114)</f>
        <v>0.32098125</v>
      </c>
      <c r="V114" s="21" t="s">
        <v>112</v>
      </c>
      <c r="W114" s="21" t="s">
        <v>82</v>
      </c>
      <c r="X114" s="279"/>
      <c r="Y114" s="158">
        <f t="shared" ref="Y114:Y115" si="32">U114*O114</f>
        <v>205.78544130082554</v>
      </c>
      <c r="Z114" s="245"/>
      <c r="AA114" s="245"/>
      <c r="AB114" s="245"/>
    </row>
    <row r="115" spans="1:30" s="99" customFormat="1" ht="17.5">
      <c r="A115" s="242"/>
      <c r="B115" s="103"/>
      <c r="C115" s="103"/>
      <c r="D115" s="96" t="s">
        <v>169</v>
      </c>
      <c r="E115" s="96" t="s">
        <v>97</v>
      </c>
      <c r="F115" s="167" t="s">
        <v>42</v>
      </c>
      <c r="G115" s="96"/>
      <c r="H115" s="96">
        <v>92.14</v>
      </c>
      <c r="I115" s="96">
        <v>0.86499999999999999</v>
      </c>
      <c r="J115" s="97">
        <f>O115/O106</f>
        <v>17.760679226798558</v>
      </c>
      <c r="K115" s="96"/>
      <c r="L115" s="97">
        <f t="shared" si="26"/>
        <v>20985.782687604187</v>
      </c>
      <c r="M115" s="97">
        <f t="shared" si="29"/>
        <v>20.985782687604186</v>
      </c>
      <c r="N115" s="97">
        <f>L115/I115</f>
        <v>24261.020448097326</v>
      </c>
      <c r="O115" s="97">
        <f>O106*J72</f>
        <v>227.75974264818956</v>
      </c>
      <c r="P115" s="168"/>
      <c r="Q115" s="96"/>
      <c r="R115" s="97"/>
      <c r="S115" s="97">
        <f>1800</f>
        <v>1800</v>
      </c>
      <c r="T115" s="96" t="s">
        <v>50</v>
      </c>
      <c r="U115" s="97">
        <f>S115/((200000*I115)/H115)</f>
        <v>0.95868208092485552</v>
      </c>
      <c r="V115" s="170" t="s">
        <v>178</v>
      </c>
      <c r="W115" s="96" t="s">
        <v>98</v>
      </c>
      <c r="X115" s="279"/>
      <c r="Y115" s="157">
        <f t="shared" si="32"/>
        <v>218.34918403287594</v>
      </c>
      <c r="Z115" s="245"/>
      <c r="AA115" s="245"/>
      <c r="AB115" s="245"/>
    </row>
    <row r="116" spans="1:30" ht="16.5">
      <c r="A116" s="243"/>
      <c r="B116" s="43"/>
      <c r="C116" s="44">
        <v>22</v>
      </c>
      <c r="D116" s="43"/>
      <c r="E116" s="78" t="s">
        <v>83</v>
      </c>
      <c r="F116" s="79" t="s">
        <v>47</v>
      </c>
      <c r="G116" s="79" t="s">
        <v>84</v>
      </c>
      <c r="H116" s="45">
        <v>291.3</v>
      </c>
      <c r="I116" s="43"/>
      <c r="J116" s="43"/>
      <c r="K116" s="43"/>
      <c r="L116" s="45"/>
      <c r="M116" s="45"/>
      <c r="N116" s="43"/>
      <c r="O116" s="45"/>
      <c r="P116" s="102">
        <f>R116*H116</f>
        <v>2988.4628712336448</v>
      </c>
      <c r="Q116" s="95">
        <f>P116/1000</f>
        <v>2.988462871233645</v>
      </c>
      <c r="R116" s="95">
        <f>O118</f>
        <v>10.259055514018691</v>
      </c>
      <c r="S116" s="43"/>
      <c r="T116" s="43"/>
      <c r="U116" s="43"/>
      <c r="V116" s="43"/>
      <c r="W116" s="43"/>
      <c r="X116" s="280"/>
      <c r="Y116" s="81"/>
      <c r="Z116" s="252"/>
      <c r="AA116" s="252"/>
      <c r="AB116" s="252"/>
    </row>
    <row r="117" spans="1:30">
      <c r="A117" s="241" t="s">
        <v>235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12"/>
      <c r="M117" s="12"/>
      <c r="N117" s="30"/>
      <c r="O117" s="12"/>
      <c r="P117" s="59"/>
      <c r="Q117" s="30"/>
      <c r="R117" s="12"/>
      <c r="S117" s="30"/>
      <c r="T117" s="30"/>
      <c r="U117" s="30"/>
      <c r="V117" s="30"/>
      <c r="W117" s="30"/>
      <c r="X117" s="281">
        <f>R128/O118</f>
        <v>0.74900000002906131</v>
      </c>
      <c r="Y117" s="33"/>
      <c r="Z117" s="284" t="s">
        <v>172</v>
      </c>
      <c r="AA117" s="244">
        <v>0.1</v>
      </c>
      <c r="AB117" s="244">
        <f>24.15</f>
        <v>24.15</v>
      </c>
    </row>
    <row r="118" spans="1:30" ht="16.5">
      <c r="A118" s="242"/>
      <c r="B118" s="27">
        <v>22</v>
      </c>
      <c r="C118" s="27"/>
      <c r="D118" s="34" t="s">
        <v>84</v>
      </c>
      <c r="E118" s="80" t="s">
        <v>83</v>
      </c>
      <c r="F118" s="34" t="s">
        <v>47</v>
      </c>
      <c r="G118" s="11"/>
      <c r="H118" s="13">
        <v>291.3</v>
      </c>
      <c r="I118" s="11"/>
      <c r="J118" s="13">
        <f>O118/O118</f>
        <v>1</v>
      </c>
      <c r="K118" s="11"/>
      <c r="L118" s="35">
        <f>O118*H118</f>
        <v>2988.4628712336448</v>
      </c>
      <c r="M118" s="159">
        <f>L118/1000</f>
        <v>2.988462871233645</v>
      </c>
      <c r="N118" s="11"/>
      <c r="O118" s="151">
        <v>10.259055514018691</v>
      </c>
      <c r="P118" s="56"/>
      <c r="Q118" s="11"/>
      <c r="R118" s="13"/>
      <c r="S118" s="11"/>
      <c r="T118" s="11"/>
      <c r="U118" s="11"/>
      <c r="V118" s="11"/>
      <c r="W118" s="11"/>
      <c r="X118" s="282"/>
      <c r="Y118" s="28"/>
      <c r="Z118" s="285"/>
      <c r="AA118" s="245"/>
      <c r="AB118" s="245"/>
    </row>
    <row r="119" spans="1:30" s="99" customFormat="1" ht="17.5">
      <c r="A119" s="242"/>
      <c r="B119" s="103"/>
      <c r="C119" s="103"/>
      <c r="D119" s="96" t="s">
        <v>129</v>
      </c>
      <c r="E119" s="96" t="s">
        <v>85</v>
      </c>
      <c r="F119" s="167" t="s">
        <v>42</v>
      </c>
      <c r="G119" s="96"/>
      <c r="H119" s="96">
        <v>72.11</v>
      </c>
      <c r="I119" s="96">
        <v>0.88900000000000001</v>
      </c>
      <c r="J119" s="97">
        <f>O119/O118</f>
        <v>37.44048941096716</v>
      </c>
      <c r="K119" s="96"/>
      <c r="L119" s="97">
        <f t="shared" ref="L119:L127" si="33">O119*H119</f>
        <v>27697.743718945461</v>
      </c>
      <c r="M119" s="97">
        <f>L119/1000</f>
        <v>27.697743718945461</v>
      </c>
      <c r="N119" s="97">
        <f>L119/I119</f>
        <v>31156.067175416716</v>
      </c>
      <c r="O119" s="97">
        <f>O118*J76</f>
        <v>384.10405933914103</v>
      </c>
      <c r="P119" s="168"/>
      <c r="Q119" s="96"/>
      <c r="R119" s="97"/>
      <c r="S119" s="98">
        <v>6860</v>
      </c>
      <c r="T119" s="96" t="s">
        <v>50</v>
      </c>
      <c r="U119" s="97">
        <f>S119/((200000*I119)/H119)</f>
        <v>2.7821968503937007</v>
      </c>
      <c r="V119" s="170" t="s">
        <v>181</v>
      </c>
      <c r="W119" s="96" t="s">
        <v>86</v>
      </c>
      <c r="X119" s="282"/>
      <c r="Y119" s="169">
        <f t="shared" ref="Y119:Y127" si="34">U119*O119</f>
        <v>1068.6531041167932</v>
      </c>
      <c r="Z119" s="285"/>
      <c r="AA119" s="245"/>
      <c r="AB119" s="245"/>
    </row>
    <row r="120" spans="1:30" s="99" customFormat="1" ht="17.5">
      <c r="A120" s="242"/>
      <c r="B120" s="27"/>
      <c r="C120" s="27"/>
      <c r="D120" s="11" t="s">
        <v>130</v>
      </c>
      <c r="E120" s="11" t="s">
        <v>87</v>
      </c>
      <c r="F120" s="77" t="s">
        <v>53</v>
      </c>
      <c r="G120" s="11"/>
      <c r="H120" s="13">
        <v>37.950000000000003</v>
      </c>
      <c r="I120" s="11">
        <v>0.91700000000000004</v>
      </c>
      <c r="J120" s="13">
        <f>O120/O118</f>
        <v>4.0008295031140353</v>
      </c>
      <c r="K120" s="11" t="s">
        <v>131</v>
      </c>
      <c r="L120" s="13">
        <f t="shared" si="33"/>
        <v>1557.6475784349582</v>
      </c>
      <c r="M120" s="13">
        <f t="shared" ref="M120:M127" si="35">L120/1000</f>
        <v>1.5576475784349582</v>
      </c>
      <c r="N120" s="13">
        <f>L120/I120</f>
        <v>1698.6342185768356</v>
      </c>
      <c r="O120" s="13">
        <f>O118*J77</f>
        <v>41.044731974570702</v>
      </c>
      <c r="P120" s="56"/>
      <c r="Q120" s="11"/>
      <c r="R120" s="13"/>
      <c r="S120" s="13">
        <v>711</v>
      </c>
      <c r="T120" s="11" t="s">
        <v>88</v>
      </c>
      <c r="U120" s="13">
        <f>S120/(1000/H120)</f>
        <v>26.98245</v>
      </c>
      <c r="V120" s="11" t="s">
        <v>89</v>
      </c>
      <c r="W120" t="s">
        <v>90</v>
      </c>
      <c r="X120" s="282"/>
      <c r="Y120" s="26">
        <f t="shared" si="34"/>
        <v>1107.4874282672552</v>
      </c>
      <c r="Z120" s="285"/>
      <c r="AA120" s="245"/>
      <c r="AB120" s="245"/>
    </row>
    <row r="121" spans="1:30" s="99" customFormat="1" ht="17.5">
      <c r="A121" s="242"/>
      <c r="B121" s="27"/>
      <c r="C121" s="27"/>
      <c r="D121" s="11" t="s">
        <v>91</v>
      </c>
      <c r="E121" s="11" t="s">
        <v>92</v>
      </c>
      <c r="F121" s="77" t="s">
        <v>53</v>
      </c>
      <c r="G121" s="11"/>
      <c r="H121" s="13">
        <v>98.07</v>
      </c>
      <c r="I121" s="13">
        <v>1.84</v>
      </c>
      <c r="J121" s="13">
        <f>O121/O118</f>
        <v>12.016795261439805</v>
      </c>
      <c r="K121" s="11" t="s">
        <v>131</v>
      </c>
      <c r="L121" s="13">
        <f t="shared" si="33"/>
        <v>12090.164697273494</v>
      </c>
      <c r="M121" s="13">
        <f t="shared" si="35"/>
        <v>12.090164697273494</v>
      </c>
      <c r="N121" s="13">
        <f t="shared" ref="N121:N124" si="36">L121/I121</f>
        <v>6570.7416833008119</v>
      </c>
      <c r="O121" s="13">
        <f>O118*J78</f>
        <v>123.28096968770771</v>
      </c>
      <c r="P121" s="56"/>
      <c r="Q121" s="11"/>
      <c r="R121" s="13"/>
      <c r="S121" s="11">
        <v>105</v>
      </c>
      <c r="T121" s="11" t="s">
        <v>132</v>
      </c>
      <c r="U121" s="13">
        <f>S121/((2500*I121)/H121)</f>
        <v>2.2385543478260868</v>
      </c>
      <c r="V121" s="11" t="s">
        <v>133</v>
      </c>
      <c r="W121" s="11" t="s">
        <v>93</v>
      </c>
      <c r="X121" s="282"/>
      <c r="Y121" s="26">
        <f t="shared" si="34"/>
        <v>275.97115069863412</v>
      </c>
      <c r="Z121" s="285"/>
      <c r="AA121" s="245"/>
      <c r="AB121" s="245"/>
    </row>
    <row r="122" spans="1:30" ht="17.5">
      <c r="A122" s="242"/>
      <c r="B122" s="48"/>
      <c r="C122" s="48"/>
      <c r="D122" s="21" t="s">
        <v>37</v>
      </c>
      <c r="E122" s="21" t="s">
        <v>38</v>
      </c>
      <c r="F122" s="48" t="s">
        <v>37</v>
      </c>
      <c r="G122" s="21"/>
      <c r="H122" s="21">
        <v>18.02</v>
      </c>
      <c r="I122" s="20">
        <v>1</v>
      </c>
      <c r="J122" s="20">
        <f>O122/O118</f>
        <v>1230.888348197157</v>
      </c>
      <c r="K122" s="21"/>
      <c r="L122" s="20">
        <f t="shared" si="33"/>
        <v>227552.08916075548</v>
      </c>
      <c r="M122" s="154">
        <f t="shared" si="35"/>
        <v>227.55208916075549</v>
      </c>
      <c r="N122" s="20">
        <f t="shared" si="36"/>
        <v>227552.08916075548</v>
      </c>
      <c r="O122" s="20">
        <f>O118*J79</f>
        <v>12627.751895713402</v>
      </c>
      <c r="P122" s="58"/>
      <c r="Q122" s="21"/>
      <c r="R122" s="20"/>
      <c r="S122" s="20">
        <f>285</f>
        <v>285</v>
      </c>
      <c r="T122" s="20" t="s">
        <v>58</v>
      </c>
      <c r="U122" s="20">
        <f>S122/((16000*I122)/H122)</f>
        <v>0.32098125</v>
      </c>
      <c r="V122" s="21" t="s">
        <v>112</v>
      </c>
      <c r="W122" s="21" t="s">
        <v>82</v>
      </c>
      <c r="X122" s="282"/>
      <c r="Y122" s="22">
        <f t="shared" si="34"/>
        <v>4053.2715881759573</v>
      </c>
      <c r="Z122" s="285"/>
      <c r="AA122" s="245"/>
      <c r="AB122" s="245"/>
    </row>
    <row r="123" spans="1:30" s="99" customFormat="1">
      <c r="A123" s="242"/>
      <c r="B123" s="27"/>
      <c r="C123" s="27"/>
      <c r="D123" s="11" t="s">
        <v>94</v>
      </c>
      <c r="E123" s="11" t="s">
        <v>95</v>
      </c>
      <c r="F123" s="77" t="s">
        <v>53</v>
      </c>
      <c r="G123" s="11"/>
      <c r="H123" s="13">
        <v>40</v>
      </c>
      <c r="I123" s="11">
        <v>2.13</v>
      </c>
      <c r="J123" s="13">
        <f>O123/O118</f>
        <v>11.011385793535316</v>
      </c>
      <c r="K123" s="11"/>
      <c r="L123" s="13">
        <f t="shared" si="33"/>
        <v>4518.6567256862227</v>
      </c>
      <c r="M123" s="13">
        <f t="shared" si="35"/>
        <v>4.5186567256862222</v>
      </c>
      <c r="N123" s="13">
        <f t="shared" si="36"/>
        <v>2121.4350824817948</v>
      </c>
      <c r="O123" s="13">
        <f>O118*J80</f>
        <v>112.96641814215556</v>
      </c>
      <c r="P123" s="56"/>
      <c r="Q123" s="11"/>
      <c r="R123" s="13"/>
      <c r="S123" s="13">
        <v>1060</v>
      </c>
      <c r="T123" s="11" t="s">
        <v>134</v>
      </c>
      <c r="U123" s="13">
        <f>S123/(50000/H123)</f>
        <v>0.84799999999999998</v>
      </c>
      <c r="V123" s="11" t="s">
        <v>135</v>
      </c>
      <c r="W123" s="11" t="s">
        <v>96</v>
      </c>
      <c r="X123" s="282"/>
      <c r="Y123" s="26">
        <f t="shared" si="34"/>
        <v>95.795522584547911</v>
      </c>
      <c r="Z123" s="285"/>
      <c r="AA123" s="245"/>
      <c r="AB123" s="245"/>
    </row>
    <row r="124" spans="1:30" s="99" customFormat="1" ht="17.5">
      <c r="A124" s="242"/>
      <c r="B124" s="103"/>
      <c r="C124" s="103"/>
      <c r="D124" s="96" t="s">
        <v>169</v>
      </c>
      <c r="E124" s="96" t="s">
        <v>97</v>
      </c>
      <c r="F124" s="167" t="s">
        <v>42</v>
      </c>
      <c r="G124" s="96"/>
      <c r="H124" s="96">
        <v>92.14</v>
      </c>
      <c r="I124" s="96">
        <v>0.86499999999999999</v>
      </c>
      <c r="J124" s="97">
        <f>O124/O118</f>
        <v>247.91643081475539</v>
      </c>
      <c r="K124" s="96"/>
      <c r="L124" s="97">
        <f t="shared" si="33"/>
        <v>234347.80962378657</v>
      </c>
      <c r="M124" s="97">
        <f t="shared" si="35"/>
        <v>234.34780962378656</v>
      </c>
      <c r="N124" s="97">
        <f t="shared" si="36"/>
        <v>270922.32326449314</v>
      </c>
      <c r="O124" s="97">
        <f>O118*J81</f>
        <v>2543.3884265659494</v>
      </c>
      <c r="P124" s="168"/>
      <c r="Q124" s="96"/>
      <c r="R124" s="97"/>
      <c r="S124" s="97">
        <f>1800</f>
        <v>1800</v>
      </c>
      <c r="T124" s="96" t="s">
        <v>50</v>
      </c>
      <c r="U124" s="97">
        <f>S124/((200000*I124)/H124)</f>
        <v>0.95868208092485552</v>
      </c>
      <c r="V124" s="170" t="s">
        <v>178</v>
      </c>
      <c r="W124" s="96" t="s">
        <v>98</v>
      </c>
      <c r="X124" s="282"/>
      <c r="Y124" s="169">
        <f t="shared" si="34"/>
        <v>2438.3009093804385</v>
      </c>
      <c r="Z124" s="285"/>
      <c r="AA124" s="245"/>
      <c r="AB124" s="245"/>
    </row>
    <row r="125" spans="1:30" s="99" customFormat="1" ht="17.5">
      <c r="A125" s="242"/>
      <c r="B125" s="27"/>
      <c r="C125" s="27"/>
      <c r="D125" s="11" t="s">
        <v>118</v>
      </c>
      <c r="E125" s="24" t="s">
        <v>99</v>
      </c>
      <c r="F125" s="71" t="s">
        <v>42</v>
      </c>
      <c r="G125" s="11"/>
      <c r="H125" s="11">
        <v>84.93</v>
      </c>
      <c r="I125" s="13">
        <v>1.325</v>
      </c>
      <c r="J125" s="13">
        <f>O125/O118</f>
        <v>102.99880219015732</v>
      </c>
      <c r="K125" s="11"/>
      <c r="L125" s="13">
        <f t="shared" si="33"/>
        <v>89743.019581363347</v>
      </c>
      <c r="M125" s="13">
        <f t="shared" si="35"/>
        <v>89.743019581363342</v>
      </c>
      <c r="N125" s="13">
        <f>L125/I125</f>
        <v>67730.580816123285</v>
      </c>
      <c r="O125" s="13">
        <f>O118*J82</f>
        <v>1056.6704295462539</v>
      </c>
      <c r="P125" s="56"/>
      <c r="Q125" s="11"/>
      <c r="R125" s="13"/>
      <c r="S125" s="13">
        <f>701</f>
        <v>701</v>
      </c>
      <c r="T125" s="11" t="s">
        <v>43</v>
      </c>
      <c r="U125" s="13">
        <f>S125/((20000*I125)/H125)</f>
        <v>2.2466388679245286</v>
      </c>
      <c r="V125" s="11" t="s">
        <v>120</v>
      </c>
      <c r="W125" s="11" t="s">
        <v>66</v>
      </c>
      <c r="X125" s="282"/>
      <c r="Y125" s="26">
        <f t="shared" si="34"/>
        <v>2373.9568576051211</v>
      </c>
      <c r="Z125" s="285"/>
      <c r="AA125" s="245"/>
      <c r="AB125" s="245"/>
    </row>
    <row r="126" spans="1:30" s="99" customFormat="1" ht="17.5">
      <c r="A126" s="242"/>
      <c r="B126" s="27"/>
      <c r="C126" s="27"/>
      <c r="D126" s="11" t="s">
        <v>136</v>
      </c>
      <c r="E126" s="11" t="s">
        <v>100</v>
      </c>
      <c r="F126" s="71" t="s">
        <v>42</v>
      </c>
      <c r="G126" s="11"/>
      <c r="H126" s="11">
        <v>88.11</v>
      </c>
      <c r="I126" s="11">
        <v>0.90200000000000002</v>
      </c>
      <c r="J126" s="13">
        <f>O126/O118</f>
        <v>27.034525263828709</v>
      </c>
      <c r="K126" s="11"/>
      <c r="L126" s="13">
        <f t="shared" si="33"/>
        <v>24437.193558457282</v>
      </c>
      <c r="M126" s="13">
        <f t="shared" si="35"/>
        <v>24.437193558457281</v>
      </c>
      <c r="N126" s="13">
        <f t="shared" ref="N126:N127" si="37">L126/I126</f>
        <v>27092.232326449313</v>
      </c>
      <c r="O126" s="13">
        <f>O118*J83</f>
        <v>277.34869547675953</v>
      </c>
      <c r="P126" s="56"/>
      <c r="Q126" s="11"/>
      <c r="R126" s="13"/>
      <c r="S126" s="13">
        <v>3650</v>
      </c>
      <c r="T126" s="11" t="s">
        <v>50</v>
      </c>
      <c r="U126" s="13">
        <f>S126/((200000*I126)/H126)</f>
        <v>1.7827134146341463</v>
      </c>
      <c r="V126" s="11" t="s">
        <v>137</v>
      </c>
      <c r="W126" s="11" t="s">
        <v>102</v>
      </c>
      <c r="X126" s="282"/>
      <c r="Y126" s="26">
        <f t="shared" si="34"/>
        <v>494.43323995769998</v>
      </c>
      <c r="Z126" s="285"/>
      <c r="AA126" s="245"/>
      <c r="AB126" s="245"/>
    </row>
    <row r="127" spans="1:30" ht="17.5">
      <c r="A127" s="242"/>
      <c r="B127" s="49"/>
      <c r="C127" s="49"/>
      <c r="D127" s="16" t="s">
        <v>103</v>
      </c>
      <c r="E127" s="16" t="s">
        <v>104</v>
      </c>
      <c r="F127" s="49" t="s">
        <v>33</v>
      </c>
      <c r="G127" s="16"/>
      <c r="H127" s="16">
        <v>60.08</v>
      </c>
      <c r="I127" s="16">
        <v>0.7</v>
      </c>
      <c r="J127" s="15">
        <f>O127/O118</f>
        <v>4.3954919327739432</v>
      </c>
      <c r="K127" s="16"/>
      <c r="L127" s="15">
        <f t="shared" si="33"/>
        <v>2709.2232326449312</v>
      </c>
      <c r="M127" s="15">
        <f t="shared" si="35"/>
        <v>2.709223232644931</v>
      </c>
      <c r="N127" s="15">
        <f t="shared" si="37"/>
        <v>3870.3189037784732</v>
      </c>
      <c r="O127" s="15">
        <f>O118*J84</f>
        <v>45.093595749749191</v>
      </c>
      <c r="P127" s="60"/>
      <c r="Q127" s="16"/>
      <c r="R127" s="15"/>
      <c r="S127" s="15">
        <v>3160</v>
      </c>
      <c r="T127" s="16" t="s">
        <v>105</v>
      </c>
      <c r="U127" s="15">
        <f>S127/(25000/H127)</f>
        <v>7.5941119999999991</v>
      </c>
      <c r="V127" s="16" t="s">
        <v>106</v>
      </c>
      <c r="W127" s="16" t="s">
        <v>107</v>
      </c>
      <c r="X127" s="282"/>
      <c r="Y127" s="18">
        <f t="shared" si="34"/>
        <v>342.44581660631928</v>
      </c>
      <c r="Z127" s="285"/>
      <c r="AA127" s="245"/>
      <c r="AB127" s="245"/>
    </row>
    <row r="128" spans="1:30" ht="17.5">
      <c r="A128" s="243"/>
      <c r="B128" s="44"/>
      <c r="C128" s="222" t="s">
        <v>236</v>
      </c>
      <c r="D128" s="43"/>
      <c r="E128" s="43" t="s">
        <v>108</v>
      </c>
      <c r="F128" s="44" t="s">
        <v>113</v>
      </c>
      <c r="G128" s="43" t="s">
        <v>109</v>
      </c>
      <c r="H128" s="45">
        <v>130.13999999999999</v>
      </c>
      <c r="I128" s="43"/>
      <c r="J128" s="43"/>
      <c r="K128" s="50">
        <v>0.96799999999999997</v>
      </c>
      <c r="L128" s="45"/>
      <c r="M128" s="45"/>
      <c r="N128" s="43"/>
      <c r="O128" s="45"/>
      <c r="P128" s="236">
        <f>R128*H128</f>
        <v>1000</v>
      </c>
      <c r="Q128" s="172">
        <f>P128/1000</f>
        <v>1</v>
      </c>
      <c r="R128" s="237">
        <v>7.6840325802981413</v>
      </c>
      <c r="S128" s="43"/>
      <c r="T128" s="43"/>
      <c r="U128" s="43"/>
      <c r="V128" s="43"/>
      <c r="W128" s="43"/>
      <c r="X128" s="283"/>
      <c r="Y128" s="46"/>
      <c r="Z128" s="192" t="s">
        <v>175</v>
      </c>
      <c r="AA128" s="252"/>
      <c r="AB128" s="192" t="s">
        <v>174</v>
      </c>
    </row>
    <row r="129" spans="1:28">
      <c r="W129" s="160" t="s">
        <v>163</v>
      </c>
      <c r="X129" s="240">
        <f>X90*X95*X100*X105*X117</f>
        <v>0.52891384011634812</v>
      </c>
      <c r="Y129" s="221">
        <f>(Y90+SUM(Y92:Y93) + SUM(Y97:Y98)+ SUM(Y102:Y103)+SUM(Y107:Y115)+SUM(Y119:Y126))/10</f>
        <v>3197.2292231706792</v>
      </c>
      <c r="AB129" s="13"/>
    </row>
    <row r="130" spans="1:28">
      <c r="X130" s="11"/>
      <c r="Y130" s="11"/>
      <c r="Z130" s="11"/>
    </row>
    <row r="131" spans="1:28">
      <c r="A131" s="246" t="s">
        <v>191</v>
      </c>
      <c r="B131" s="247"/>
      <c r="C131" s="247"/>
      <c r="D131" s="248"/>
      <c r="M131" s="11"/>
      <c r="N131" s="92"/>
      <c r="R131">
        <f>1000/130.14</f>
        <v>7.6840325802981413</v>
      </c>
      <c r="X131" s="92" t="s">
        <v>231</v>
      </c>
      <c r="Y131" s="13">
        <f>(Y93+Y97+Y102+Y108+Y115+Y119+Y124+Y125+Y126)/10</f>
        <v>1329.3310732960381</v>
      </c>
      <c r="Z131">
        <f>10%*Y131</f>
        <v>132.93310732960381</v>
      </c>
      <c r="AA131" s="92">
        <f>Y131-Z131</f>
        <v>1196.3979659664342</v>
      </c>
    </row>
    <row r="132" spans="1:28">
      <c r="A132" s="10" t="s">
        <v>139</v>
      </c>
      <c r="B132" s="10" t="s">
        <v>6</v>
      </c>
      <c r="C132" s="10" t="s">
        <v>140</v>
      </c>
      <c r="D132" s="10" t="s">
        <v>141</v>
      </c>
      <c r="M132" s="11"/>
      <c r="N132" s="92"/>
      <c r="X132" s="92" t="s">
        <v>37</v>
      </c>
      <c r="Y132" s="13">
        <f>(Y122+Y114+Y92)/10</f>
        <v>984.44860787665459</v>
      </c>
      <c r="Z132" s="13"/>
      <c r="AA132" s="92"/>
    </row>
    <row r="133" spans="1:28">
      <c r="A133" s="241" t="s">
        <v>232</v>
      </c>
      <c r="B133" s="110" t="s">
        <v>211</v>
      </c>
      <c r="C133" s="104">
        <f>M90</f>
        <v>3.3444788283878353</v>
      </c>
      <c r="D133" s="33"/>
      <c r="M133" s="11"/>
      <c r="N133" s="92"/>
      <c r="Q133" t="s">
        <v>226</v>
      </c>
      <c r="R133">
        <f>7.68403258/74.9%</f>
        <v>10.259055514018691</v>
      </c>
      <c r="T133">
        <f>10.25905551/80%</f>
        <v>12.823819387499999</v>
      </c>
      <c r="X133" s="224" t="s">
        <v>229</v>
      </c>
      <c r="Y133" s="225">
        <f>Y129-AA131-Y132</f>
        <v>1016.3826493275905</v>
      </c>
      <c r="Z133" s="11"/>
    </row>
    <row r="134" spans="1:28">
      <c r="A134" s="242"/>
      <c r="B134" s="108" t="s">
        <v>42</v>
      </c>
      <c r="C134" s="40">
        <f>M93</f>
        <v>31.958353249039316</v>
      </c>
      <c r="D134" s="28"/>
      <c r="M134" s="11"/>
      <c r="N134" s="92"/>
      <c r="Q134" t="s">
        <v>227</v>
      </c>
      <c r="R134">
        <f>R133*291.3</f>
        <v>2988.4628712336448</v>
      </c>
      <c r="T134">
        <f>12.82381939/91%</f>
        <v>14.09210921978022</v>
      </c>
      <c r="X134" s="226" t="s">
        <v>230</v>
      </c>
      <c r="Y134" s="181">
        <f>Y129-Y131-Y132</f>
        <v>883.44954199798656</v>
      </c>
      <c r="Z134" s="23"/>
    </row>
    <row r="135" spans="1:28">
      <c r="A135" s="242"/>
      <c r="B135" s="165" t="s">
        <v>53</v>
      </c>
      <c r="C135" s="40">
        <f>0</f>
        <v>0</v>
      </c>
      <c r="D135" s="28"/>
      <c r="M135" s="11"/>
      <c r="N135" s="92"/>
      <c r="T135">
        <f>14.09210922/97%</f>
        <v>14.527947649484537</v>
      </c>
      <c r="Y135" s="92"/>
    </row>
    <row r="136" spans="1:28">
      <c r="A136" s="242"/>
      <c r="B136" s="109" t="s">
        <v>37</v>
      </c>
      <c r="C136" s="40">
        <f>M92</f>
        <v>313.56794662679368</v>
      </c>
      <c r="D136" s="26"/>
      <c r="M136" s="11"/>
    </row>
    <row r="137" spans="1:28">
      <c r="A137" s="269"/>
      <c r="B137" s="111" t="s">
        <v>47</v>
      </c>
      <c r="C137" s="105" t="s">
        <v>111</v>
      </c>
      <c r="D137" s="106">
        <f>Q94</f>
        <v>2.4535771362559342</v>
      </c>
    </row>
    <row r="138" spans="1:28">
      <c r="A138" s="241" t="s">
        <v>233</v>
      </c>
      <c r="B138" s="107" t="s">
        <v>47</v>
      </c>
      <c r="C138" s="104">
        <f>M96</f>
        <v>2.4535771362559342</v>
      </c>
      <c r="D138" s="33"/>
    </row>
    <row r="139" spans="1:28">
      <c r="A139" s="242"/>
      <c r="B139" s="108" t="s">
        <v>42</v>
      </c>
      <c r="C139" s="40">
        <f>M97</f>
        <v>20.91551169677248</v>
      </c>
      <c r="D139" s="28"/>
    </row>
    <row r="140" spans="1:28">
      <c r="A140" s="242"/>
      <c r="B140" s="165" t="s">
        <v>53</v>
      </c>
      <c r="C140" s="40">
        <f>M98</f>
        <v>1.6908442456969999</v>
      </c>
      <c r="D140" s="28"/>
    </row>
    <row r="141" spans="1:28">
      <c r="A141" s="242"/>
      <c r="B141" s="109" t="s">
        <v>37</v>
      </c>
      <c r="C141" s="40">
        <f>0</f>
        <v>0</v>
      </c>
      <c r="D141" s="26"/>
    </row>
    <row r="142" spans="1:28">
      <c r="A142" s="269"/>
      <c r="B142" s="111" t="s">
        <v>47</v>
      </c>
      <c r="C142" s="106" t="s">
        <v>111</v>
      </c>
      <c r="D142" s="106">
        <f>Q99</f>
        <v>2.0016699685851003</v>
      </c>
    </row>
    <row r="143" spans="1:28">
      <c r="A143" s="241" t="s">
        <v>241</v>
      </c>
      <c r="B143" s="107" t="s">
        <v>47</v>
      </c>
      <c r="C143" s="26">
        <f>M101</f>
        <v>2.0016699685851003</v>
      </c>
      <c r="D143" s="26"/>
      <c r="E143" s="92"/>
    </row>
    <row r="144" spans="1:28">
      <c r="A144" s="242"/>
      <c r="B144" s="108" t="s">
        <v>42</v>
      </c>
      <c r="C144" s="26">
        <f>M102</f>
        <v>13.076869834389683</v>
      </c>
      <c r="D144" s="26"/>
    </row>
    <row r="145" spans="1:5">
      <c r="A145" s="242"/>
      <c r="B145" s="165" t="s">
        <v>53</v>
      </c>
      <c r="C145" s="26">
        <f>M103</f>
        <v>6.4278482801175496</v>
      </c>
      <c r="D145" s="26"/>
    </row>
    <row r="146" spans="1:5">
      <c r="A146" s="242"/>
      <c r="B146" s="109" t="s">
        <v>37</v>
      </c>
      <c r="C146" s="26">
        <f>0</f>
        <v>0</v>
      </c>
      <c r="D146" s="26"/>
    </row>
    <row r="147" spans="1:5">
      <c r="A147" s="243"/>
      <c r="B147" s="111" t="s">
        <v>47</v>
      </c>
      <c r="C147" s="26" t="s">
        <v>111</v>
      </c>
      <c r="D147" s="26">
        <f>Q104</f>
        <v>2.5924633278823999</v>
      </c>
    </row>
    <row r="148" spans="1:5">
      <c r="A148" s="241" t="s">
        <v>242</v>
      </c>
      <c r="B148" s="107" t="s">
        <v>47</v>
      </c>
      <c r="C148" s="104">
        <f>M106</f>
        <v>2.5924633278823999</v>
      </c>
      <c r="D148" s="33"/>
    </row>
    <row r="149" spans="1:5">
      <c r="A149" s="242"/>
      <c r="B149" s="108" t="s">
        <v>42</v>
      </c>
      <c r="C149" s="40">
        <f>M108+M115</f>
        <v>106.23505168531176</v>
      </c>
      <c r="D149" s="28"/>
    </row>
    <row r="150" spans="1:5">
      <c r="A150" s="242"/>
      <c r="B150" s="165" t="s">
        <v>53</v>
      </c>
      <c r="C150" s="40">
        <f>M107+M112+M113+M110+M111</f>
        <v>44.439257740786267</v>
      </c>
      <c r="D150" s="28"/>
    </row>
    <row r="151" spans="1:5">
      <c r="A151" s="242"/>
      <c r="B151" s="109" t="s">
        <v>37</v>
      </c>
      <c r="C151" s="40">
        <f>M114</f>
        <v>11.552866880046345</v>
      </c>
      <c r="D151" s="26"/>
    </row>
    <row r="152" spans="1:5">
      <c r="A152" s="269"/>
      <c r="B152" s="111" t="s">
        <v>47</v>
      </c>
      <c r="C152" s="106" t="s">
        <v>111</v>
      </c>
      <c r="D152" s="106">
        <f>Q116</f>
        <v>2.988462871233645</v>
      </c>
    </row>
    <row r="153" spans="1:5">
      <c r="A153" s="241" t="s">
        <v>235</v>
      </c>
      <c r="B153" s="107" t="s">
        <v>47</v>
      </c>
      <c r="C153" s="104">
        <f>M118</f>
        <v>2.988462871233645</v>
      </c>
      <c r="D153" s="33"/>
    </row>
    <row r="154" spans="1:5">
      <c r="A154" s="242"/>
      <c r="B154" s="108" t="s">
        <v>42</v>
      </c>
      <c r="C154" s="40">
        <f>M119+M124+M125+M126</f>
        <v>376.22576648255267</v>
      </c>
      <c r="D154" s="28"/>
    </row>
    <row r="155" spans="1:5">
      <c r="A155" s="242"/>
      <c r="B155" s="165" t="s">
        <v>53</v>
      </c>
      <c r="C155" s="40">
        <f>M120+M121+M123</f>
        <v>18.166469001394674</v>
      </c>
      <c r="D155" s="28"/>
    </row>
    <row r="156" spans="1:5">
      <c r="A156" s="242"/>
      <c r="B156" s="109" t="s">
        <v>37</v>
      </c>
      <c r="C156" s="40">
        <f>M122</f>
        <v>227.55208916075549</v>
      </c>
      <c r="D156" s="26"/>
    </row>
    <row r="157" spans="1:5">
      <c r="A157" s="243"/>
      <c r="B157" s="44" t="s">
        <v>113</v>
      </c>
      <c r="C157" s="105" t="s">
        <v>111</v>
      </c>
      <c r="D157" s="106">
        <f>Q128</f>
        <v>1</v>
      </c>
      <c r="E157" s="92"/>
    </row>
  </sheetData>
  <mergeCells count="85">
    <mergeCell ref="A1:AB1"/>
    <mergeCell ref="A2:AB2"/>
    <mergeCell ref="A4:A8"/>
    <mergeCell ref="X4:X8"/>
    <mergeCell ref="Z4:Z8"/>
    <mergeCell ref="AA4:AA8"/>
    <mergeCell ref="AB4:AB8"/>
    <mergeCell ref="Z14:Z18"/>
    <mergeCell ref="X14:X18"/>
    <mergeCell ref="AA14:AA18"/>
    <mergeCell ref="AB14:AB18"/>
    <mergeCell ref="A14:A18"/>
    <mergeCell ref="A9:A13"/>
    <mergeCell ref="X9:X13"/>
    <mergeCell ref="Z9:Z13"/>
    <mergeCell ref="AA9:AA13"/>
    <mergeCell ref="AB9:AB13"/>
    <mergeCell ref="A31:A42"/>
    <mergeCell ref="X31:X42"/>
    <mergeCell ref="AA31:AA42"/>
    <mergeCell ref="Z31:Z41"/>
    <mergeCell ref="AB31:AB41"/>
    <mergeCell ref="A19:A30"/>
    <mergeCell ref="X19:X30"/>
    <mergeCell ref="Z19:Z30"/>
    <mergeCell ref="AA19:AA30"/>
    <mergeCell ref="AB19:AB30"/>
    <mergeCell ref="A45:AB45"/>
    <mergeCell ref="A47:A51"/>
    <mergeCell ref="X47:X51"/>
    <mergeCell ref="Z47:Z51"/>
    <mergeCell ref="AA47:AA51"/>
    <mergeCell ref="AB47:AB51"/>
    <mergeCell ref="A57:A61"/>
    <mergeCell ref="X57:X61"/>
    <mergeCell ref="Z57:Z61"/>
    <mergeCell ref="AA57:AA61"/>
    <mergeCell ref="AB57:AB61"/>
    <mergeCell ref="A52:A56"/>
    <mergeCell ref="X52:X56"/>
    <mergeCell ref="Z52:Z56"/>
    <mergeCell ref="AA52:AA56"/>
    <mergeCell ref="AB52:AB56"/>
    <mergeCell ref="A74:A85"/>
    <mergeCell ref="X74:X85"/>
    <mergeCell ref="AA74:AA85"/>
    <mergeCell ref="Z74:Z84"/>
    <mergeCell ref="AB74:AB84"/>
    <mergeCell ref="A62:A73"/>
    <mergeCell ref="X62:X73"/>
    <mergeCell ref="Z62:Z73"/>
    <mergeCell ref="AA62:AA73"/>
    <mergeCell ref="AB62:AB73"/>
    <mergeCell ref="A88:AB88"/>
    <mergeCell ref="A90:A94"/>
    <mergeCell ref="X90:X94"/>
    <mergeCell ref="Z90:Z94"/>
    <mergeCell ref="AA90:AA94"/>
    <mergeCell ref="AB90:AB94"/>
    <mergeCell ref="AB95:AB99"/>
    <mergeCell ref="A100:A104"/>
    <mergeCell ref="X100:X104"/>
    <mergeCell ref="Z100:Z104"/>
    <mergeCell ref="AA100:AA104"/>
    <mergeCell ref="AB100:AB104"/>
    <mergeCell ref="A95:A99"/>
    <mergeCell ref="X95:X99"/>
    <mergeCell ref="Z95:Z99"/>
    <mergeCell ref="AA95:AA99"/>
    <mergeCell ref="A117:A128"/>
    <mergeCell ref="X117:X128"/>
    <mergeCell ref="AA117:AA128"/>
    <mergeCell ref="Z117:Z127"/>
    <mergeCell ref="AB117:AB127"/>
    <mergeCell ref="A105:A116"/>
    <mergeCell ref="X105:X116"/>
    <mergeCell ref="Z105:Z116"/>
    <mergeCell ref="AA105:AA116"/>
    <mergeCell ref="AB105:AB116"/>
    <mergeCell ref="A131:D131"/>
    <mergeCell ref="A133:A137"/>
    <mergeCell ref="A138:A142"/>
    <mergeCell ref="A153:A157"/>
    <mergeCell ref="A148:A152"/>
    <mergeCell ref="A143:A147"/>
  </mergeCells>
  <hyperlinks>
    <hyperlink ref="W4" r:id="rId1"/>
    <hyperlink ref="W5" r:id="rId2"/>
    <hyperlink ref="W47" r:id="rId3"/>
    <hyperlink ref="W48" r:id="rId4"/>
    <hyperlink ref="W90" r:id="rId5"/>
    <hyperlink ref="W91" r:id="rId6"/>
  </hyperlinks>
  <pageMargins left="0.7" right="0.7" top="0.75" bottom="0.75" header="0.3" footer="0.3"/>
  <drawing r:id="rId7"/>
  <legacyDrawing r:id="rId8"/>
  <oleObjects>
    <mc:AlternateContent xmlns:mc="http://schemas.openxmlformats.org/markup-compatibility/2006">
      <mc:Choice Requires="x14">
        <oleObject progId="ChemDraw.Document.6.0" shapeId="3100" r:id="rId9">
          <objectPr defaultSize="0" autoPict="0" r:id="rId10">
            <anchor moveWithCells="1">
              <from>
                <xdr:col>0</xdr:col>
                <xdr:colOff>25400</xdr:colOff>
                <xdr:row>163</xdr:row>
                <xdr:rowOff>88900</xdr:rowOff>
              </from>
              <to>
                <xdr:col>4</xdr:col>
                <xdr:colOff>736600</xdr:colOff>
                <xdr:row>187</xdr:row>
                <xdr:rowOff>0</xdr:rowOff>
              </to>
            </anchor>
          </objectPr>
        </oleObject>
      </mc:Choice>
      <mc:Fallback>
        <oleObject progId="ChemDraw.Document.6.0" shapeId="3100" r:id="rId9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A9" sqref="A9"/>
    </sheetView>
  </sheetViews>
  <sheetFormatPr defaultColWidth="11" defaultRowHeight="15.5"/>
  <cols>
    <col min="1" max="1" width="19.1640625" bestFit="1" customWidth="1"/>
    <col min="2" max="2" width="40.5" bestFit="1" customWidth="1"/>
    <col min="3" max="3" width="16.1640625" customWidth="1"/>
    <col min="4" max="4" width="14.5" customWidth="1"/>
    <col min="6" max="6" width="28" customWidth="1"/>
    <col min="7" max="7" width="40.6640625" customWidth="1"/>
    <col min="8" max="8" width="35.33203125" customWidth="1"/>
    <col min="9" max="9" width="19.83203125" bestFit="1" customWidth="1"/>
    <col min="10" max="10" width="35.5" customWidth="1"/>
    <col min="11" max="11" width="39" customWidth="1"/>
    <col min="12" max="12" width="32.1640625" bestFit="1" customWidth="1"/>
    <col min="13" max="13" width="17.33203125" bestFit="1" customWidth="1"/>
  </cols>
  <sheetData>
    <row r="1" spans="1:13" ht="25.5" thickBot="1">
      <c r="A1" s="266" t="s">
        <v>185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6"/>
    </row>
    <row r="2" spans="1:13">
      <c r="A2" s="265" t="s">
        <v>192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</row>
    <row r="3" spans="1:13">
      <c r="A3" s="10" t="s">
        <v>142</v>
      </c>
      <c r="B3" s="113" t="s">
        <v>212</v>
      </c>
      <c r="C3" s="114" t="s">
        <v>193</v>
      </c>
      <c r="D3" s="173" t="s">
        <v>194</v>
      </c>
      <c r="E3" s="115" t="s">
        <v>195</v>
      </c>
      <c r="F3" s="116" t="s">
        <v>141</v>
      </c>
      <c r="G3" s="10" t="s">
        <v>196</v>
      </c>
      <c r="H3" s="10" t="s">
        <v>197</v>
      </c>
      <c r="I3" s="10" t="s">
        <v>198</v>
      </c>
      <c r="J3" s="10" t="s">
        <v>199</v>
      </c>
      <c r="K3" s="163" t="s">
        <v>200</v>
      </c>
      <c r="L3" s="10" t="s">
        <v>201</v>
      </c>
      <c r="M3" s="10" t="s">
        <v>143</v>
      </c>
    </row>
    <row r="4" spans="1:13">
      <c r="A4" s="27" t="s">
        <v>232</v>
      </c>
      <c r="B4" s="13">
        <f>'Step-by-step procedure'!C133</f>
        <v>3.3444788283878353</v>
      </c>
      <c r="C4" s="13">
        <f>'Step-by-step procedure'!C134</f>
        <v>31.958353249039316</v>
      </c>
      <c r="D4" s="13">
        <f>'Step-by-step procedure'!C135</f>
        <v>0</v>
      </c>
      <c r="E4" s="13">
        <f>'Step-by-step procedure'!C136</f>
        <v>313.56794662679368</v>
      </c>
      <c r="F4" s="13">
        <f>'Step-by-step procedure'!D137</f>
        <v>2.4535771362559342</v>
      </c>
      <c r="G4" s="13">
        <f>(B4+D4-F4)/F4</f>
        <v>0.3631031928718505</v>
      </c>
      <c r="H4" s="122">
        <f>(B4+D4-F4)/F$9</f>
        <v>0.89090169213190107</v>
      </c>
      <c r="I4" s="13">
        <f>(B4+C4+D4+E4-F4)/F4</f>
        <v>141.18863289400568</v>
      </c>
      <c r="J4" s="13">
        <f>(B4+C4+D4+E4-F4)/F$9</f>
        <v>346.41720156796487</v>
      </c>
      <c r="K4" s="13">
        <f>(B4+D4+0.1*(C4)-F4)/F$9</f>
        <v>4.0867370170358335</v>
      </c>
      <c r="L4" s="13">
        <f>J4+1</f>
        <v>347.41720156796487</v>
      </c>
      <c r="M4" s="33">
        <v>0</v>
      </c>
    </row>
    <row r="5" spans="1:13">
      <c r="A5" s="27" t="s">
        <v>233</v>
      </c>
      <c r="B5" s="13">
        <f>'Step-by-step procedure'!C138</f>
        <v>2.4535771362559342</v>
      </c>
      <c r="C5" s="13">
        <f>'Step-by-step procedure'!C139</f>
        <v>20.91551169677248</v>
      </c>
      <c r="D5" s="13">
        <f>'Step-by-step procedure'!C140</f>
        <v>1.6908442456969999</v>
      </c>
      <c r="E5" s="13">
        <f>'Step-by-step procedure'!C141</f>
        <v>0</v>
      </c>
      <c r="F5" s="13">
        <f>'Step-by-step procedure'!D142</f>
        <v>2.0016699685851003</v>
      </c>
      <c r="G5" s="13">
        <f t="shared" ref="G5:G8" si="0">(B5+D5-F5)/F5</f>
        <v>1.0704818711360589</v>
      </c>
      <c r="H5" s="122">
        <f t="shared" ref="H5:H8" si="1">(B5+D5-F5)/F$9</f>
        <v>2.1427514133678343</v>
      </c>
      <c r="I5" s="13">
        <f t="shared" ref="I5:I8" si="2">(B5+C5+D5+E5-F5)/F5</f>
        <v>11.51951294270517</v>
      </c>
      <c r="J5" s="13">
        <f t="shared" ref="J5:J8" si="3">(B5+C5+D5+E5-F5)/F$9</f>
        <v>23.058263110140313</v>
      </c>
      <c r="K5" s="13">
        <f t="shared" ref="K5:K8" si="4">(B5+D5+0.1*(C5)-F5)/F$9</f>
        <v>4.234302583045082</v>
      </c>
      <c r="L5" s="13">
        <f t="shared" ref="L5:L9" si="5">J5+1</f>
        <v>24.058263110140313</v>
      </c>
      <c r="M5" s="28">
        <v>0</v>
      </c>
    </row>
    <row r="6" spans="1:13">
      <c r="A6" s="27" t="s">
        <v>239</v>
      </c>
      <c r="B6" s="13">
        <f>'Step-by-step procedure'!C143</f>
        <v>2.0016699685851003</v>
      </c>
      <c r="C6" s="13">
        <f>'Step-by-step procedure'!C144</f>
        <v>13.076869834389683</v>
      </c>
      <c r="D6" s="13">
        <f>'Step-by-step procedure'!C145</f>
        <v>6.4278482801175496</v>
      </c>
      <c r="E6" s="13">
        <f>'Step-by-step procedure'!C146</f>
        <v>0</v>
      </c>
      <c r="F6" s="13">
        <f>'Step-by-step procedure'!D147</f>
        <v>2.5924633278823999</v>
      </c>
      <c r="G6" s="13">
        <f t="shared" si="0"/>
        <v>2.2515477299299458</v>
      </c>
      <c r="H6" s="122">
        <f t="shared" si="1"/>
        <v>5.8370549208202496</v>
      </c>
      <c r="I6" s="13">
        <f t="shared" si="2"/>
        <v>7.295734736837872</v>
      </c>
      <c r="J6" s="13">
        <f t="shared" si="3"/>
        <v>18.913924755209933</v>
      </c>
      <c r="K6" s="13">
        <f t="shared" si="4"/>
        <v>7.1447419042592175</v>
      </c>
      <c r="L6" s="13">
        <f t="shared" si="5"/>
        <v>19.913924755209933</v>
      </c>
      <c r="M6" s="28">
        <v>0</v>
      </c>
    </row>
    <row r="7" spans="1:13">
      <c r="A7" s="160" t="s">
        <v>240</v>
      </c>
      <c r="B7" s="13">
        <f>'Step-by-step procedure'!C148</f>
        <v>2.5924633278823999</v>
      </c>
      <c r="C7" s="13">
        <f>'Step-by-step procedure'!C149</f>
        <v>106.23505168531176</v>
      </c>
      <c r="D7" s="13">
        <f>'Step-by-step procedure'!C150</f>
        <v>44.439257740786267</v>
      </c>
      <c r="E7" s="13">
        <f>'Step-by-step procedure'!C151</f>
        <v>11.552866880046345</v>
      </c>
      <c r="F7" s="13">
        <f>'Step-by-step procedure'!D152</f>
        <v>2.988462871233645</v>
      </c>
      <c r="G7" s="13">
        <f t="shared" si="0"/>
        <v>14.737763223156209</v>
      </c>
      <c r="H7" s="122">
        <f t="shared" si="1"/>
        <v>44.043258197435023</v>
      </c>
      <c r="I7" s="13">
        <f t="shared" si="2"/>
        <v>54.151978370067155</v>
      </c>
      <c r="J7" s="13">
        <f t="shared" si="3"/>
        <v>161.83117676279312</v>
      </c>
      <c r="K7" s="13">
        <f t="shared" si="4"/>
        <v>54.666763365966197</v>
      </c>
      <c r="L7" s="13">
        <f t="shared" si="5"/>
        <v>162.83117676279312</v>
      </c>
      <c r="M7" s="28">
        <v>1</v>
      </c>
    </row>
    <row r="8" spans="1:13">
      <c r="A8" s="160" t="s">
        <v>235</v>
      </c>
      <c r="B8" s="13">
        <f>'Step-by-step procedure'!C153</f>
        <v>2.988462871233645</v>
      </c>
      <c r="C8" s="13">
        <f>'Step-by-step procedure'!C154</f>
        <v>376.22576648255267</v>
      </c>
      <c r="D8" s="13">
        <f>'Step-by-step procedure'!C155</f>
        <v>18.166469001394674</v>
      </c>
      <c r="E8" s="13">
        <f>'Step-by-step procedure'!C156</f>
        <v>227.55208916075549</v>
      </c>
      <c r="F8" s="13">
        <f>'Step-by-step procedure'!D157</f>
        <v>1</v>
      </c>
      <c r="G8" s="13">
        <f t="shared" si="0"/>
        <v>20.154931872628318</v>
      </c>
      <c r="H8" s="122">
        <f t="shared" si="1"/>
        <v>20.154931872628318</v>
      </c>
      <c r="I8" s="13">
        <f t="shared" si="2"/>
        <v>623.93278751593652</v>
      </c>
      <c r="J8" s="13">
        <f t="shared" si="3"/>
        <v>623.93278751593652</v>
      </c>
      <c r="K8" s="13">
        <f t="shared" si="4"/>
        <v>57.777508520883586</v>
      </c>
      <c r="L8" s="13">
        <f t="shared" si="5"/>
        <v>624.93278751593652</v>
      </c>
      <c r="M8" s="28">
        <v>1</v>
      </c>
    </row>
    <row r="9" spans="1:13">
      <c r="A9" s="117" t="s">
        <v>145</v>
      </c>
      <c r="B9" s="118">
        <f>B4</f>
        <v>3.3444788283878353</v>
      </c>
      <c r="C9" s="118">
        <f>SUM(C4:C8)</f>
        <v>548.41155294806595</v>
      </c>
      <c r="D9" s="118">
        <f>SUM(D4:D8)</f>
        <v>70.724419267995486</v>
      </c>
      <c r="E9" s="118">
        <f>SUM(E4:E8)</f>
        <v>552.67290266759551</v>
      </c>
      <c r="F9" s="118">
        <v>1</v>
      </c>
      <c r="G9" s="119"/>
      <c r="H9" s="123">
        <f>(B9+D9-F9)/F$9</f>
        <v>73.068898096383322</v>
      </c>
      <c r="I9" s="119"/>
      <c r="J9" s="118">
        <f>(B9+C9+D9+E9-F9)/F$9</f>
        <v>1174.1533537120449</v>
      </c>
      <c r="K9" s="118">
        <f>(B9+D9+0.1*(C9)-F9)/F$9</f>
        <v>127.91005339118993</v>
      </c>
      <c r="L9" s="118">
        <f t="shared" si="5"/>
        <v>1175.1533537120449</v>
      </c>
      <c r="M9" s="121">
        <v>2</v>
      </c>
    </row>
    <row r="12" spans="1:13">
      <c r="A12" s="246" t="s">
        <v>187</v>
      </c>
      <c r="B12" s="247"/>
      <c r="C12" s="247"/>
      <c r="D12" s="247"/>
      <c r="F12" s="277" t="s">
        <v>146</v>
      </c>
      <c r="G12" s="277"/>
      <c r="H12" s="277"/>
    </row>
    <row r="13" spans="1:13">
      <c r="A13" s="113" t="s">
        <v>213</v>
      </c>
      <c r="B13" s="114" t="s">
        <v>193</v>
      </c>
      <c r="C13" s="164" t="s">
        <v>194</v>
      </c>
      <c r="D13" s="115" t="str">
        <f>E3</f>
        <v>Water (kg)</v>
      </c>
      <c r="F13" s="265" t="s">
        <v>188</v>
      </c>
      <c r="G13" s="265"/>
      <c r="H13" s="265"/>
    </row>
    <row r="14" spans="1:13">
      <c r="A14" s="124">
        <f>B9</f>
        <v>3.3444788283878353</v>
      </c>
      <c r="B14" s="124">
        <f>C9</f>
        <v>548.41155294806595</v>
      </c>
      <c r="C14" s="124">
        <f>D9</f>
        <v>70.724419267995486</v>
      </c>
      <c r="D14" s="124">
        <f>E9</f>
        <v>552.67290266759551</v>
      </c>
      <c r="F14" s="10" t="s">
        <v>202</v>
      </c>
      <c r="G14" s="10" t="s">
        <v>203</v>
      </c>
      <c r="H14" s="10" t="s">
        <v>204</v>
      </c>
    </row>
    <row r="15" spans="1:13">
      <c r="F15" s="148">
        <f>H9</f>
        <v>73.068898096383322</v>
      </c>
      <c r="G15" s="148">
        <f>J9</f>
        <v>1174.1533537120449</v>
      </c>
      <c r="H15" s="148">
        <f>K9</f>
        <v>127.91005339118993</v>
      </c>
    </row>
    <row r="16" spans="1:13">
      <c r="F16" s="272" t="s">
        <v>147</v>
      </c>
      <c r="G16" s="272"/>
      <c r="H16" s="272"/>
    </row>
    <row r="17" spans="6:8">
      <c r="F17" s="273">
        <f>M9</f>
        <v>2</v>
      </c>
      <c r="G17" s="274"/>
      <c r="H17" s="274"/>
    </row>
  </sheetData>
  <mergeCells count="7">
    <mergeCell ref="F17:H17"/>
    <mergeCell ref="A1:M1"/>
    <mergeCell ref="A2:M2"/>
    <mergeCell ref="A12:D12"/>
    <mergeCell ref="F12:H12"/>
    <mergeCell ref="F13:H13"/>
    <mergeCell ref="F16:H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One-pot procedure</vt:lpstr>
      <vt:lpstr>One-pot procedure E-factor</vt:lpstr>
      <vt:lpstr>Step-by-step procedure</vt:lpstr>
      <vt:lpstr>Step-by-step E-factor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Akakios</dc:creator>
  <cp:lastModifiedBy>Roger</cp:lastModifiedBy>
  <dcterms:created xsi:type="dcterms:W3CDTF">2019-11-03T17:09:17Z</dcterms:created>
  <dcterms:modified xsi:type="dcterms:W3CDTF">2021-03-08T09:35:06Z</dcterms:modified>
</cp:coreProperties>
</file>