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ink/ink1.xml" ContentType="application/inkml+xml"/>
  <Override PartName="/xl/ink/ink2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Roger\Desktop\"/>
    </mc:Choice>
  </mc:AlternateContent>
  <bookViews>
    <workbookView xWindow="0" yWindow="0" windowWidth="19200" windowHeight="7050"/>
  </bookViews>
  <sheets>
    <sheet name="Step-by-step procedure" sheetId="16" r:id="rId1"/>
    <sheet name="Step-by-step E-Factor" sheetId="4" r:id="rId2"/>
    <sheet name="Advanced Starting Material" sheetId="3" r:id="rId3"/>
    <sheet name=" ASM E-Factor" sheetId="6" r:id="rId4"/>
    <sheet name="Cummulative E-factor" sheetId="1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0" i="14" l="1"/>
  <c r="B20" i="14"/>
  <c r="B21" i="6" l="1"/>
  <c r="C20" i="14"/>
  <c r="A20" i="14"/>
  <c r="D21" i="6"/>
  <c r="C21" i="6"/>
  <c r="A21" i="6"/>
  <c r="Y132" i="16"/>
  <c r="B20" i="6" l="1"/>
  <c r="X63" i="3" l="1"/>
  <c r="U5" i="16"/>
  <c r="Y63" i="3" l="1"/>
  <c r="Y134" i="16" l="1"/>
  <c r="H7" i="4"/>
  <c r="AA134" i="16"/>
  <c r="Z134" i="16"/>
  <c r="Y135" i="16"/>
  <c r="C147" i="16"/>
  <c r="C137" i="16"/>
  <c r="Y110" i="3"/>
  <c r="Y136" i="16" l="1"/>
  <c r="Y137" i="16"/>
  <c r="X101" i="3" l="1"/>
  <c r="R109" i="3"/>
  <c r="O102" i="3" s="1"/>
  <c r="R100" i="3" s="1"/>
  <c r="O93" i="3" s="1"/>
  <c r="X132" i="16"/>
  <c r="A14" i="6" l="1"/>
  <c r="A16" i="6"/>
  <c r="X92" i="16"/>
  <c r="X48" i="16"/>
  <c r="AD59" i="16"/>
  <c r="O48" i="16"/>
  <c r="P21" i="16"/>
  <c r="AG13" i="16"/>
  <c r="AF13" i="16"/>
  <c r="AD13" i="16"/>
  <c r="C143" i="16"/>
  <c r="E6" i="14" l="1"/>
  <c r="K6" i="4"/>
  <c r="K5" i="4"/>
  <c r="J6" i="4"/>
  <c r="J5" i="4"/>
  <c r="I6" i="4"/>
  <c r="I5" i="4"/>
  <c r="H6" i="4"/>
  <c r="H5" i="4"/>
  <c r="G6" i="4"/>
  <c r="G5" i="4"/>
  <c r="C67" i="3" l="1"/>
  <c r="C72" i="3"/>
  <c r="C68" i="3" l="1"/>
  <c r="U6" i="3" l="1"/>
  <c r="AB132" i="16" l="1"/>
  <c r="S117" i="16" l="1"/>
  <c r="U117" i="16" s="1"/>
  <c r="S73" i="16"/>
  <c r="U73" i="16" s="1"/>
  <c r="S29" i="16"/>
  <c r="U29" i="16" s="1"/>
  <c r="U97" i="16"/>
  <c r="U53" i="16"/>
  <c r="U9" i="16"/>
  <c r="S130" i="16"/>
  <c r="U130" i="16" s="1"/>
  <c r="S86" i="16"/>
  <c r="U86" i="16" s="1"/>
  <c r="S42" i="16"/>
  <c r="U42" i="16" s="1"/>
  <c r="U106" i="16" l="1"/>
  <c r="U62" i="16"/>
  <c r="U18" i="16"/>
  <c r="S114" i="16"/>
  <c r="U114" i="16" s="1"/>
  <c r="S70" i="16"/>
  <c r="U70" i="16" s="1"/>
  <c r="S26" i="16"/>
  <c r="U26" i="16" s="1"/>
  <c r="S121" i="16" l="1"/>
  <c r="U121" i="16" s="1"/>
  <c r="S112" i="16"/>
  <c r="U112" i="16" s="1"/>
  <c r="S108" i="16"/>
  <c r="U108" i="16" s="1"/>
  <c r="S94" i="16"/>
  <c r="U94" i="16" s="1"/>
  <c r="S77" i="16"/>
  <c r="U77" i="16" s="1"/>
  <c r="U68" i="16"/>
  <c r="S64" i="16"/>
  <c r="U64" i="16" s="1"/>
  <c r="S50" i="16"/>
  <c r="U50" i="16" s="1"/>
  <c r="S33" i="16"/>
  <c r="U33" i="16" s="1"/>
  <c r="S24" i="16"/>
  <c r="U24" i="16" s="1"/>
  <c r="S6" i="16"/>
  <c r="U6" i="16" s="1"/>
  <c r="S20" i="16"/>
  <c r="U20" i="16" s="1"/>
  <c r="S122" i="16"/>
  <c r="U122" i="16" s="1"/>
  <c r="S78" i="16"/>
  <c r="U78" i="16" s="1"/>
  <c r="S34" i="16"/>
  <c r="U34" i="16" s="1"/>
  <c r="U124" i="16" l="1"/>
  <c r="U80" i="16"/>
  <c r="U36" i="16"/>
  <c r="U93" i="16"/>
  <c r="U49" i="16"/>
  <c r="L6" i="3" l="1"/>
  <c r="J17" i="3" l="1"/>
  <c r="R62" i="3"/>
  <c r="X54" i="3" s="1"/>
  <c r="P41" i="3"/>
  <c r="J38" i="3"/>
  <c r="J36" i="3"/>
  <c r="L37" i="16"/>
  <c r="X93" i="3" l="1"/>
  <c r="Q109" i="3"/>
  <c r="U108" i="3"/>
  <c r="H107" i="3"/>
  <c r="U107" i="3" s="1"/>
  <c r="U106" i="3"/>
  <c r="U105" i="3"/>
  <c r="U104" i="3"/>
  <c r="U103" i="3"/>
  <c r="U99" i="3"/>
  <c r="U98" i="3"/>
  <c r="U97" i="3"/>
  <c r="S96" i="3"/>
  <c r="U96" i="3" s="1"/>
  <c r="U95" i="3"/>
  <c r="U94" i="3"/>
  <c r="U93" i="3"/>
  <c r="U15" i="3"/>
  <c r="U56" i="3"/>
  <c r="U52" i="3"/>
  <c r="U35" i="3"/>
  <c r="U31" i="3"/>
  <c r="U14" i="3"/>
  <c r="S10" i="3"/>
  <c r="U10" i="3" s="1"/>
  <c r="U51" i="3"/>
  <c r="U30" i="3"/>
  <c r="U9" i="3"/>
  <c r="S49" i="3"/>
  <c r="U49" i="3" s="1"/>
  <c r="S28" i="3"/>
  <c r="U28" i="3" s="1"/>
  <c r="S7" i="3"/>
  <c r="U7" i="3" s="1"/>
  <c r="U48" i="3"/>
  <c r="U27" i="3"/>
  <c r="Y6" i="3"/>
  <c r="U47" i="3"/>
  <c r="U26" i="3"/>
  <c r="U5" i="3"/>
  <c r="C149" i="16"/>
  <c r="E6" i="4" s="1"/>
  <c r="X128" i="16"/>
  <c r="R131" i="16"/>
  <c r="Q131" i="16"/>
  <c r="S126" i="16"/>
  <c r="U126" i="16" s="1"/>
  <c r="S125" i="16"/>
  <c r="H125" i="16"/>
  <c r="S123" i="16"/>
  <c r="U123" i="16" s="1"/>
  <c r="S116" i="16"/>
  <c r="U116" i="16" s="1"/>
  <c r="U115" i="16"/>
  <c r="S113" i="16"/>
  <c r="U113" i="16" s="1"/>
  <c r="X110" i="16"/>
  <c r="U107" i="16"/>
  <c r="S105" i="16"/>
  <c r="H105" i="16"/>
  <c r="S104" i="16"/>
  <c r="U104" i="16" s="1"/>
  <c r="S103" i="16"/>
  <c r="U103" i="16" s="1"/>
  <c r="U102" i="16"/>
  <c r="H98" i="16"/>
  <c r="U98" i="16" s="1"/>
  <c r="S96" i="16"/>
  <c r="U96" i="16" s="1"/>
  <c r="U95" i="16"/>
  <c r="X66" i="16"/>
  <c r="R83" i="16"/>
  <c r="O76" i="16" s="1"/>
  <c r="P87" i="16"/>
  <c r="L85" i="16"/>
  <c r="J87" i="16"/>
  <c r="J85" i="16"/>
  <c r="S82" i="16"/>
  <c r="U82" i="16" s="1"/>
  <c r="S81" i="16"/>
  <c r="H81" i="16"/>
  <c r="S79" i="16"/>
  <c r="U79" i="16" s="1"/>
  <c r="S72" i="16"/>
  <c r="U72" i="16" s="1"/>
  <c r="U71" i="16"/>
  <c r="S69" i="16"/>
  <c r="U69" i="16" s="1"/>
  <c r="U63" i="16"/>
  <c r="S61" i="16"/>
  <c r="H61" i="16"/>
  <c r="S60" i="16"/>
  <c r="U60" i="16" s="1"/>
  <c r="S59" i="16"/>
  <c r="U59" i="16" s="1"/>
  <c r="U58" i="16"/>
  <c r="H54" i="16"/>
  <c r="U54" i="16" s="1"/>
  <c r="S52" i="16"/>
  <c r="U52" i="16" s="1"/>
  <c r="U51" i="16"/>
  <c r="P43" i="16"/>
  <c r="R43" i="16" s="1"/>
  <c r="O42" i="16"/>
  <c r="N42" i="16"/>
  <c r="M42" i="16"/>
  <c r="L41" i="16"/>
  <c r="O41" i="16" s="1"/>
  <c r="P39" i="16"/>
  <c r="Q39" i="16" s="1"/>
  <c r="S38" i="16"/>
  <c r="U38" i="16" s="1"/>
  <c r="O38" i="16"/>
  <c r="N38" i="16"/>
  <c r="M38" i="16"/>
  <c r="S37" i="16"/>
  <c r="M37" i="16"/>
  <c r="H37" i="16"/>
  <c r="O36" i="16"/>
  <c r="M36" i="16"/>
  <c r="S35" i="16"/>
  <c r="U35" i="16" s="1"/>
  <c r="O35" i="16"/>
  <c r="N35" i="16"/>
  <c r="M35" i="16"/>
  <c r="O34" i="16"/>
  <c r="N34" i="16"/>
  <c r="M34" i="16"/>
  <c r="L33" i="16"/>
  <c r="N33" i="16" s="1"/>
  <c r="L32" i="16"/>
  <c r="M32" i="16" s="1"/>
  <c r="P30" i="16"/>
  <c r="O29" i="16"/>
  <c r="N29" i="16"/>
  <c r="M29" i="16"/>
  <c r="S28" i="16"/>
  <c r="U28" i="16" s="1"/>
  <c r="L28" i="16"/>
  <c r="N28" i="16" s="1"/>
  <c r="U27" i="16"/>
  <c r="O27" i="16"/>
  <c r="N27" i="16"/>
  <c r="M27" i="16"/>
  <c r="L26" i="16"/>
  <c r="N26" i="16" s="1"/>
  <c r="S25" i="16"/>
  <c r="U25" i="16" s="1"/>
  <c r="O25" i="16"/>
  <c r="N25" i="16"/>
  <c r="M25" i="16"/>
  <c r="L24" i="16"/>
  <c r="M24" i="16" s="1"/>
  <c r="L23" i="16"/>
  <c r="O23" i="16" s="1"/>
  <c r="O20" i="16"/>
  <c r="N20" i="16"/>
  <c r="M20" i="16"/>
  <c r="U19" i="16"/>
  <c r="L19" i="16"/>
  <c r="O19" i="16" s="1"/>
  <c r="L18" i="16"/>
  <c r="O18" i="16" s="1"/>
  <c r="S17" i="16"/>
  <c r="L17" i="16"/>
  <c r="H17" i="16"/>
  <c r="S16" i="16"/>
  <c r="U16" i="16" s="1"/>
  <c r="O16" i="16"/>
  <c r="N16" i="16"/>
  <c r="M16" i="16"/>
  <c r="S15" i="16"/>
  <c r="U15" i="16" s="1"/>
  <c r="L15" i="16"/>
  <c r="O15" i="16" s="1"/>
  <c r="U14" i="16"/>
  <c r="L14" i="16"/>
  <c r="M14" i="16" s="1"/>
  <c r="L10" i="16"/>
  <c r="M10" i="16" s="1"/>
  <c r="H10" i="16"/>
  <c r="U10" i="16" s="1"/>
  <c r="O9" i="16"/>
  <c r="N9" i="16"/>
  <c r="M9" i="16"/>
  <c r="S8" i="16"/>
  <c r="U8" i="16" s="1"/>
  <c r="L8" i="16"/>
  <c r="O8" i="16" s="1"/>
  <c r="U7" i="16"/>
  <c r="O7" i="16"/>
  <c r="N7" i="16"/>
  <c r="M7" i="16"/>
  <c r="L6" i="16"/>
  <c r="N6" i="16" s="1"/>
  <c r="L5" i="16"/>
  <c r="O5" i="16" s="1"/>
  <c r="L4" i="16"/>
  <c r="O4" i="16" s="1"/>
  <c r="L102" i="3" l="1"/>
  <c r="M102" i="3" s="1"/>
  <c r="U125" i="16"/>
  <c r="R39" i="16"/>
  <c r="U37" i="16"/>
  <c r="D150" i="16"/>
  <c r="F6" i="4" s="1"/>
  <c r="M18" i="16"/>
  <c r="J29" i="16"/>
  <c r="Y35" i="16"/>
  <c r="U61" i="16"/>
  <c r="J7" i="16"/>
  <c r="J20" i="16"/>
  <c r="Y7" i="16"/>
  <c r="Y27" i="16"/>
  <c r="Y16" i="16"/>
  <c r="U105" i="16"/>
  <c r="Y25" i="16"/>
  <c r="M15" i="16"/>
  <c r="Y19" i="16"/>
  <c r="O129" i="16"/>
  <c r="Y9" i="16"/>
  <c r="Y18" i="16"/>
  <c r="Y38" i="16"/>
  <c r="U81" i="16"/>
  <c r="O17" i="16"/>
  <c r="J17" i="16" s="1"/>
  <c r="J102" i="3"/>
  <c r="P83" i="16"/>
  <c r="R74" i="16"/>
  <c r="N37" i="16"/>
  <c r="N15" i="16"/>
  <c r="M8" i="16"/>
  <c r="M17" i="16"/>
  <c r="N8" i="16"/>
  <c r="Y15" i="16"/>
  <c r="N17" i="16"/>
  <c r="Y20" i="16"/>
  <c r="Y34" i="16"/>
  <c r="O37" i="16"/>
  <c r="O32" i="16"/>
  <c r="J36" i="16" s="1"/>
  <c r="Y8" i="16"/>
  <c r="U17" i="16"/>
  <c r="M19" i="16"/>
  <c r="Y29" i="16"/>
  <c r="O33" i="16"/>
  <c r="Y36" i="16"/>
  <c r="Y42" i="16"/>
  <c r="N19" i="16"/>
  <c r="X84" i="16"/>
  <c r="Q87" i="16"/>
  <c r="M85" i="16"/>
  <c r="J18" i="16"/>
  <c r="J9" i="16"/>
  <c r="J4" i="16"/>
  <c r="J23" i="16"/>
  <c r="J27" i="16"/>
  <c r="J25" i="16"/>
  <c r="J5" i="16"/>
  <c r="Y5" i="16"/>
  <c r="J8" i="16"/>
  <c r="J16" i="16"/>
  <c r="J15" i="16"/>
  <c r="J19" i="16"/>
  <c r="J41" i="16"/>
  <c r="J42" i="16"/>
  <c r="O86" i="16" s="1"/>
  <c r="J43" i="16"/>
  <c r="X40" i="16"/>
  <c r="O10" i="16"/>
  <c r="J10" i="16" s="1"/>
  <c r="O14" i="16"/>
  <c r="J14" i="16" s="1"/>
  <c r="N14" i="16"/>
  <c r="R21" i="16"/>
  <c r="X4" i="16" s="1"/>
  <c r="R30" i="16"/>
  <c r="X22" i="16" s="1"/>
  <c r="M5" i="16"/>
  <c r="N24" i="16"/>
  <c r="O26" i="16"/>
  <c r="J26" i="16" s="1"/>
  <c r="O28" i="16"/>
  <c r="J28" i="16" s="1"/>
  <c r="Q43" i="16"/>
  <c r="M4" i="16"/>
  <c r="N5" i="16"/>
  <c r="O6" i="16"/>
  <c r="J6" i="16" s="1"/>
  <c r="M23" i="16"/>
  <c r="O24" i="16"/>
  <c r="J24" i="16" s="1"/>
  <c r="M33" i="16"/>
  <c r="M41" i="16"/>
  <c r="M26" i="16"/>
  <c r="M28" i="16"/>
  <c r="Q30" i="16"/>
  <c r="M6" i="16"/>
  <c r="Q21" i="16"/>
  <c r="N102" i="3" l="1"/>
  <c r="Y37" i="16"/>
  <c r="Y17" i="16"/>
  <c r="J129" i="16"/>
  <c r="L129" i="16"/>
  <c r="M129" i="16" s="1"/>
  <c r="R127" i="16"/>
  <c r="P127" i="16" s="1"/>
  <c r="J131" i="16"/>
  <c r="P100" i="3"/>
  <c r="Q100" i="3" s="1"/>
  <c r="Q83" i="16"/>
  <c r="O67" i="16"/>
  <c r="P74" i="16"/>
  <c r="J32" i="16"/>
  <c r="O80" i="16"/>
  <c r="L80" i="16" s="1"/>
  <c r="M80" i="16" s="1"/>
  <c r="Y26" i="16"/>
  <c r="J33" i="16"/>
  <c r="O77" i="16" s="1"/>
  <c r="L77" i="16" s="1"/>
  <c r="J37" i="16"/>
  <c r="O81" i="16" s="1"/>
  <c r="L81" i="16" s="1"/>
  <c r="M81" i="16" s="1"/>
  <c r="X31" i="16"/>
  <c r="J34" i="16"/>
  <c r="O78" i="16" s="1"/>
  <c r="L78" i="16" s="1"/>
  <c r="Y28" i="16"/>
  <c r="J38" i="16"/>
  <c r="O82" i="16" s="1"/>
  <c r="Y33" i="16"/>
  <c r="J35" i="16"/>
  <c r="O79" i="16" s="1"/>
  <c r="Y6" i="16"/>
  <c r="Y10" i="16"/>
  <c r="Y24" i="16"/>
  <c r="Y14" i="16"/>
  <c r="Y78" i="16" l="1"/>
  <c r="N81" i="16"/>
  <c r="N77" i="16"/>
  <c r="M77" i="16"/>
  <c r="L79" i="16"/>
  <c r="Y79" i="16"/>
  <c r="O120" i="16"/>
  <c r="L82" i="16"/>
  <c r="Y82" i="16"/>
  <c r="Y77" i="16"/>
  <c r="Y80" i="16"/>
  <c r="L93" i="3"/>
  <c r="Y93" i="3"/>
  <c r="J93" i="3"/>
  <c r="Q74" i="16"/>
  <c r="N78" i="16"/>
  <c r="M78" i="16"/>
  <c r="O71" i="16"/>
  <c r="O72" i="16"/>
  <c r="O73" i="16"/>
  <c r="O69" i="16"/>
  <c r="O70" i="16"/>
  <c r="O68" i="16"/>
  <c r="R65" i="16"/>
  <c r="P65" i="16" s="1"/>
  <c r="J67" i="16"/>
  <c r="L67" i="16"/>
  <c r="M67" i="16" s="1"/>
  <c r="R118" i="16" l="1"/>
  <c r="J120" i="16"/>
  <c r="L120" i="16"/>
  <c r="M120" i="16" s="1"/>
  <c r="C146" i="16" s="1"/>
  <c r="Q127" i="16"/>
  <c r="M79" i="16"/>
  <c r="N79" i="16"/>
  <c r="M82" i="16"/>
  <c r="N82" i="16"/>
  <c r="N93" i="3"/>
  <c r="M93" i="3"/>
  <c r="L69" i="16"/>
  <c r="J69" i="16"/>
  <c r="Y69" i="16"/>
  <c r="J72" i="16"/>
  <c r="L72" i="16"/>
  <c r="Y72" i="16"/>
  <c r="L68" i="16"/>
  <c r="J68" i="16"/>
  <c r="Y68" i="16"/>
  <c r="L71" i="16"/>
  <c r="J71" i="16"/>
  <c r="Y71" i="16"/>
  <c r="L70" i="16"/>
  <c r="J70" i="16"/>
  <c r="Y70" i="16"/>
  <c r="O61" i="16"/>
  <c r="L73" i="16"/>
  <c r="J73" i="16"/>
  <c r="Y73" i="16"/>
  <c r="J61" i="16" l="1"/>
  <c r="L61" i="16"/>
  <c r="O111" i="16"/>
  <c r="P118" i="16"/>
  <c r="N68" i="16"/>
  <c r="M68" i="16"/>
  <c r="M70" i="16"/>
  <c r="N70" i="16"/>
  <c r="M72" i="16"/>
  <c r="N72" i="16"/>
  <c r="N73" i="16"/>
  <c r="M73" i="16"/>
  <c r="Q65" i="16"/>
  <c r="O59" i="16"/>
  <c r="O50" i="16"/>
  <c r="O60" i="16"/>
  <c r="O49" i="16"/>
  <c r="O63" i="16"/>
  <c r="O62" i="16"/>
  <c r="O52" i="16"/>
  <c r="O58" i="16"/>
  <c r="O64" i="16"/>
  <c r="O53" i="16"/>
  <c r="O54" i="16"/>
  <c r="O51" i="16"/>
  <c r="L48" i="16"/>
  <c r="M48" i="16" s="1"/>
  <c r="J48" i="16"/>
  <c r="M71" i="16"/>
  <c r="N71" i="16"/>
  <c r="M69" i="16"/>
  <c r="N69" i="16"/>
  <c r="L111" i="16" l="1"/>
  <c r="M111" i="16" s="1"/>
  <c r="C141" i="16" s="1"/>
  <c r="J111" i="16"/>
  <c r="O113" i="16"/>
  <c r="O112" i="16"/>
  <c r="O116" i="16"/>
  <c r="O117" i="16"/>
  <c r="O115" i="16"/>
  <c r="O114" i="16"/>
  <c r="R109" i="16"/>
  <c r="Q118" i="16"/>
  <c r="D145" i="16" s="1"/>
  <c r="F5" i="4" s="1"/>
  <c r="B6" i="4"/>
  <c r="Y61" i="16"/>
  <c r="L53" i="16"/>
  <c r="J53" i="16"/>
  <c r="Y53" i="16"/>
  <c r="J64" i="16"/>
  <c r="L64" i="16"/>
  <c r="Y64" i="16"/>
  <c r="J49" i="16"/>
  <c r="L49" i="16"/>
  <c r="Y49" i="16"/>
  <c r="J60" i="16"/>
  <c r="L60" i="16"/>
  <c r="Y60" i="16"/>
  <c r="J86" i="16"/>
  <c r="O130" i="16" s="1"/>
  <c r="L86" i="16"/>
  <c r="Y86" i="16"/>
  <c r="J52" i="16"/>
  <c r="L52" i="16"/>
  <c r="Y52" i="16"/>
  <c r="J54" i="16"/>
  <c r="L54" i="16"/>
  <c r="M54" i="16" s="1"/>
  <c r="Y54" i="16"/>
  <c r="J63" i="16"/>
  <c r="Y63" i="16"/>
  <c r="L63" i="16"/>
  <c r="J50" i="16"/>
  <c r="L50" i="16"/>
  <c r="Y50" i="16"/>
  <c r="L59" i="16"/>
  <c r="J59" i="16"/>
  <c r="Y59" i="16"/>
  <c r="L58" i="16"/>
  <c r="Y58" i="16"/>
  <c r="J58" i="16"/>
  <c r="J62" i="16"/>
  <c r="L62" i="16"/>
  <c r="M62" i="16" s="1"/>
  <c r="Y62" i="16"/>
  <c r="J51" i="16"/>
  <c r="L51" i="16"/>
  <c r="Y51" i="16"/>
  <c r="J117" i="16" l="1"/>
  <c r="L117" i="16"/>
  <c r="Y117" i="16"/>
  <c r="J116" i="16"/>
  <c r="Y116" i="16"/>
  <c r="L116" i="16"/>
  <c r="L112" i="16"/>
  <c r="J112" i="16"/>
  <c r="Y112" i="16"/>
  <c r="J115" i="16"/>
  <c r="L115" i="16"/>
  <c r="Y115" i="16"/>
  <c r="L113" i="16"/>
  <c r="Y113" i="16"/>
  <c r="J113" i="16"/>
  <c r="J114" i="16"/>
  <c r="Y114" i="16"/>
  <c r="L114" i="16"/>
  <c r="O92" i="16"/>
  <c r="P109" i="16"/>
  <c r="N60" i="16"/>
  <c r="M60" i="16"/>
  <c r="M64" i="16"/>
  <c r="N64" i="16"/>
  <c r="N59" i="16"/>
  <c r="M59" i="16"/>
  <c r="N53" i="16"/>
  <c r="M53" i="16"/>
  <c r="L130" i="16"/>
  <c r="J130" i="16"/>
  <c r="Y130" i="16"/>
  <c r="M50" i="16"/>
  <c r="N50" i="16"/>
  <c r="N49" i="16"/>
  <c r="M49" i="16"/>
  <c r="N63" i="16"/>
  <c r="M63" i="16"/>
  <c r="M58" i="16"/>
  <c r="N58" i="16"/>
  <c r="N61" i="16"/>
  <c r="M61" i="16"/>
  <c r="N51" i="16"/>
  <c r="M51" i="16"/>
  <c r="M52" i="16"/>
  <c r="N52" i="16"/>
  <c r="M86" i="16"/>
  <c r="N86" i="16"/>
  <c r="C15" i="14"/>
  <c r="O108" i="16" l="1"/>
  <c r="O96" i="16"/>
  <c r="O94" i="16"/>
  <c r="Y94" i="16" s="1"/>
  <c r="O102" i="16"/>
  <c r="O107" i="16"/>
  <c r="O97" i="16"/>
  <c r="O106" i="16"/>
  <c r="O98" i="16"/>
  <c r="O103" i="16"/>
  <c r="O104" i="16"/>
  <c r="O93" i="16"/>
  <c r="Y93" i="16" s="1"/>
  <c r="J92" i="16"/>
  <c r="O105" i="16"/>
  <c r="O95" i="16"/>
  <c r="L92" i="16"/>
  <c r="M92" i="16" s="1"/>
  <c r="C136" i="16" s="1"/>
  <c r="Q109" i="16"/>
  <c r="D140" i="16" s="1"/>
  <c r="F4" i="4" s="1"/>
  <c r="M114" i="16"/>
  <c r="N114" i="16"/>
  <c r="N112" i="16"/>
  <c r="M112" i="16"/>
  <c r="N115" i="16"/>
  <c r="M115" i="16"/>
  <c r="N116" i="16"/>
  <c r="M116" i="16"/>
  <c r="M117" i="16"/>
  <c r="N117" i="16"/>
  <c r="N113" i="16"/>
  <c r="M113" i="16"/>
  <c r="N130" i="16"/>
  <c r="M130" i="16"/>
  <c r="C142" i="16" l="1"/>
  <c r="D5" i="4"/>
  <c r="C144" i="16"/>
  <c r="E5" i="4" s="1"/>
  <c r="J107" i="16"/>
  <c r="Y107" i="16"/>
  <c r="L107" i="16"/>
  <c r="J102" i="16"/>
  <c r="Y102" i="16"/>
  <c r="L102" i="16"/>
  <c r="L94" i="16"/>
  <c r="J94" i="16"/>
  <c r="Y95" i="16"/>
  <c r="L95" i="16"/>
  <c r="J95" i="16"/>
  <c r="J104" i="16"/>
  <c r="L104" i="16"/>
  <c r="Y104" i="16"/>
  <c r="Y96" i="16"/>
  <c r="J96" i="16"/>
  <c r="L96" i="16"/>
  <c r="J98" i="16"/>
  <c r="Y98" i="16"/>
  <c r="L98" i="16"/>
  <c r="M98" i="16" s="1"/>
  <c r="L106" i="16"/>
  <c r="M106" i="16" s="1"/>
  <c r="J106" i="16"/>
  <c r="Y106" i="16"/>
  <c r="L97" i="16"/>
  <c r="J97" i="16"/>
  <c r="Y97" i="16"/>
  <c r="Y105" i="16"/>
  <c r="L105" i="16"/>
  <c r="J105" i="16"/>
  <c r="L93" i="16"/>
  <c r="J93" i="16"/>
  <c r="B5" i="4"/>
  <c r="J103" i="16"/>
  <c r="Y103" i="16"/>
  <c r="L103" i="16"/>
  <c r="L108" i="16"/>
  <c r="J108" i="16"/>
  <c r="Y108" i="16"/>
  <c r="C5" i="4" l="1"/>
  <c r="N102" i="16"/>
  <c r="M102" i="16"/>
  <c r="N107" i="16"/>
  <c r="M107" i="16"/>
  <c r="N105" i="16"/>
  <c r="M105" i="16"/>
  <c r="M108" i="16"/>
  <c r="N108" i="16"/>
  <c r="M93" i="16"/>
  <c r="B4" i="4" s="1"/>
  <c r="N93" i="16"/>
  <c r="N104" i="16"/>
  <c r="M104" i="16"/>
  <c r="N94" i="16"/>
  <c r="M94" i="16"/>
  <c r="M96" i="16"/>
  <c r="N96" i="16"/>
  <c r="M95" i="16"/>
  <c r="N95" i="16"/>
  <c r="N97" i="16"/>
  <c r="M97" i="16"/>
  <c r="N103" i="16"/>
  <c r="M103" i="16"/>
  <c r="C138" i="16" l="1"/>
  <c r="D4" i="4"/>
  <c r="C4" i="4"/>
  <c r="B7" i="4"/>
  <c r="C139" i="16"/>
  <c r="E4" i="4" s="1"/>
  <c r="J4" i="4" l="1"/>
  <c r="K4" i="4"/>
  <c r="H4" i="4"/>
  <c r="G4" i="4"/>
  <c r="I4" i="4"/>
  <c r="L4" i="4"/>
  <c r="Q62" i="3"/>
  <c r="D75" i="3" s="1"/>
  <c r="F5" i="6" s="1"/>
  <c r="L46" i="3"/>
  <c r="L55" i="3"/>
  <c r="N55" i="3" s="1"/>
  <c r="L36" i="3"/>
  <c r="M36" i="3" s="1"/>
  <c r="L37" i="3"/>
  <c r="M37" i="3" s="1"/>
  <c r="L38" i="3"/>
  <c r="N38" i="3" s="1"/>
  <c r="L40" i="3"/>
  <c r="M40" i="3" s="1"/>
  <c r="L35" i="3"/>
  <c r="M35" i="3" s="1"/>
  <c r="L34" i="3"/>
  <c r="M34" i="3" s="1"/>
  <c r="L19" i="3"/>
  <c r="M19" i="3" s="1"/>
  <c r="L14" i="3"/>
  <c r="M14" i="3" s="1"/>
  <c r="L15" i="3"/>
  <c r="M15" i="3" s="1"/>
  <c r="L16" i="3"/>
  <c r="M16" i="3" s="1"/>
  <c r="L17" i="3"/>
  <c r="M17" i="3" s="1"/>
  <c r="L13" i="3"/>
  <c r="M13" i="3" s="1"/>
  <c r="J14" i="3"/>
  <c r="O56" i="3" s="1"/>
  <c r="J56" i="3" s="1"/>
  <c r="J55" i="3"/>
  <c r="U61" i="3"/>
  <c r="H60" i="3"/>
  <c r="U60" i="3" s="1"/>
  <c r="U59" i="3"/>
  <c r="U58" i="3"/>
  <c r="U57" i="3"/>
  <c r="R53" i="3"/>
  <c r="X46" i="3" s="1"/>
  <c r="U50" i="3"/>
  <c r="U46" i="3"/>
  <c r="X4" i="3"/>
  <c r="X12" i="3"/>
  <c r="P11" i="3"/>
  <c r="Q11" i="3" s="1"/>
  <c r="L56" i="3" l="1"/>
  <c r="N56" i="3" s="1"/>
  <c r="M46" i="3"/>
  <c r="N46" i="3"/>
  <c r="M55" i="3"/>
  <c r="L5" i="4"/>
  <c r="M56" i="3"/>
  <c r="C74" i="3" s="1"/>
  <c r="M38" i="3"/>
  <c r="Y46" i="3"/>
  <c r="J46" i="3"/>
  <c r="P53" i="3"/>
  <c r="Q53" i="3" s="1"/>
  <c r="U40" i="3"/>
  <c r="Y40" i="3" s="1"/>
  <c r="H39" i="3"/>
  <c r="U38" i="3"/>
  <c r="Y38" i="3" s="1"/>
  <c r="U37" i="3"/>
  <c r="Y37" i="3" s="1"/>
  <c r="N37" i="3"/>
  <c r="U36" i="3"/>
  <c r="Y36" i="3" s="1"/>
  <c r="N36" i="3"/>
  <c r="Y35" i="3"/>
  <c r="N35" i="3"/>
  <c r="U29" i="3"/>
  <c r="U25" i="3"/>
  <c r="Y25" i="3" s="1"/>
  <c r="L25" i="3"/>
  <c r="D70" i="3" l="1"/>
  <c r="F4" i="6" s="1"/>
  <c r="C71" i="3"/>
  <c r="B5" i="6" s="1"/>
  <c r="C66" i="3"/>
  <c r="M25" i="3"/>
  <c r="N25" i="3"/>
  <c r="E5" i="6"/>
  <c r="L39" i="3"/>
  <c r="U39" i="3"/>
  <c r="Y39" i="3" s="1"/>
  <c r="U4" i="3"/>
  <c r="Y4" i="3" s="1"/>
  <c r="O9" i="3"/>
  <c r="L9" i="3" s="1"/>
  <c r="N9" i="3" s="1"/>
  <c r="U8" i="3"/>
  <c r="O8" i="3"/>
  <c r="L8" i="3" s="1"/>
  <c r="Y5" i="3"/>
  <c r="L5" i="3"/>
  <c r="Y10" i="3"/>
  <c r="L10" i="3"/>
  <c r="N10" i="3" s="1"/>
  <c r="J10" i="3"/>
  <c r="O31" i="3" s="1"/>
  <c r="Y7" i="3"/>
  <c r="L4" i="3"/>
  <c r="L7" i="3"/>
  <c r="U19" i="3"/>
  <c r="Y19" i="3" s="1"/>
  <c r="U17" i="3"/>
  <c r="Y17" i="3" s="1"/>
  <c r="U16" i="3"/>
  <c r="N15" i="3"/>
  <c r="N14" i="3"/>
  <c r="N13" i="3"/>
  <c r="B4" i="6" l="1"/>
  <c r="M4" i="3"/>
  <c r="N4" i="3"/>
  <c r="J8" i="3"/>
  <c r="O29" i="3" s="1"/>
  <c r="Y29" i="3" s="1"/>
  <c r="N5" i="3"/>
  <c r="M5" i="3"/>
  <c r="Y8" i="3"/>
  <c r="N6" i="3"/>
  <c r="M6" i="3"/>
  <c r="N7" i="3"/>
  <c r="M7" i="3"/>
  <c r="N8" i="3"/>
  <c r="M8" i="3"/>
  <c r="M9" i="3"/>
  <c r="Y9" i="3"/>
  <c r="N39" i="3"/>
  <c r="M39" i="3"/>
  <c r="M10" i="3"/>
  <c r="L31" i="3"/>
  <c r="J31" i="3"/>
  <c r="O52" i="3" s="1"/>
  <c r="Y31" i="3"/>
  <c r="J9" i="3"/>
  <c r="O30" i="3" s="1"/>
  <c r="Y14" i="3"/>
  <c r="Y15" i="3"/>
  <c r="N17" i="3"/>
  <c r="B6" i="6" l="1"/>
  <c r="A20" i="6"/>
  <c r="L29" i="3"/>
  <c r="N29" i="3" s="1"/>
  <c r="J29" i="3"/>
  <c r="O50" i="3" s="1"/>
  <c r="J50" i="3" s="1"/>
  <c r="O97" i="3" s="1"/>
  <c r="N31" i="3"/>
  <c r="M31" i="3"/>
  <c r="L52" i="3"/>
  <c r="Y52" i="3"/>
  <c r="J52" i="3"/>
  <c r="O99" i="3" s="1"/>
  <c r="J99" i="3" s="1"/>
  <c r="J30" i="3"/>
  <c r="O51" i="3" s="1"/>
  <c r="L30" i="3"/>
  <c r="N30" i="3" s="1"/>
  <c r="Y30" i="3"/>
  <c r="N16" i="3"/>
  <c r="Y16" i="3"/>
  <c r="P20" i="3"/>
  <c r="Q20" i="3" s="1"/>
  <c r="L50" i="3" l="1"/>
  <c r="Y50" i="3"/>
  <c r="M29" i="3"/>
  <c r="J97" i="3"/>
  <c r="L97" i="3"/>
  <c r="Y97" i="3"/>
  <c r="L99" i="3"/>
  <c r="Y99" i="3"/>
  <c r="M30" i="3"/>
  <c r="N52" i="3"/>
  <c r="M52" i="3"/>
  <c r="N50" i="3"/>
  <c r="M50" i="3"/>
  <c r="L51" i="3"/>
  <c r="J51" i="3"/>
  <c r="O98" i="3" s="1"/>
  <c r="Y51" i="3"/>
  <c r="O59" i="3"/>
  <c r="L59" i="3" s="1"/>
  <c r="M59" i="3" s="1"/>
  <c r="M97" i="3" l="1"/>
  <c r="N97" i="3"/>
  <c r="J98" i="3"/>
  <c r="L98" i="3"/>
  <c r="Y98" i="3"/>
  <c r="N99" i="3"/>
  <c r="M99" i="3"/>
  <c r="N51" i="3"/>
  <c r="M51" i="3"/>
  <c r="J59" i="3"/>
  <c r="O106" i="3" s="1"/>
  <c r="N59" i="3"/>
  <c r="Y59" i="3"/>
  <c r="O103" i="3"/>
  <c r="Y56" i="3"/>
  <c r="H18" i="3"/>
  <c r="L18" i="3" s="1"/>
  <c r="M18" i="3" s="1"/>
  <c r="J18" i="3"/>
  <c r="O60" i="3" s="1"/>
  <c r="J15" i="3"/>
  <c r="O57" i="3" s="1"/>
  <c r="L57" i="3" l="1"/>
  <c r="M57" i="3" s="1"/>
  <c r="J57" i="3"/>
  <c r="O104" i="3" s="1"/>
  <c r="L60" i="3"/>
  <c r="M60" i="3" s="1"/>
  <c r="C5" i="6" s="1"/>
  <c r="J60" i="3"/>
  <c r="O107" i="3" s="1"/>
  <c r="J107" i="3" s="1"/>
  <c r="C4" i="6"/>
  <c r="L103" i="3"/>
  <c r="J103" i="3"/>
  <c r="Y103" i="3"/>
  <c r="N98" i="3"/>
  <c r="M98" i="3"/>
  <c r="J106" i="3"/>
  <c r="Y106" i="3"/>
  <c r="L106" i="3"/>
  <c r="Y57" i="3"/>
  <c r="N57" i="3"/>
  <c r="Y60" i="3"/>
  <c r="U18" i="3"/>
  <c r="Y18" i="3" s="1"/>
  <c r="N18" i="3"/>
  <c r="J16" i="3"/>
  <c r="O58" i="3" s="1"/>
  <c r="J19" i="3"/>
  <c r="O61" i="3" s="1"/>
  <c r="L61" i="3" s="1"/>
  <c r="M61" i="3" s="1"/>
  <c r="J13" i="3"/>
  <c r="J6" i="3"/>
  <c r="O27" i="3" s="1"/>
  <c r="J7" i="3"/>
  <c r="O28" i="3" s="1"/>
  <c r="J5" i="3"/>
  <c r="O26" i="3" s="1"/>
  <c r="N60" i="3" l="1"/>
  <c r="L58" i="3"/>
  <c r="M58" i="3" s="1"/>
  <c r="C73" i="3" s="1"/>
  <c r="D5" i="6" s="1"/>
  <c r="J58" i="3"/>
  <c r="O105" i="3" s="1"/>
  <c r="C6" i="6"/>
  <c r="N103" i="3"/>
  <c r="M103" i="3"/>
  <c r="Y107" i="3"/>
  <c r="Y112" i="3" s="1"/>
  <c r="L107" i="3"/>
  <c r="L104" i="3"/>
  <c r="J104" i="3"/>
  <c r="Y104" i="3"/>
  <c r="N106" i="3"/>
  <c r="M106" i="3"/>
  <c r="J26" i="3"/>
  <c r="O47" i="3" s="1"/>
  <c r="L26" i="3"/>
  <c r="Y26" i="3"/>
  <c r="L27" i="3"/>
  <c r="J27" i="3"/>
  <c r="O48" i="3" s="1"/>
  <c r="L48" i="3" s="1"/>
  <c r="Y27" i="3"/>
  <c r="J28" i="3"/>
  <c r="O49" i="3" s="1"/>
  <c r="L28" i="3"/>
  <c r="N28" i="3" s="1"/>
  <c r="Y28" i="3"/>
  <c r="J61" i="3"/>
  <c r="O108" i="3" s="1"/>
  <c r="Y61" i="3"/>
  <c r="Y58" i="3"/>
  <c r="K5" i="6" l="1"/>
  <c r="J5" i="6"/>
  <c r="L5" i="6" s="1"/>
  <c r="I5" i="6"/>
  <c r="N58" i="3"/>
  <c r="H5" i="6"/>
  <c r="G5" i="6"/>
  <c r="L105" i="3"/>
  <c r="J105" i="3"/>
  <c r="Y105" i="3"/>
  <c r="M107" i="3"/>
  <c r="N107" i="3"/>
  <c r="L108" i="3"/>
  <c r="M108" i="3" s="1"/>
  <c r="J108" i="3"/>
  <c r="Y108" i="3"/>
  <c r="N104" i="3"/>
  <c r="M104" i="3"/>
  <c r="M28" i="3"/>
  <c r="N26" i="3"/>
  <c r="M26" i="3"/>
  <c r="N27" i="3"/>
  <c r="M27" i="3"/>
  <c r="Y48" i="3"/>
  <c r="J48" i="3"/>
  <c r="O95" i="3" s="1"/>
  <c r="L49" i="3"/>
  <c r="Y49" i="3"/>
  <c r="J49" i="3"/>
  <c r="O96" i="3" s="1"/>
  <c r="L47" i="3"/>
  <c r="J47" i="3"/>
  <c r="O94" i="3" s="1"/>
  <c r="Y47" i="3"/>
  <c r="L94" i="3" l="1"/>
  <c r="J94" i="3"/>
  <c r="Y94" i="3"/>
  <c r="L95" i="3"/>
  <c r="Y95" i="3"/>
  <c r="J95" i="3"/>
  <c r="N105" i="3"/>
  <c r="M105" i="3"/>
  <c r="J96" i="3"/>
  <c r="L96" i="3"/>
  <c r="Y96" i="3"/>
  <c r="N48" i="3"/>
  <c r="M48" i="3"/>
  <c r="N47" i="3"/>
  <c r="M47" i="3"/>
  <c r="N49" i="3"/>
  <c r="M49" i="3"/>
  <c r="C69" i="3" s="1"/>
  <c r="Y92" i="16" l="1"/>
  <c r="N95" i="3"/>
  <c r="M95" i="3"/>
  <c r="N96" i="3"/>
  <c r="M96" i="3"/>
  <c r="E4" i="6"/>
  <c r="N94" i="3"/>
  <c r="M94" i="3"/>
  <c r="Y4" i="16" l="1"/>
  <c r="D4" i="6"/>
  <c r="K4" i="6" s="1"/>
  <c r="Y48" i="16"/>
  <c r="E6" i="6"/>
  <c r="D20" i="6" s="1"/>
  <c r="G4" i="6" l="1"/>
  <c r="J4" i="6"/>
  <c r="L4" i="6" s="1"/>
  <c r="I4" i="6"/>
  <c r="H4" i="6"/>
  <c r="D6" i="6"/>
  <c r="C20" i="6" s="1"/>
  <c r="J6" i="6" l="1"/>
  <c r="K6" i="6"/>
  <c r="C12" i="6" s="1"/>
  <c r="H6" i="6"/>
  <c r="A12" i="6" s="1"/>
  <c r="L6" i="6" l="1"/>
  <c r="B12" i="6"/>
  <c r="B16" i="6" s="1"/>
  <c r="F6" i="14" s="1"/>
  <c r="C16" i="6"/>
  <c r="G6" i="14" s="1"/>
  <c r="A15" i="4" l="1"/>
  <c r="E7" i="4"/>
  <c r="D15" i="4" l="1"/>
  <c r="Q41" i="3"/>
  <c r="N34" i="3"/>
  <c r="X33" i="3"/>
  <c r="J40" i="3" l="1"/>
  <c r="J37" i="3"/>
  <c r="J35" i="3"/>
  <c r="J39" i="3"/>
  <c r="J34" i="3"/>
  <c r="R32" i="3"/>
  <c r="X25" i="3" l="1"/>
  <c r="P32" i="3"/>
  <c r="Q32" i="3" s="1"/>
  <c r="J76" i="16" l="1"/>
  <c r="J78" i="16"/>
  <c r="O122" i="16" s="1"/>
  <c r="J81" i="16"/>
  <c r="O125" i="16" s="1"/>
  <c r="Y125" i="16" s="1"/>
  <c r="J77" i="16"/>
  <c r="O121" i="16" s="1"/>
  <c r="J80" i="16"/>
  <c r="O124" i="16" s="1"/>
  <c r="J82" i="16"/>
  <c r="O126" i="16" s="1"/>
  <c r="J79" i="16"/>
  <c r="O123" i="16" s="1"/>
  <c r="L76" i="16"/>
  <c r="M76" i="16" s="1"/>
  <c r="J125" i="16" l="1"/>
  <c r="L125" i="16"/>
  <c r="Y124" i="16"/>
  <c r="L124" i="16"/>
  <c r="M124" i="16" s="1"/>
  <c r="J124" i="16"/>
  <c r="J123" i="16"/>
  <c r="L123" i="16"/>
  <c r="Y123" i="16"/>
  <c r="J126" i="16"/>
  <c r="L126" i="16"/>
  <c r="Y126" i="16"/>
  <c r="J121" i="16"/>
  <c r="L121" i="16"/>
  <c r="Y121" i="16"/>
  <c r="L122" i="16"/>
  <c r="J122" i="16"/>
  <c r="Y122" i="16"/>
  <c r="N123" i="16" l="1"/>
  <c r="M123" i="16"/>
  <c r="N121" i="16"/>
  <c r="M121" i="16"/>
  <c r="M125" i="16"/>
  <c r="N125" i="16"/>
  <c r="N122" i="16"/>
  <c r="M122" i="16"/>
  <c r="N126" i="16"/>
  <c r="M126" i="16"/>
  <c r="C148" i="16" l="1"/>
  <c r="D6" i="4" s="1"/>
  <c r="C6" i="4"/>
  <c r="C7" i="4" l="1"/>
  <c r="L6" i="4"/>
  <c r="D7" i="4"/>
  <c r="K7" i="4" l="1"/>
  <c r="A11" i="4"/>
  <c r="A6" i="14" s="1"/>
  <c r="J7" i="4"/>
  <c r="L7" i="4" s="1"/>
  <c r="B15" i="4"/>
  <c r="C15" i="4"/>
  <c r="C11" i="4"/>
  <c r="C6" i="14" s="1"/>
  <c r="E13" i="14" s="1"/>
  <c r="C13" i="14" l="1"/>
  <c r="B11" i="4"/>
  <c r="B6" i="14" l="1"/>
  <c r="D13" i="14" s="1"/>
</calcChain>
</file>

<file path=xl/comments1.xml><?xml version="1.0" encoding="utf-8"?>
<comments xmlns="http://schemas.openxmlformats.org/spreadsheetml/2006/main">
  <authors>
    <author>Microsoft Office User</author>
    <author>Nick Akakios</author>
  </authors>
  <commentList>
    <comment ref="F3" authorId="0" shapeId="0">
      <text>
        <r>
          <rPr>
            <b/>
            <sz val="10"/>
            <color indexed="81"/>
            <rFont val="Calibri"/>
            <family val="2"/>
          </rPr>
          <t>Microsoft Office User:</t>
        </r>
        <r>
          <rPr>
            <sz val="10"/>
            <color indexed="81"/>
            <rFont val="Calibri"/>
            <family val="2"/>
          </rPr>
          <t xml:space="preserve">
</t>
        </r>
        <r>
          <rPr>
            <u/>
            <sz val="10"/>
            <color indexed="81"/>
            <rFont val="Calibri"/>
            <family val="2"/>
          </rPr>
          <t xml:space="preserve">A choice of: </t>
        </r>
        <r>
          <rPr>
            <sz val="10"/>
            <color indexed="81"/>
            <rFont val="Calibri"/>
            <family val="2"/>
          </rPr>
          <t xml:space="preserve">
Raw material
Solvent
Reagent
Water
Intermediate (internal/ external)</t>
        </r>
      </text>
    </comment>
    <comment ref="J3" authorId="0" shapeId="0">
      <text>
        <r>
          <rPr>
            <b/>
            <sz val="10"/>
            <color indexed="81"/>
            <rFont val="Calibri"/>
            <family val="2"/>
          </rPr>
          <t>Microsoft Office User:</t>
        </r>
        <r>
          <rPr>
            <sz val="10"/>
            <color indexed="81"/>
            <rFont val="Calibri"/>
            <family val="2"/>
          </rPr>
          <t xml:space="preserve">
linked to input mole ratios relative to the smallest quantity of </t>
        </r>
        <r>
          <rPr>
            <b/>
            <sz val="10"/>
            <color indexed="81"/>
            <rFont val="Calibri"/>
            <family val="2"/>
          </rPr>
          <t>RAW MATERIAL OR INTERMEDIATE (EXTERNAL)
DO THIS PER SYNTHESIS STEP!</t>
        </r>
      </text>
    </comment>
    <comment ref="N3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input vol=
</t>
        </r>
        <r>
          <rPr>
            <sz val="10"/>
            <color rgb="FF000000"/>
            <rFont val="Calibri"/>
            <family val="2"/>
          </rPr>
          <t>input mass/density</t>
        </r>
      </text>
    </comment>
    <comment ref="U3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Materials that do not meet the $100/mol price target need to be considerd for intrinsic E-factor analysis.
</t>
        </r>
        <r>
          <rPr>
            <sz val="10"/>
            <color rgb="FF000000"/>
            <rFont val="Calibri"/>
            <family val="2"/>
          </rPr>
          <t xml:space="preserve">
</t>
        </r>
      </text>
    </comment>
    <comment ref="W10" authorId="1" shapeId="0">
      <text>
        <r>
          <rPr>
            <b/>
            <sz val="10"/>
            <color rgb="FF000000"/>
            <rFont val="Tahoma"/>
            <family val="2"/>
          </rPr>
          <t>Nick Akakios: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Available in Japan only</t>
        </r>
      </text>
    </comment>
    <comment ref="D26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Greener option, adheres to one or more of the 12 principles of Green Chemistry</t>
        </r>
      </text>
    </comment>
    <comment ref="F47" authorId="0" shapeId="0">
      <text>
        <r>
          <rPr>
            <b/>
            <sz val="10"/>
            <color indexed="81"/>
            <rFont val="Calibri"/>
            <family val="2"/>
          </rPr>
          <t>Microsoft Office User:</t>
        </r>
        <r>
          <rPr>
            <sz val="10"/>
            <color indexed="81"/>
            <rFont val="Calibri"/>
            <family val="2"/>
          </rPr>
          <t xml:space="preserve">
</t>
        </r>
        <r>
          <rPr>
            <u/>
            <sz val="10"/>
            <color indexed="81"/>
            <rFont val="Calibri"/>
            <family val="2"/>
          </rPr>
          <t xml:space="preserve">A choice of: </t>
        </r>
        <r>
          <rPr>
            <sz val="10"/>
            <color indexed="81"/>
            <rFont val="Calibri"/>
            <family val="2"/>
          </rPr>
          <t xml:space="preserve">
Raw material
Solvent
Reagent
Water
Intermediate (internal/ external)</t>
        </r>
      </text>
    </comment>
    <comment ref="J47" authorId="0" shapeId="0">
      <text>
        <r>
          <rPr>
            <b/>
            <sz val="10"/>
            <color indexed="81"/>
            <rFont val="Calibri"/>
            <family val="2"/>
          </rPr>
          <t>Microsoft Office User:</t>
        </r>
        <r>
          <rPr>
            <sz val="10"/>
            <color indexed="81"/>
            <rFont val="Calibri"/>
            <family val="2"/>
          </rPr>
          <t xml:space="preserve">
linked to input mole ratios relative to the smallest quantity of </t>
        </r>
        <r>
          <rPr>
            <b/>
            <sz val="10"/>
            <color indexed="81"/>
            <rFont val="Calibri"/>
            <family val="2"/>
          </rPr>
          <t>RAW MATERIAL OR INTERMEDIATE (EXTERNAL)
DO THIS PER SYNTHESIS STEP!</t>
        </r>
      </text>
    </comment>
    <comment ref="N47" authorId="0" shapeId="0">
      <text>
        <r>
          <rPr>
            <b/>
            <sz val="10"/>
            <color indexed="81"/>
            <rFont val="Calibri"/>
            <family val="2"/>
          </rPr>
          <t>Microsoft Office User:</t>
        </r>
        <r>
          <rPr>
            <sz val="10"/>
            <color indexed="81"/>
            <rFont val="Calibri"/>
            <family val="2"/>
          </rPr>
          <t xml:space="preserve">
input vol=
input mass/density</t>
        </r>
      </text>
    </comment>
    <comment ref="U47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Materials that do not meet the $100/mol price target need to be considerd for intrinsic E-factor analysis.
</t>
        </r>
        <r>
          <rPr>
            <sz val="10"/>
            <color rgb="FF000000"/>
            <rFont val="Calibri"/>
            <family val="2"/>
          </rPr>
          <t xml:space="preserve">
</t>
        </r>
      </text>
    </comment>
    <comment ref="W54" authorId="1" shapeId="0">
      <text>
        <r>
          <rPr>
            <b/>
            <sz val="10"/>
            <color rgb="FF000000"/>
            <rFont val="Tahoma"/>
            <family val="2"/>
          </rPr>
          <t>Nick Akakios: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Available in Japan only</t>
        </r>
      </text>
    </comment>
    <comment ref="D70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Greener option, adheres to one or more of the 12 principles of Green Chemistry</t>
        </r>
      </text>
    </comment>
    <comment ref="F91" authorId="0" shapeId="0">
      <text>
        <r>
          <rPr>
            <b/>
            <sz val="10"/>
            <color indexed="81"/>
            <rFont val="Calibri"/>
            <family val="2"/>
          </rPr>
          <t>Microsoft Office User:</t>
        </r>
        <r>
          <rPr>
            <sz val="10"/>
            <color indexed="81"/>
            <rFont val="Calibri"/>
            <family val="2"/>
          </rPr>
          <t xml:space="preserve">
</t>
        </r>
        <r>
          <rPr>
            <u/>
            <sz val="10"/>
            <color indexed="81"/>
            <rFont val="Calibri"/>
            <family val="2"/>
          </rPr>
          <t xml:space="preserve">A choice of: </t>
        </r>
        <r>
          <rPr>
            <sz val="10"/>
            <color indexed="81"/>
            <rFont val="Calibri"/>
            <family val="2"/>
          </rPr>
          <t xml:space="preserve">
Raw material
Solvent
Reagent
Water
Intermediate (internal/ external)</t>
        </r>
      </text>
    </comment>
    <comment ref="J91" authorId="0" shapeId="0">
      <text>
        <r>
          <rPr>
            <b/>
            <sz val="10"/>
            <color indexed="81"/>
            <rFont val="Calibri"/>
            <family val="2"/>
          </rPr>
          <t>Microsoft Office User:</t>
        </r>
        <r>
          <rPr>
            <sz val="10"/>
            <color indexed="81"/>
            <rFont val="Calibri"/>
            <family val="2"/>
          </rPr>
          <t xml:space="preserve">
linked to input mole ratios relative to the smallest quantity of </t>
        </r>
        <r>
          <rPr>
            <b/>
            <sz val="10"/>
            <color indexed="81"/>
            <rFont val="Calibri"/>
            <family val="2"/>
          </rPr>
          <t>RAW MATERIAL OR INTERMEDIATE (EXTERNAL)
DO THIS PER SYNTHESIS STEP!</t>
        </r>
      </text>
    </comment>
    <comment ref="N91" authorId="0" shapeId="0">
      <text>
        <r>
          <rPr>
            <b/>
            <sz val="10"/>
            <color indexed="81"/>
            <rFont val="Calibri"/>
            <family val="2"/>
          </rPr>
          <t>Microsoft Office User:</t>
        </r>
        <r>
          <rPr>
            <sz val="10"/>
            <color indexed="81"/>
            <rFont val="Calibri"/>
            <family val="2"/>
          </rPr>
          <t xml:space="preserve">
input vol=
input mass/density</t>
        </r>
      </text>
    </comment>
    <comment ref="U91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Materials that do not meet the $100/mol price target need to be considerd for intrinsic E-factor analysis.
</t>
        </r>
        <r>
          <rPr>
            <sz val="10"/>
            <color rgb="FF000000"/>
            <rFont val="Calibri"/>
            <family val="2"/>
          </rPr>
          <t xml:space="preserve">
</t>
        </r>
      </text>
    </comment>
    <comment ref="W98" authorId="1" shapeId="0">
      <text>
        <r>
          <rPr>
            <b/>
            <sz val="10"/>
            <color rgb="FF000000"/>
            <rFont val="Tahoma"/>
            <family val="2"/>
          </rPr>
          <t>Nick Akakios: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Available in Japan only</t>
        </r>
      </text>
    </comment>
    <comment ref="D114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>Greener option, adheres to one or more of the 12 principles of Green Chemistry</t>
        </r>
      </text>
    </comment>
  </commentList>
</comments>
</file>

<file path=xl/comments2.xml><?xml version="1.0" encoding="utf-8"?>
<comments xmlns="http://schemas.openxmlformats.org/spreadsheetml/2006/main">
  <authors>
    <author>Microsoft Office User</author>
  </authors>
  <commentList>
    <comment ref="F3" authorId="0" shapeId="0">
      <text>
        <r>
          <rPr>
            <b/>
            <sz val="10"/>
            <color indexed="81"/>
            <rFont val="Calibri"/>
            <family val="2"/>
          </rPr>
          <t>Microsoft Office User:</t>
        </r>
        <r>
          <rPr>
            <sz val="10"/>
            <color indexed="81"/>
            <rFont val="Calibri"/>
            <family val="2"/>
          </rPr>
          <t xml:space="preserve">
</t>
        </r>
        <r>
          <rPr>
            <u/>
            <sz val="10"/>
            <color indexed="81"/>
            <rFont val="Calibri"/>
            <family val="2"/>
          </rPr>
          <t xml:space="preserve">A choice of: </t>
        </r>
        <r>
          <rPr>
            <sz val="10"/>
            <color indexed="81"/>
            <rFont val="Calibri"/>
            <family val="2"/>
          </rPr>
          <t xml:space="preserve">
Raw material
Solvent
Reagent
Water
Intermediate (internal/ external)</t>
        </r>
      </text>
    </comment>
    <comment ref="J3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linked to input mole ratios relative to the smallest quantity of </t>
        </r>
        <r>
          <rPr>
            <b/>
            <sz val="10"/>
            <color rgb="FF000000"/>
            <rFont val="Calibri"/>
            <family val="2"/>
          </rPr>
          <t xml:space="preserve">RAW MATERIAL OR INTERMEDIATE (EXTERNAL)
</t>
        </r>
        <r>
          <rPr>
            <b/>
            <sz val="10"/>
            <color rgb="FF000000"/>
            <rFont val="Calibri"/>
            <family val="2"/>
          </rPr>
          <t xml:space="preserve">
</t>
        </r>
        <r>
          <rPr>
            <b/>
            <sz val="10"/>
            <color rgb="FF000000"/>
            <rFont val="Calibri"/>
            <family val="2"/>
          </rPr>
          <t>DO THIS PER SYNTHESIS STEP!</t>
        </r>
      </text>
    </comment>
    <comment ref="N3" authorId="0" shapeId="0">
      <text>
        <r>
          <rPr>
            <b/>
            <sz val="10"/>
            <color indexed="81"/>
            <rFont val="Calibri"/>
            <family val="2"/>
          </rPr>
          <t>Microsoft Office User:</t>
        </r>
        <r>
          <rPr>
            <sz val="10"/>
            <color indexed="81"/>
            <rFont val="Calibri"/>
            <family val="2"/>
          </rPr>
          <t xml:space="preserve">
input vol=
input mass/density</t>
        </r>
      </text>
    </comment>
    <comment ref="U3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Materials that do not meet the $100/mol price target need to be considerd for intrinsic E-factor analysis.
</t>
        </r>
        <r>
          <rPr>
            <sz val="10"/>
            <color rgb="FF000000"/>
            <rFont val="Calibri"/>
            <family val="2"/>
          </rPr>
          <t xml:space="preserve">
</t>
        </r>
      </text>
    </comment>
    <comment ref="F24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u/>
            <sz val="10"/>
            <color rgb="FF000000"/>
            <rFont val="Calibri"/>
            <family val="2"/>
          </rPr>
          <t xml:space="preserve">A choice of: 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Raw material
</t>
        </r>
        <r>
          <rPr>
            <sz val="10"/>
            <color rgb="FF000000"/>
            <rFont val="Calibri"/>
            <family val="2"/>
          </rPr>
          <t xml:space="preserve">Solvent
</t>
        </r>
        <r>
          <rPr>
            <sz val="10"/>
            <color rgb="FF000000"/>
            <rFont val="Calibri"/>
            <family val="2"/>
          </rPr>
          <t xml:space="preserve">Reagent
</t>
        </r>
        <r>
          <rPr>
            <sz val="10"/>
            <color rgb="FF000000"/>
            <rFont val="Calibri"/>
            <family val="2"/>
          </rPr>
          <t xml:space="preserve">Water
</t>
        </r>
        <r>
          <rPr>
            <sz val="10"/>
            <color rgb="FF000000"/>
            <rFont val="Calibri"/>
            <family val="2"/>
          </rPr>
          <t>Intermediate (internal/ external)</t>
        </r>
      </text>
    </comment>
    <comment ref="J24" authorId="0" shapeId="0">
      <text>
        <r>
          <rPr>
            <b/>
            <sz val="10"/>
            <color indexed="81"/>
            <rFont val="Calibri"/>
            <family val="2"/>
          </rPr>
          <t>Microsoft Office User:</t>
        </r>
        <r>
          <rPr>
            <sz val="10"/>
            <color indexed="81"/>
            <rFont val="Calibri"/>
            <family val="2"/>
          </rPr>
          <t xml:space="preserve">
linked to input mole ratios relative to the smallest quantity of </t>
        </r>
        <r>
          <rPr>
            <b/>
            <sz val="10"/>
            <color indexed="81"/>
            <rFont val="Calibri"/>
            <family val="2"/>
          </rPr>
          <t>RAW MATERIAL OR INTERMEDIATE (EXTERNAL)
DO THIS PER SYNTHESIS STEP!</t>
        </r>
      </text>
    </comment>
    <comment ref="N24" authorId="0" shapeId="0">
      <text>
        <r>
          <rPr>
            <b/>
            <sz val="10"/>
            <color indexed="81"/>
            <rFont val="Calibri"/>
            <family val="2"/>
          </rPr>
          <t>Microsoft Office User:</t>
        </r>
        <r>
          <rPr>
            <sz val="10"/>
            <color indexed="81"/>
            <rFont val="Calibri"/>
            <family val="2"/>
          </rPr>
          <t xml:space="preserve">
input vol=
input mass/density</t>
        </r>
      </text>
    </comment>
    <comment ref="U24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Materials that do not meet the $100/mol price target need to be considerd for intrinsic E-factor analysis.
</t>
        </r>
        <r>
          <rPr>
            <sz val="10"/>
            <color rgb="FF000000"/>
            <rFont val="Calibri"/>
            <family val="2"/>
          </rPr>
          <t xml:space="preserve">
</t>
        </r>
      </text>
    </comment>
    <comment ref="F45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u/>
            <sz val="10"/>
            <color rgb="FF000000"/>
            <rFont val="Calibri"/>
            <family val="2"/>
          </rPr>
          <t xml:space="preserve">A choice of: 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Raw material
</t>
        </r>
        <r>
          <rPr>
            <sz val="10"/>
            <color rgb="FF000000"/>
            <rFont val="Calibri"/>
            <family val="2"/>
          </rPr>
          <t xml:space="preserve">Solvent
</t>
        </r>
        <r>
          <rPr>
            <sz val="10"/>
            <color rgb="FF000000"/>
            <rFont val="Calibri"/>
            <family val="2"/>
          </rPr>
          <t xml:space="preserve">Reagent
</t>
        </r>
        <r>
          <rPr>
            <sz val="10"/>
            <color rgb="FF000000"/>
            <rFont val="Calibri"/>
            <family val="2"/>
          </rPr>
          <t xml:space="preserve">Water
</t>
        </r>
        <r>
          <rPr>
            <sz val="10"/>
            <color rgb="FF000000"/>
            <rFont val="Calibri"/>
            <family val="2"/>
          </rPr>
          <t>Intermediate (internal/ external)</t>
        </r>
      </text>
    </comment>
    <comment ref="J45" authorId="0" shapeId="0">
      <text>
        <r>
          <rPr>
            <b/>
            <sz val="10"/>
            <color indexed="81"/>
            <rFont val="Calibri"/>
            <family val="2"/>
          </rPr>
          <t>Microsoft Office User:</t>
        </r>
        <r>
          <rPr>
            <sz val="10"/>
            <color indexed="81"/>
            <rFont val="Calibri"/>
            <family val="2"/>
          </rPr>
          <t xml:space="preserve">
linked to input mole ratios relative to the smallest quantity of </t>
        </r>
        <r>
          <rPr>
            <b/>
            <sz val="10"/>
            <color indexed="81"/>
            <rFont val="Calibri"/>
            <family val="2"/>
          </rPr>
          <t>RAW MATERIAL OR INTERMEDIATE (EXTERNAL)
DO THIS PER SYNTHESIS STEP!</t>
        </r>
      </text>
    </comment>
    <comment ref="N45" authorId="0" shapeId="0">
      <text>
        <r>
          <rPr>
            <b/>
            <sz val="10"/>
            <color indexed="81"/>
            <rFont val="Calibri"/>
            <family val="2"/>
          </rPr>
          <t>Microsoft Office User:</t>
        </r>
        <r>
          <rPr>
            <sz val="10"/>
            <color indexed="81"/>
            <rFont val="Calibri"/>
            <family val="2"/>
          </rPr>
          <t xml:space="preserve">
input vol=
input mass/density</t>
        </r>
      </text>
    </comment>
    <comment ref="U45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Materials that do not meet the $100/mol price target need to be considerd for intrinsic E-factor analysis.
</t>
        </r>
        <r>
          <rPr>
            <sz val="10"/>
            <color rgb="FF000000"/>
            <rFont val="Calibri"/>
            <family val="2"/>
          </rPr>
          <t xml:space="preserve">
</t>
        </r>
      </text>
    </comment>
    <comment ref="F92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u/>
            <sz val="10"/>
            <color rgb="FF000000"/>
            <rFont val="Calibri"/>
            <family val="2"/>
          </rPr>
          <t xml:space="preserve">A choice of: 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Raw material
</t>
        </r>
        <r>
          <rPr>
            <sz val="10"/>
            <color rgb="FF000000"/>
            <rFont val="Calibri"/>
            <family val="2"/>
          </rPr>
          <t xml:space="preserve">Solvent
</t>
        </r>
        <r>
          <rPr>
            <sz val="10"/>
            <color rgb="FF000000"/>
            <rFont val="Calibri"/>
            <family val="2"/>
          </rPr>
          <t xml:space="preserve">Reagent
</t>
        </r>
        <r>
          <rPr>
            <sz val="10"/>
            <color rgb="FF000000"/>
            <rFont val="Calibri"/>
            <family val="2"/>
          </rPr>
          <t xml:space="preserve">Water
</t>
        </r>
        <r>
          <rPr>
            <sz val="10"/>
            <color rgb="FF000000"/>
            <rFont val="Calibri"/>
            <family val="2"/>
          </rPr>
          <t>Intermediate (internal/ external)</t>
        </r>
      </text>
    </comment>
    <comment ref="J92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linked to input mole ratios relative to the smallest quantity of </t>
        </r>
        <r>
          <rPr>
            <b/>
            <sz val="10"/>
            <color rgb="FF000000"/>
            <rFont val="Calibri"/>
            <family val="2"/>
          </rPr>
          <t xml:space="preserve">RAW MATERIAL OR INTERMEDIATE (EXTERNAL)
</t>
        </r>
        <r>
          <rPr>
            <b/>
            <sz val="10"/>
            <color rgb="FF000000"/>
            <rFont val="Calibri"/>
            <family val="2"/>
          </rPr>
          <t xml:space="preserve">
</t>
        </r>
        <r>
          <rPr>
            <b/>
            <sz val="10"/>
            <color rgb="FF000000"/>
            <rFont val="Calibri"/>
            <family val="2"/>
          </rPr>
          <t>DO THIS PER SYNTHESIS STEP!</t>
        </r>
      </text>
    </comment>
    <comment ref="N92" authorId="0" shapeId="0">
      <text>
        <r>
          <rPr>
            <b/>
            <sz val="10"/>
            <color indexed="81"/>
            <rFont val="Calibri"/>
            <family val="2"/>
          </rPr>
          <t>Microsoft Office User:</t>
        </r>
        <r>
          <rPr>
            <sz val="10"/>
            <color indexed="81"/>
            <rFont val="Calibri"/>
            <family val="2"/>
          </rPr>
          <t xml:space="preserve">
input vol=
input mass/density</t>
        </r>
      </text>
    </comment>
    <comment ref="U92" authorId="0" shapeId="0">
      <text>
        <r>
          <rPr>
            <b/>
            <sz val="10"/>
            <color rgb="FF000000"/>
            <rFont val="Calibri"/>
            <family val="2"/>
          </rPr>
          <t>Microsoft Office User:</t>
        </r>
        <r>
          <rPr>
            <sz val="10"/>
            <color rgb="FF000000"/>
            <rFont val="Calibri"/>
            <family val="2"/>
          </rPr>
          <t xml:space="preserve">
</t>
        </r>
        <r>
          <rPr>
            <sz val="10"/>
            <color rgb="FF000000"/>
            <rFont val="Calibri"/>
            <family val="2"/>
          </rPr>
          <t xml:space="preserve">Materials that do not meet the $100/mol price target need to be considerd for intrinsic E-factor analysis.
</t>
        </r>
        <r>
          <rPr>
            <sz val="10"/>
            <color rgb="FF000000"/>
            <rFont val="Calibr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<sst xmlns="http://schemas.openxmlformats.org/spreadsheetml/2006/main" count="1597" uniqueCount="279">
  <si>
    <t>Step No.</t>
  </si>
  <si>
    <t>Input Schematic No.</t>
  </si>
  <si>
    <t>Output Schematic No.</t>
  </si>
  <si>
    <t>Input Material Name</t>
  </si>
  <si>
    <t>Material Category</t>
  </si>
  <si>
    <t>Output Material Name</t>
  </si>
  <si>
    <t>Molar Equivalence</t>
  </si>
  <si>
    <t>Concentration</t>
  </si>
  <si>
    <t>Input Mass (g)</t>
  </si>
  <si>
    <t>Input Volume (ml)</t>
  </si>
  <si>
    <t>Input mol</t>
  </si>
  <si>
    <t>Output Mass (g)</t>
  </si>
  <si>
    <t>Output mol</t>
  </si>
  <si>
    <t>Unit</t>
  </si>
  <si>
    <t>Yield</t>
  </si>
  <si>
    <t>Ethyl glyoxylate</t>
  </si>
  <si>
    <t>500 g</t>
  </si>
  <si>
    <r>
      <t>C</t>
    </r>
    <r>
      <rPr>
        <vertAlign val="subscript"/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2"/>
        <color theme="1"/>
        <rFont val="Calibri"/>
        <family val="2"/>
        <scheme val="minor"/>
      </rPr>
      <t>8</t>
    </r>
  </si>
  <si>
    <t>Solvent</t>
  </si>
  <si>
    <t>Water</t>
  </si>
  <si>
    <r>
      <t>H</t>
    </r>
    <r>
      <rPr>
        <vertAlign val="subscript"/>
        <sz val="12"/>
        <color rgb="FF0070C0"/>
        <rFont val="Calibri"/>
        <family val="2"/>
        <scheme val="minor"/>
      </rPr>
      <t>2</t>
    </r>
    <r>
      <rPr>
        <sz val="12"/>
        <color rgb="FF0070C0"/>
        <rFont val="Calibri"/>
        <family val="2"/>
        <scheme val="minor"/>
      </rPr>
      <t>O</t>
    </r>
  </si>
  <si>
    <r>
      <t>C</t>
    </r>
    <r>
      <rPr>
        <vertAlign val="subscript"/>
        <sz val="12"/>
        <color theme="1"/>
        <rFont val="Calibri"/>
        <family val="2"/>
        <scheme val="minor"/>
      </rPr>
      <t>4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O</t>
    </r>
  </si>
  <si>
    <t>Reagent</t>
  </si>
  <si>
    <t>5 g</t>
  </si>
  <si>
    <t>368199-5G</t>
  </si>
  <si>
    <t>Sodium Chloride</t>
  </si>
  <si>
    <t xml:space="preserve">NaCl </t>
  </si>
  <si>
    <r>
      <t>CH</t>
    </r>
    <r>
      <rPr>
        <vertAlign val="subscript"/>
        <sz val="12"/>
        <color theme="1"/>
        <rFont val="Calibri"/>
        <family val="2"/>
        <scheme val="minor"/>
      </rPr>
      <t>4</t>
    </r>
    <r>
      <rPr>
        <sz val="12"/>
        <color theme="1"/>
        <rFont val="Calibri"/>
        <family val="2"/>
        <scheme val="minor"/>
      </rPr>
      <t>O</t>
    </r>
  </si>
  <si>
    <t>20 L</t>
  </si>
  <si>
    <t>6 L</t>
  </si>
  <si>
    <t>Sodium bicarbonate</t>
  </si>
  <si>
    <r>
      <t>NaHCO</t>
    </r>
    <r>
      <rPr>
        <vertAlign val="subscript"/>
        <sz val="12"/>
        <color theme="1"/>
        <rFont val="Calibri"/>
        <family val="2"/>
        <scheme val="minor"/>
      </rPr>
      <t>3</t>
    </r>
  </si>
  <si>
    <t>50 kg</t>
  </si>
  <si>
    <t>S6014-50KG</t>
  </si>
  <si>
    <t>Intermediate (external)</t>
  </si>
  <si>
    <t>Acetic acid</t>
  </si>
  <si>
    <r>
      <t>C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2"/>
        <color theme="1"/>
        <rFont val="Calibri"/>
        <family val="2"/>
        <scheme val="minor"/>
      </rPr>
      <t>4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2"/>
        <color theme="1"/>
        <rFont val="Calibri"/>
        <family val="2"/>
        <scheme val="minor"/>
      </rPr>
      <t>2</t>
    </r>
  </si>
  <si>
    <r>
      <t>(2</t>
    </r>
    <r>
      <rPr>
        <i/>
        <sz val="12"/>
        <color rgb="FF000000"/>
        <rFont val="Calibri"/>
        <family val="2"/>
        <scheme val="minor"/>
      </rPr>
      <t>R</t>
    </r>
    <r>
      <rPr>
        <sz val="12"/>
        <color rgb="FF000000"/>
        <rFont val="Calibri"/>
        <family val="2"/>
        <scheme val="minor"/>
      </rPr>
      <t>,3</t>
    </r>
    <r>
      <rPr>
        <i/>
        <sz val="12"/>
        <color rgb="FF000000"/>
        <rFont val="Calibri"/>
        <family val="2"/>
        <scheme val="minor"/>
      </rPr>
      <t>S</t>
    </r>
    <r>
      <rPr>
        <sz val="12"/>
        <color rgb="FF000000"/>
        <rFont val="Calibri"/>
        <family val="2"/>
        <scheme val="minor"/>
      </rPr>
      <t>)-3-Dimethoxymethyl-5-benzyloxy-1,2-pentanediol</t>
    </r>
  </si>
  <si>
    <t>2-Propanol</t>
  </si>
  <si>
    <r>
      <t xml:space="preserve"> H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SO</t>
    </r>
    <r>
      <rPr>
        <vertAlign val="subscript"/>
        <sz val="12"/>
        <color theme="1"/>
        <rFont val="Calibri"/>
        <family val="2"/>
        <scheme val="minor"/>
      </rPr>
      <t>4</t>
    </r>
  </si>
  <si>
    <t>Pd/C</t>
  </si>
  <si>
    <t>Catalyst</t>
  </si>
  <si>
    <t>10 wt%</t>
  </si>
  <si>
    <t>Hydrogen</t>
  </si>
  <si>
    <r>
      <t>CH</t>
    </r>
    <r>
      <rPr>
        <vertAlign val="subscript"/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ONa/CH</t>
    </r>
    <r>
      <rPr>
        <vertAlign val="subscript"/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OH</t>
    </r>
  </si>
  <si>
    <t>Mn=400</t>
  </si>
  <si>
    <t>(3R,3aS,6aR)-Hexahydrofuro[2,3-b]furan-3-ol</t>
  </si>
  <si>
    <r>
      <t>C</t>
    </r>
    <r>
      <rPr>
        <vertAlign val="subscript"/>
        <sz val="12"/>
        <color theme="5" tint="-0.249977111117893"/>
        <rFont val="Calibri"/>
        <family val="2"/>
        <scheme val="minor"/>
      </rPr>
      <t>17</t>
    </r>
    <r>
      <rPr>
        <sz val="12"/>
        <color theme="5" tint="-0.249977111117893"/>
        <rFont val="Calibri"/>
        <family val="2"/>
        <scheme val="minor"/>
      </rPr>
      <t>H</t>
    </r>
    <r>
      <rPr>
        <vertAlign val="subscript"/>
        <sz val="12"/>
        <color theme="5" tint="-0.249977111117893"/>
        <rFont val="Calibri"/>
        <family val="2"/>
        <scheme val="minor"/>
      </rPr>
      <t>19</t>
    </r>
    <r>
      <rPr>
        <sz val="12"/>
        <color theme="5" tint="-0.249977111117893"/>
        <rFont val="Calibri"/>
        <family val="2"/>
        <scheme val="minor"/>
      </rPr>
      <t xml:space="preserve">NO </t>
    </r>
  </si>
  <si>
    <r>
      <t>C</t>
    </r>
    <r>
      <rPr>
        <vertAlign val="subscript"/>
        <sz val="12"/>
        <color rgb="FF000000"/>
        <rFont val="Calibri"/>
        <family val="2"/>
        <scheme val="minor"/>
      </rPr>
      <t>11</t>
    </r>
    <r>
      <rPr>
        <sz val="12"/>
        <color rgb="FF000000"/>
        <rFont val="Calibri"/>
        <family val="2"/>
        <scheme val="minor"/>
      </rPr>
      <t>H</t>
    </r>
    <r>
      <rPr>
        <vertAlign val="subscript"/>
        <sz val="12"/>
        <color rgb="FF000000"/>
        <rFont val="Calibri"/>
        <family val="2"/>
        <scheme val="minor"/>
      </rPr>
      <t>14</t>
    </r>
    <r>
      <rPr>
        <sz val="12"/>
        <color rgb="FF000000"/>
        <rFont val="Calibri"/>
        <family val="2"/>
        <scheme val="minor"/>
      </rPr>
      <t>O</t>
    </r>
    <r>
      <rPr>
        <vertAlign val="subscript"/>
        <sz val="12"/>
        <color rgb="FF000000"/>
        <rFont val="Calibri"/>
        <family val="2"/>
        <scheme val="minor"/>
      </rPr>
      <t>2</t>
    </r>
  </si>
  <si>
    <r>
      <t>C</t>
    </r>
    <r>
      <rPr>
        <vertAlign val="subscript"/>
        <sz val="12"/>
        <color theme="1"/>
        <rFont val="Calibri"/>
        <family val="2"/>
        <scheme val="minor"/>
      </rPr>
      <t>4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2"/>
        <color theme="1"/>
        <rFont val="Calibri"/>
        <family val="2"/>
        <scheme val="minor"/>
      </rPr>
      <t>6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2"/>
        <color theme="1"/>
        <rFont val="Calibri"/>
        <family val="2"/>
        <scheme val="minor"/>
      </rPr>
      <t>3</t>
    </r>
  </si>
  <si>
    <t>64-19-7</t>
  </si>
  <si>
    <t>1,4-Butanediol</t>
  </si>
  <si>
    <t>493732-18L</t>
  </si>
  <si>
    <t>18 L</t>
  </si>
  <si>
    <t>110-63-4</t>
  </si>
  <si>
    <t>Sodium Hypochlorite</t>
  </si>
  <si>
    <t>NaOCl</t>
  </si>
  <si>
    <r>
      <t>C</t>
    </r>
    <r>
      <rPr>
        <vertAlign val="subscript"/>
        <sz val="12"/>
        <color theme="1"/>
        <rFont val="Calibri"/>
        <family val="2"/>
        <scheme val="minor"/>
      </rPr>
      <t>11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2"/>
        <color theme="1"/>
        <rFont val="Calibri"/>
        <family val="2"/>
        <scheme val="minor"/>
      </rPr>
      <t>16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2"/>
        <color theme="1"/>
        <rFont val="Calibri"/>
        <family val="2"/>
        <scheme val="minor"/>
      </rPr>
      <t>2</t>
    </r>
  </si>
  <si>
    <t>7681-52-9</t>
  </si>
  <si>
    <t xml:space="preserve">2564-83-2 </t>
  </si>
  <si>
    <t>Input Mass (kg)</t>
  </si>
  <si>
    <t>7732-18-5</t>
  </si>
  <si>
    <t>924-44-7</t>
  </si>
  <si>
    <t>108-88-3</t>
  </si>
  <si>
    <t>112068-01-6</t>
  </si>
  <si>
    <t>109-99-9</t>
  </si>
  <si>
    <t>7647-14-5</t>
  </si>
  <si>
    <t>67-56-1</t>
  </si>
  <si>
    <t>149-73-5</t>
  </si>
  <si>
    <t>6192-52-5</t>
  </si>
  <si>
    <t>144-55-8</t>
  </si>
  <si>
    <r>
      <t xml:space="preserve"> Ethyl (2</t>
    </r>
    <r>
      <rPr>
        <i/>
        <sz val="12"/>
        <color theme="1"/>
        <rFont val="Calibri"/>
        <family val="2"/>
        <scheme val="minor"/>
      </rPr>
      <t>R</t>
    </r>
    <r>
      <rPr>
        <sz val="12"/>
        <color theme="1"/>
        <rFont val="Calibri"/>
        <family val="2"/>
        <scheme val="minor"/>
      </rPr>
      <t>,3</t>
    </r>
    <r>
      <rPr>
        <i/>
        <sz val="12"/>
        <color theme="1"/>
        <rFont val="Calibri"/>
        <family val="2"/>
        <scheme val="minor"/>
      </rPr>
      <t>S</t>
    </r>
    <r>
      <rPr>
        <sz val="12"/>
        <color theme="1"/>
        <rFont val="Calibri"/>
        <family val="2"/>
        <scheme val="minor"/>
      </rPr>
      <t>)-2-Hydroxy-3-dimethoxy-methyl-5-benzyloxypentanoate</t>
    </r>
  </si>
  <si>
    <t>16940-66-2</t>
  </si>
  <si>
    <r>
      <t>C</t>
    </r>
    <r>
      <rPr>
        <vertAlign val="subscript"/>
        <sz val="12"/>
        <color theme="1"/>
        <rFont val="Calibri"/>
        <family val="2"/>
        <scheme val="minor"/>
      </rPr>
      <t>15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2"/>
        <color theme="1"/>
        <rFont val="Calibri"/>
        <family val="2"/>
        <scheme val="minor"/>
      </rPr>
      <t>24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2"/>
        <color theme="1"/>
        <rFont val="Calibri"/>
        <family val="2"/>
        <scheme val="minor"/>
      </rPr>
      <t>5</t>
    </r>
  </si>
  <si>
    <t>67-63-0</t>
  </si>
  <si>
    <t>7664-93-9</t>
  </si>
  <si>
    <r>
      <t>H</t>
    </r>
    <r>
      <rPr>
        <vertAlign val="subscript"/>
        <sz val="12"/>
        <color theme="1"/>
        <rFont val="Calibri"/>
        <family val="2"/>
        <scheme val="minor"/>
      </rPr>
      <t>2</t>
    </r>
  </si>
  <si>
    <t>1333-74-0</t>
  </si>
  <si>
    <t>124-41-4</t>
  </si>
  <si>
    <r>
      <t>C</t>
    </r>
    <r>
      <rPr>
        <vertAlign val="subscript"/>
        <sz val="12"/>
        <color rgb="FF000000"/>
        <rFont val="Calibri"/>
        <family val="2"/>
        <scheme val="minor"/>
      </rPr>
      <t>6</t>
    </r>
    <r>
      <rPr>
        <sz val="12"/>
        <color rgb="FF000000"/>
        <rFont val="Calibri"/>
        <family val="2"/>
        <scheme val="minor"/>
      </rPr>
      <t>H</t>
    </r>
    <r>
      <rPr>
        <vertAlign val="subscript"/>
        <sz val="12"/>
        <color rgb="FF000000"/>
        <rFont val="Calibri"/>
        <family val="2"/>
        <scheme val="minor"/>
      </rPr>
      <t>10</t>
    </r>
    <r>
      <rPr>
        <sz val="12"/>
        <color rgb="FF000000"/>
        <rFont val="Calibri"/>
        <family val="2"/>
        <scheme val="minor"/>
      </rPr>
      <t>O</t>
    </r>
    <r>
      <rPr>
        <vertAlign val="subscript"/>
        <sz val="12"/>
        <color rgb="FF000000"/>
        <rFont val="Calibri"/>
        <family val="2"/>
        <scheme val="minor"/>
      </rPr>
      <t>3</t>
    </r>
  </si>
  <si>
    <t>25322-68-3</t>
  </si>
  <si>
    <r>
      <t>H(OCH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CH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)</t>
    </r>
    <r>
      <rPr>
        <vertAlign val="subscript"/>
        <sz val="12"/>
        <color theme="1"/>
        <rFont val="Calibri"/>
        <family val="2"/>
        <scheme val="minor"/>
      </rPr>
      <t>n</t>
    </r>
    <r>
      <rPr>
        <sz val="12"/>
        <color theme="1"/>
        <rFont val="Calibri"/>
        <family val="2"/>
        <scheme val="minor"/>
      </rPr>
      <t>OH</t>
    </r>
  </si>
  <si>
    <t>Output Mass (kg)</t>
  </si>
  <si>
    <t>Step No. </t>
  </si>
  <si>
    <t>Process Complexity</t>
  </si>
  <si>
    <t>Total</t>
  </si>
  <si>
    <t>Intermediate (external)/step raw material</t>
  </si>
  <si>
    <t>sEF</t>
  </si>
  <si>
    <t>cEF</t>
  </si>
  <si>
    <t>E-factor</t>
  </si>
  <si>
    <t>Complexity =      Construction steps</t>
  </si>
  <si>
    <t>Sodium Bromide</t>
  </si>
  <si>
    <t>NaBr</t>
  </si>
  <si>
    <t>108-21-4</t>
  </si>
  <si>
    <r>
      <t>C</t>
    </r>
    <r>
      <rPr>
        <vertAlign val="subscript"/>
        <sz val="12"/>
        <color theme="1"/>
        <rFont val="Calibri"/>
        <family val="2"/>
        <scheme val="minor"/>
      </rPr>
      <t>5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2"/>
        <color theme="1"/>
        <rFont val="Calibri"/>
        <family val="2"/>
        <scheme val="minor"/>
      </rPr>
      <t>10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2"/>
        <color theme="1"/>
        <rFont val="Calibri"/>
        <family val="2"/>
        <scheme val="minor"/>
      </rPr>
      <t>2</t>
    </r>
  </si>
  <si>
    <t>1 mol%</t>
  </si>
  <si>
    <t>10 mol %</t>
  </si>
  <si>
    <t>0,9 M</t>
  </si>
  <si>
    <r>
      <t>C</t>
    </r>
    <r>
      <rPr>
        <vertAlign val="subscript"/>
        <sz val="12"/>
        <color theme="1"/>
        <rFont val="Calibri"/>
        <family val="2"/>
        <scheme val="minor"/>
      </rPr>
      <t>11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2"/>
        <color theme="1"/>
        <rFont val="Calibri"/>
        <family val="2"/>
        <scheme val="minor"/>
      </rPr>
      <t>14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2"/>
        <color theme="1"/>
        <rFont val="Calibri"/>
        <family val="2"/>
        <scheme val="minor"/>
      </rPr>
      <t>2</t>
    </r>
  </si>
  <si>
    <t>Sodium Bicarbonate</t>
  </si>
  <si>
    <t>5 mol%</t>
  </si>
  <si>
    <t>Isopropyl Acetate (iPrOAc)</t>
  </si>
  <si>
    <t>4-Benzyloxy-1-butanol</t>
  </si>
  <si>
    <t>4-Benzyloxy-1-butanal</t>
  </si>
  <si>
    <t>Advanced Starting Material</t>
  </si>
  <si>
    <t>310506-500G</t>
  </si>
  <si>
    <t>7647-15-6</t>
  </si>
  <si>
    <t>425044-18L</t>
  </si>
  <si>
    <t>16 L</t>
  </si>
  <si>
    <t>537562-4X4L</t>
  </si>
  <si>
    <t>25 g</t>
  </si>
  <si>
    <t>214000-25G</t>
  </si>
  <si>
    <t>-</t>
  </si>
  <si>
    <t>Potassium Hydroxide</t>
  </si>
  <si>
    <t>KOH</t>
  </si>
  <si>
    <t>NaCl</t>
  </si>
  <si>
    <r>
      <t>H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O</t>
    </r>
  </si>
  <si>
    <t>Water in Brine</t>
  </si>
  <si>
    <t>26 mass%</t>
  </si>
  <si>
    <t>74 mass%</t>
  </si>
  <si>
    <t>1 kg</t>
  </si>
  <si>
    <t>1310-58-3</t>
  </si>
  <si>
    <r>
      <t>C</t>
    </r>
    <r>
      <rPr>
        <vertAlign val="subscript"/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Cl</t>
    </r>
  </si>
  <si>
    <t>4 kg</t>
  </si>
  <si>
    <t>185558-4KG</t>
  </si>
  <si>
    <t>100-44-7</t>
  </si>
  <si>
    <t>Tetramethyl piperidinyloxyl (TEMPO)</t>
  </si>
  <si>
    <r>
      <t>C</t>
    </r>
    <r>
      <rPr>
        <vertAlign val="subscript"/>
        <sz val="12"/>
        <color theme="1"/>
        <rFont val="Calibri"/>
        <family val="2"/>
        <scheme val="minor"/>
      </rPr>
      <t>4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2"/>
        <color theme="1"/>
        <rFont val="Calibri"/>
        <family val="2"/>
        <scheme val="minor"/>
      </rPr>
      <t>10</t>
    </r>
    <r>
      <rPr>
        <sz val="12"/>
        <color theme="1"/>
        <rFont val="Calibri"/>
        <family val="2"/>
        <scheme val="minor"/>
      </rPr>
      <t>O</t>
    </r>
  </si>
  <si>
    <t>60-29-7</t>
  </si>
  <si>
    <t xml:space="preserve">3 mol% </t>
  </si>
  <si>
    <r>
      <t>C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2"/>
        <color theme="1"/>
        <rFont val="Calibri"/>
        <family val="2"/>
        <scheme val="minor"/>
      </rPr>
      <t>3</t>
    </r>
  </si>
  <si>
    <t>298-12-4</t>
  </si>
  <si>
    <t>260150-1KG-A</t>
  </si>
  <si>
    <t>~ 50 wt% in Toluene</t>
  </si>
  <si>
    <t>~ 50 wt% in Water</t>
  </si>
  <si>
    <t>Total $</t>
  </si>
  <si>
    <r>
      <t xml:space="preserve"> Unpurified (3</t>
    </r>
    <r>
      <rPr>
        <i/>
        <sz val="12"/>
        <color theme="1"/>
        <rFont val="Calibri"/>
        <family val="2"/>
        <scheme val="minor"/>
      </rPr>
      <t>R</t>
    </r>
    <r>
      <rPr>
        <sz val="12"/>
        <color theme="1"/>
        <rFont val="Calibri"/>
        <family val="2"/>
        <scheme val="minor"/>
      </rPr>
      <t>,3</t>
    </r>
    <r>
      <rPr>
        <i/>
        <sz val="12"/>
        <color theme="1"/>
        <rFont val="Calibri"/>
        <family val="2"/>
        <scheme val="minor"/>
      </rPr>
      <t>aS</t>
    </r>
    <r>
      <rPr>
        <sz val="12"/>
        <color theme="1"/>
        <rFont val="Calibri"/>
        <family val="2"/>
        <scheme val="minor"/>
      </rPr>
      <t>,6</t>
    </r>
    <r>
      <rPr>
        <i/>
        <sz val="12"/>
        <color theme="1"/>
        <rFont val="Calibri"/>
        <family val="2"/>
        <scheme val="minor"/>
      </rPr>
      <t>aR</t>
    </r>
    <r>
      <rPr>
        <sz val="12"/>
        <color theme="1"/>
        <rFont val="Calibri"/>
        <family val="2"/>
        <scheme val="minor"/>
      </rPr>
      <t>)-Hexahydrofuro[2,3-</t>
    </r>
    <r>
      <rPr>
        <i/>
        <sz val="12"/>
        <color theme="1"/>
        <rFont val="Calibri"/>
        <family val="2"/>
        <scheme val="minor"/>
      </rPr>
      <t>b</t>
    </r>
    <r>
      <rPr>
        <sz val="12"/>
        <color theme="1"/>
        <rFont val="Calibri"/>
        <family val="2"/>
        <scheme val="minor"/>
      </rPr>
      <t>]furan-3-ol</t>
    </r>
  </si>
  <si>
    <t>Unpurified bis-THF alcohol</t>
  </si>
  <si>
    <t>72 - 197</t>
  </si>
  <si>
    <t>4.93</t>
  </si>
  <si>
    <t>0.0012 - 0.0013</t>
  </si>
  <si>
    <r>
      <t>C</t>
    </r>
    <r>
      <rPr>
        <vertAlign val="subscript"/>
        <sz val="12"/>
        <color theme="1"/>
        <rFont val="Calibri"/>
        <family val="2"/>
        <scheme val="minor"/>
      </rPr>
      <t>4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2"/>
        <color theme="1"/>
        <rFont val="Calibri"/>
        <family val="2"/>
        <scheme val="minor"/>
      </rPr>
      <t>10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2"/>
        <color theme="1"/>
        <rFont val="Calibri"/>
        <family val="2"/>
        <scheme val="minor"/>
      </rPr>
      <t>3</t>
    </r>
  </si>
  <si>
    <r>
      <t>C</t>
    </r>
    <r>
      <rPr>
        <vertAlign val="subscript"/>
        <sz val="12"/>
        <color theme="1"/>
        <rFont val="Calibri"/>
        <family val="2"/>
        <scheme val="minor"/>
      </rPr>
      <t>17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2"/>
        <color theme="1"/>
        <rFont val="Calibri"/>
        <family val="2"/>
        <scheme val="minor"/>
      </rPr>
      <t>26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2"/>
        <color theme="1"/>
        <rFont val="Calibri"/>
        <family val="2"/>
        <scheme val="minor"/>
      </rPr>
      <t>6</t>
    </r>
  </si>
  <si>
    <t xml:space="preserve">Sodium Borohydride </t>
  </si>
  <si>
    <t>≥ 99,00%</t>
  </si>
  <si>
    <t>≥ 99,99%</t>
  </si>
  <si>
    <t>≥ 99,80%</t>
  </si>
  <si>
    <r>
      <t xml:space="preserve"> C</t>
    </r>
    <r>
      <rPr>
        <vertAlign val="subscript"/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>O</t>
    </r>
  </si>
  <si>
    <t>Sulphuric acid</t>
  </si>
  <si>
    <t>Palladium on Carbon</t>
  </si>
  <si>
    <t>Step No.:</t>
  </si>
  <si>
    <t xml:space="preserve"> Pressure (atm)</t>
  </si>
  <si>
    <t>Temperature (℃)</t>
  </si>
  <si>
    <t>Reaction Time (hr)</t>
  </si>
  <si>
    <t>CAS No.</t>
  </si>
  <si>
    <t>Sigma-Aldrich Catalogue No.</t>
  </si>
  <si>
    <t>Condensed Chemical Formula</t>
  </si>
  <si>
    <t>Molecular Weight (g/mol)</t>
  </si>
  <si>
    <t>Density (g/ml)</t>
  </si>
  <si>
    <r>
      <t xml:space="preserve">Table 1A: Chemical material quantities, cost and operating conditions per synthesis step to produce bis-THF alcohol as per experimental procedure (Hayashi et al., 2016)- </t>
    </r>
    <r>
      <rPr>
        <b/>
        <sz val="12"/>
        <color rgb="FFFF0000"/>
        <rFont val="Calibri (Body)_x0000_"/>
      </rPr>
      <t>Masses between synthesis steps do not balance</t>
    </r>
  </si>
  <si>
    <r>
      <t xml:space="preserve">Table 2A: Chemical material quantities, cost and operating conditions per synthesis step to produce 56,22g of bis-THF alcohol - </t>
    </r>
    <r>
      <rPr>
        <b/>
        <sz val="12"/>
        <color rgb="FFFF0000"/>
        <rFont val="Calibri (Body)_x0000_"/>
      </rPr>
      <t>Masses between synthesis steps balance</t>
    </r>
  </si>
  <si>
    <r>
      <t xml:space="preserve">Table 3A: Chemical material quantities, cost and operating conditions per synthesis step to produce 1kg of bis-THF alcohol - </t>
    </r>
    <r>
      <rPr>
        <b/>
        <sz val="12"/>
        <color rgb="FFFF0000"/>
        <rFont val="Calibri (Body)_x0000_"/>
      </rPr>
      <t>Masses between synthesis steps balance</t>
    </r>
  </si>
  <si>
    <t>Cost of Material ($)</t>
  </si>
  <si>
    <t xml:space="preserve">0 - 35 </t>
  </si>
  <si>
    <t>Table 5A: Simple, complete and traditional E-Factor calculations for route A synthesis to 1kg bis-THF alcohol</t>
  </si>
  <si>
    <r>
      <t xml:space="preserve"> </t>
    </r>
    <r>
      <rPr>
        <sz val="11"/>
        <color theme="5" tint="-0.249977111117893"/>
        <rFont val="Calibri"/>
        <family val="2"/>
        <scheme val="minor"/>
      </rPr>
      <t>C</t>
    </r>
    <r>
      <rPr>
        <vertAlign val="subscript"/>
        <sz val="10"/>
        <color theme="5" tint="-0.249977111117893"/>
        <rFont val="Calibri"/>
        <family val="2"/>
        <scheme val="minor"/>
      </rPr>
      <t>9</t>
    </r>
    <r>
      <rPr>
        <sz val="11"/>
        <color theme="5" tint="-0.249977111117893"/>
        <rFont val="Calibri"/>
        <family val="2"/>
        <scheme val="minor"/>
      </rPr>
      <t>H</t>
    </r>
    <r>
      <rPr>
        <vertAlign val="subscript"/>
        <sz val="10"/>
        <color theme="5" tint="-0.249977111117893"/>
        <rFont val="Calibri"/>
        <family val="2"/>
        <scheme val="minor"/>
      </rPr>
      <t>18</t>
    </r>
    <r>
      <rPr>
        <sz val="11"/>
        <color theme="5" tint="-0.249977111117893"/>
        <rFont val="Calibri"/>
        <family val="2"/>
        <scheme val="minor"/>
      </rPr>
      <t>NO</t>
    </r>
  </si>
  <si>
    <t>Tetrahydrofuran (THF)</t>
  </si>
  <si>
    <r>
      <t>Diethyl ether (Et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O)</t>
    </r>
  </si>
  <si>
    <t>Benzyl Chloride (BnCl)</t>
  </si>
  <si>
    <t>(S)-Diphenylprolinol (D2PM)</t>
  </si>
  <si>
    <t>Cost per mol ($/mol)</t>
  </si>
  <si>
    <r>
      <t xml:space="preserve">Sigma-Aldrich Catalogue Price ($/unit) - </t>
    </r>
    <r>
      <rPr>
        <b/>
        <sz val="12"/>
        <color theme="1"/>
        <rFont val="Calibri (Body)_x0000_"/>
      </rPr>
      <t>February 2019</t>
    </r>
  </si>
  <si>
    <t>320072-4X4L</t>
  </si>
  <si>
    <t>S9888-50KG</t>
  </si>
  <si>
    <t>10 L</t>
  </si>
  <si>
    <t>179337-4X2.5L</t>
  </si>
  <si>
    <t xml:space="preserve">10845-20L </t>
  </si>
  <si>
    <t>Glyoxilic acid</t>
  </si>
  <si>
    <t>Sodium chloride</t>
  </si>
  <si>
    <t xml:space="preserve">Sodium methoxide solution </t>
  </si>
  <si>
    <t>Intermediate (internal)</t>
  </si>
  <si>
    <t>56 L</t>
  </si>
  <si>
    <t>258105-56L</t>
  </si>
  <si>
    <t>eCl@ss 38191001</t>
  </si>
  <si>
    <t>295396-56L</t>
  </si>
  <si>
    <t>156256-18L</t>
  </si>
  <si>
    <t>28% in Methanol</t>
  </si>
  <si>
    <r>
      <t xml:space="preserve">Table </t>
    </r>
    <r>
      <rPr>
        <b/>
        <sz val="12"/>
        <color theme="1"/>
        <rFont val="Calibri (Body)_x0000_"/>
      </rPr>
      <t xml:space="preserve">4A: </t>
    </r>
    <r>
      <rPr>
        <b/>
        <sz val="12"/>
        <color theme="1"/>
        <rFont val="Calibri"/>
        <family val="2"/>
        <scheme val="minor"/>
      </rPr>
      <t>Summation of chemical material categories per synthesis step for the production of 1kg bis-THF alcohol</t>
    </r>
  </si>
  <si>
    <t>5 kg</t>
  </si>
  <si>
    <t>06103-5KG</t>
  </si>
  <si>
    <t>346136-6X1L</t>
  </si>
  <si>
    <r>
      <t>Table 9A: Chemical material quantities, cost and operating conditions per synthesis step to produce 3,81g of 4-benzyloxy-1-butanal</t>
    </r>
    <r>
      <rPr>
        <b/>
        <sz val="12"/>
        <color rgb="FFFF0000"/>
        <rFont val="Calibri"/>
        <family val="2"/>
        <scheme val="minor"/>
      </rPr>
      <t xml:space="preserve"> - </t>
    </r>
    <r>
      <rPr>
        <b/>
        <sz val="12"/>
        <color rgb="FFFF0000"/>
        <rFont val="Calibri (Body)_x0000_"/>
      </rPr>
      <t>Masses between synthesis steps balance</t>
    </r>
  </si>
  <si>
    <r>
      <t xml:space="preserve">Table 10A:  Chemical material quantities, cost and operating conditions per synthesis step to produce 1kg of 4-benzyloxy-1-butanal </t>
    </r>
    <r>
      <rPr>
        <b/>
        <sz val="12"/>
        <color rgb="FFFF0000"/>
        <rFont val="Calibri (Body)_x0000_"/>
      </rPr>
      <t>- Masses between synthesis steps balance</t>
    </r>
  </si>
  <si>
    <t>Table 11A: Summation of chemical materials per category per synthesis step for the production of 1kg 4-benzyloxy-1-butanal</t>
  </si>
  <si>
    <r>
      <rPr>
        <b/>
        <sz val="12"/>
        <color theme="1"/>
        <rFont val="Calibri (Body)_x0000_"/>
      </rPr>
      <t>Table 14A:</t>
    </r>
    <r>
      <rPr>
        <b/>
        <sz val="12"/>
        <color theme="1"/>
        <rFont val="Calibri"/>
        <family val="2"/>
        <scheme val="minor"/>
      </rPr>
      <t xml:space="preserve"> Conversion from Intrinsic E-Factor to E-factor contributions to 4-benzyloxy-1-butanal aldehyde (1a)</t>
    </r>
  </si>
  <si>
    <t>Target molecule</t>
  </si>
  <si>
    <r>
      <t>Table 16</t>
    </r>
    <r>
      <rPr>
        <b/>
        <sz val="12"/>
        <color theme="1"/>
        <rFont val="Calibri (Body)_x0000_"/>
      </rPr>
      <t>A:</t>
    </r>
    <r>
      <rPr>
        <b/>
        <sz val="12"/>
        <color theme="1"/>
        <rFont val="Calibri"/>
        <family val="2"/>
        <scheme val="minor"/>
      </rPr>
      <t xml:space="preserve"> Summary of E-factor values calculated for main route A (starting from compound 1a)</t>
    </r>
  </si>
  <si>
    <t xml:space="preserve">Table 17A: Summary of E-factor values calculated for advanced starting material route A </t>
  </si>
  <si>
    <r>
      <rPr>
        <b/>
        <sz val="12"/>
        <color theme="1"/>
        <rFont val="Calibri (Body)_x0000_"/>
      </rPr>
      <t>Table 18A:</t>
    </r>
    <r>
      <rPr>
        <b/>
        <sz val="12"/>
        <color rgb="FF00B050"/>
        <rFont val="Calibri"/>
        <family val="2"/>
        <scheme val="minor"/>
      </rPr>
      <t xml:space="preserve"> Green Score card input data</t>
    </r>
  </si>
  <si>
    <r>
      <t>C</t>
    </r>
    <r>
      <rPr>
        <vertAlign val="subscript"/>
        <sz val="12"/>
        <color theme="1"/>
        <rFont val="Calibri"/>
        <family val="2"/>
        <scheme val="minor"/>
      </rPr>
      <t>4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2"/>
        <color theme="1"/>
        <rFont val="Calibri"/>
        <family val="2"/>
        <scheme val="minor"/>
      </rPr>
      <t>10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2"/>
        <color theme="1"/>
        <rFont val="Calibri"/>
        <family val="2"/>
        <scheme val="minor"/>
      </rPr>
      <t>2</t>
    </r>
  </si>
  <si>
    <t>Target Molecule</t>
  </si>
  <si>
    <t>Fractional distillation at 80</t>
  </si>
  <si>
    <t>Toluene (PhMe)</t>
  </si>
  <si>
    <t>Methanol (MeOH)</t>
  </si>
  <si>
    <r>
      <t>NaBH</t>
    </r>
    <r>
      <rPr>
        <vertAlign val="subscript"/>
        <sz val="12"/>
        <color theme="1"/>
        <rFont val="Calibri"/>
        <family val="2"/>
        <scheme val="minor"/>
      </rPr>
      <t>4</t>
    </r>
  </si>
  <si>
    <r>
      <t>C</t>
    </r>
    <r>
      <rPr>
        <vertAlign val="subscript"/>
        <sz val="12"/>
        <color theme="1"/>
        <rFont val="Calibri"/>
        <family val="2"/>
        <scheme val="minor"/>
      </rPr>
      <t>15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2"/>
        <color theme="1"/>
        <rFont val="Calibri"/>
        <family val="2"/>
        <scheme val="minor"/>
      </rPr>
      <t>20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2"/>
        <color theme="1"/>
        <rFont val="Calibri"/>
        <family val="2"/>
        <scheme val="minor"/>
      </rPr>
      <t>5</t>
    </r>
  </si>
  <si>
    <t>Overall yield</t>
  </si>
  <si>
    <t>Polyethylene Glycol (PEG)</t>
  </si>
  <si>
    <t>Fractional distillation at 1</t>
  </si>
  <si>
    <t>2 g</t>
  </si>
  <si>
    <t>2g</t>
  </si>
  <si>
    <t>190764-18L-CS</t>
  </si>
  <si>
    <t>TX0735-20</t>
  </si>
  <si>
    <t>200 L</t>
  </si>
  <si>
    <t>40 kg</t>
  </si>
  <si>
    <t>1000 g</t>
  </si>
  <si>
    <t>TX0280-20</t>
  </si>
  <si>
    <t>211 kg</t>
  </si>
  <si>
    <t>AX0073-21</t>
  </si>
  <si>
    <t>Table 13A: Simple, complete and traditional E-Factor calculations for route A synthesis to 1kg 4-benzyloxy-1-butanal aldehyde</t>
  </si>
  <si>
    <t xml:space="preserve">Table 19A: Total amount of chemical materials per categories for route A step-by-step procedure and sub- synthesis </t>
  </si>
  <si>
    <t xml:space="preserve">sEF, cEF and E-Factor summary for route A sub and step-by-step synthesis		</t>
  </si>
  <si>
    <t>ROUTE A: Main synthesis step-by-step procedure</t>
  </si>
  <si>
    <t>ROUTE A: E-Factor main synthesis step-by-step procedure</t>
  </si>
  <si>
    <t>ROUTE A: Sub-synthesis advanced starting material (ASM)</t>
  </si>
  <si>
    <t>ROUTE A: E-Factor Sub-synthesis advanced starting material (ASM)</t>
  </si>
  <si>
    <t>ROUTE A: Cummulative E-Factor step-by-step procedure and sub-synthesis advanced starting material (ASM)</t>
  </si>
  <si>
    <t>Step-by-step route A E-Factors</t>
  </si>
  <si>
    <t xml:space="preserve">Table 7A: Total material mass per category for route A step-by-step procedure </t>
  </si>
  <si>
    <t xml:space="preserve">Table 15A: Total material mass per category for route A sub-synthesis </t>
  </si>
  <si>
    <r>
      <t xml:space="preserve">Table 8A: Chemical material quantities, cost and operating conditions per synthesis step to produce 4-benzyloxy-1-butanal as per constructed experimental procedure (Pandey et al., 2001) (Janssen et al., 2011) (Szczepankiewicz and Heathcock, 1997) - </t>
    </r>
    <r>
      <rPr>
        <b/>
        <sz val="12"/>
        <color rgb="FFFF0000"/>
        <rFont val="Calibri (Body)_x0000_"/>
      </rPr>
      <t>Masses between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sz val="12"/>
        <color rgb="FFFF0000"/>
        <rFont val="Calibri (Body)_x0000_"/>
      </rPr>
      <t>synthesis stepd do not balance</t>
    </r>
  </si>
  <si>
    <t>Mass accumulated (kg)</t>
  </si>
  <si>
    <t>Step product (kg)</t>
  </si>
  <si>
    <t>Material category</t>
  </si>
  <si>
    <r>
      <t>Table 6A</t>
    </r>
    <r>
      <rPr>
        <b/>
        <sz val="12"/>
        <color theme="1"/>
        <rFont val="Calibri (Body)_x0000_"/>
      </rPr>
      <t>:</t>
    </r>
    <r>
      <rPr>
        <b/>
        <sz val="12"/>
        <color theme="1"/>
        <rFont val="Calibri"/>
        <family val="2"/>
        <scheme val="minor"/>
      </rPr>
      <t xml:space="preserve"> Summary of E-factor values calculated for step-by-step procedure route A (starting from compound 1a)</t>
    </r>
  </si>
  <si>
    <t>Step sE-factor (kg/kg)</t>
  </si>
  <si>
    <t>sE-Factor Contribution to Process (kg/kg)</t>
  </si>
  <si>
    <t>Step cE-Factor (kg/kg)</t>
  </si>
  <si>
    <t>cE-Factor Contribution to Process (kg/kg)</t>
  </si>
  <si>
    <t>E-Factor Contribution to Process (kg/kg)</t>
  </si>
  <si>
    <t>Process Mass Intensity (PMI) (kg/kg)</t>
  </si>
  <si>
    <t>Contribution to Route A step-by-step synthesis to bis-THF alcohol (kg/kg)</t>
  </si>
  <si>
    <t>Contribution to compound 1a sub-process (kg/kg)</t>
  </si>
  <si>
    <t>x Quantity required to produce 1kg of bis-THF alcohol (kg)</t>
  </si>
  <si>
    <t>sEF (kg/kg)</t>
  </si>
  <si>
    <t>cEF (kg/kg)</t>
  </si>
  <si>
    <t>E-factor (kg/kg)</t>
  </si>
  <si>
    <t>Solvents (kg)</t>
  </si>
  <si>
    <t>Reagents (kg)</t>
  </si>
  <si>
    <t>Water (kg)</t>
  </si>
  <si>
    <t>Product (kg)</t>
  </si>
  <si>
    <t>Step Product (kg)</t>
  </si>
  <si>
    <t>Trimethyl orthoformate (TMOF)</t>
  </si>
  <si>
    <t>solvents</t>
  </si>
  <si>
    <t>Advanced Starting Material/ Intermediates (external) (kg)</t>
  </si>
  <si>
    <t>Starting Material</t>
  </si>
  <si>
    <t>Starting Material/ Intermediate (external) (kg)</t>
  </si>
  <si>
    <t>Strating Material (kg)</t>
  </si>
  <si>
    <t>Starting Material (kg)</t>
  </si>
  <si>
    <t>Advanced Starting Material route A E-Factors</t>
  </si>
  <si>
    <t>New input moles</t>
  </si>
  <si>
    <r>
      <t xml:space="preserve">p-Toluenesulfonic acid monohydrate (PTSA </t>
    </r>
    <r>
      <rPr>
        <sz val="8"/>
        <color theme="5" tint="-0.249977111117893"/>
        <rFont val="Calibri"/>
        <family val="2"/>
        <scheme val="minor"/>
      </rPr>
      <t>·</t>
    </r>
    <r>
      <rPr>
        <sz val="10"/>
        <color theme="5" tint="-0.249977111117893"/>
        <rFont val="Calibri"/>
        <family val="2"/>
        <scheme val="minor"/>
      </rPr>
      <t xml:space="preserve"> </t>
    </r>
    <r>
      <rPr>
        <sz val="12"/>
        <color theme="5" tint="-0.249977111117893"/>
        <rFont val="Calibri"/>
        <family val="2"/>
        <scheme val="minor"/>
      </rPr>
      <t>H</t>
    </r>
    <r>
      <rPr>
        <vertAlign val="subscript"/>
        <sz val="12"/>
        <color theme="5" tint="-0.249977111117893"/>
        <rFont val="Calibri"/>
        <family val="2"/>
        <scheme val="minor"/>
      </rPr>
      <t>2</t>
    </r>
    <r>
      <rPr>
        <sz val="12"/>
        <color theme="5" tint="-0.249977111117893"/>
        <rFont val="Calibri"/>
        <family val="2"/>
        <scheme val="minor"/>
      </rPr>
      <t>O)</t>
    </r>
  </si>
  <si>
    <r>
      <t>C</t>
    </r>
    <r>
      <rPr>
        <vertAlign val="subscript"/>
        <sz val="12"/>
        <color theme="5" tint="-0.249977111117893"/>
        <rFont val="Calibri"/>
        <family val="2"/>
        <scheme val="minor"/>
      </rPr>
      <t>7</t>
    </r>
    <r>
      <rPr>
        <sz val="12"/>
        <color theme="5" tint="-0.249977111117893"/>
        <rFont val="Calibri"/>
        <family val="2"/>
        <scheme val="minor"/>
      </rPr>
      <t>H</t>
    </r>
    <r>
      <rPr>
        <vertAlign val="subscript"/>
        <sz val="12"/>
        <color theme="5" tint="-0.249977111117893"/>
        <rFont val="Calibri"/>
        <family val="2"/>
        <scheme val="minor"/>
      </rPr>
      <t>10</t>
    </r>
    <r>
      <rPr>
        <sz val="12"/>
        <color theme="5" tint="-0.249977111117893"/>
        <rFont val="Calibri"/>
        <family val="2"/>
        <scheme val="minor"/>
      </rPr>
      <t>O</t>
    </r>
    <r>
      <rPr>
        <vertAlign val="subscript"/>
        <sz val="12"/>
        <color theme="5" tint="-0.249977111117893"/>
        <rFont val="Calibri"/>
        <family val="2"/>
        <scheme val="minor"/>
      </rPr>
      <t>4</t>
    </r>
    <r>
      <rPr>
        <sz val="12"/>
        <color theme="5" tint="-0.249977111117893"/>
        <rFont val="Calibri"/>
        <family val="2"/>
        <scheme val="minor"/>
      </rPr>
      <t>S</t>
    </r>
    <r>
      <rPr>
        <sz val="8"/>
        <color theme="5" tint="-0.249977111117893"/>
        <rFont val="Calibri"/>
        <family val="2"/>
        <scheme val="minor"/>
      </rPr>
      <t xml:space="preserve"> ·</t>
    </r>
    <r>
      <rPr>
        <sz val="10"/>
        <color theme="5" tint="-0.249977111117893"/>
        <rFont val="Calibri"/>
        <family val="2"/>
        <scheme val="minor"/>
      </rPr>
      <t xml:space="preserve"> </t>
    </r>
    <r>
      <rPr>
        <sz val="12"/>
        <color theme="5" tint="-0.249977111117893"/>
        <rFont val="Calibri (Body)_x0000_"/>
      </rPr>
      <t>H</t>
    </r>
    <r>
      <rPr>
        <vertAlign val="subscript"/>
        <sz val="12"/>
        <color theme="5" tint="-0.249977111117893"/>
        <rFont val="Calibri (Body)_x0000_"/>
      </rPr>
      <t>2</t>
    </r>
    <r>
      <rPr>
        <sz val="12"/>
        <color theme="5" tint="-0.249977111117893"/>
        <rFont val="Calibri (Body)_x0000_"/>
      </rPr>
      <t>O</t>
    </r>
  </si>
  <si>
    <r>
      <t xml:space="preserve">Table 12A:  Chemical material quantities, cost and operating conditions per synthesis step to produce 1,80kg of 4-benzyloxy-1-butanal </t>
    </r>
    <r>
      <rPr>
        <b/>
        <sz val="12"/>
        <color rgb="FFFF0000"/>
        <rFont val="Calibri (Body)_x0000_"/>
      </rPr>
      <t>- Masses between synthesis steps balance</t>
    </r>
  </si>
  <si>
    <t>Solvents</t>
  </si>
  <si>
    <t>E-Factor</t>
  </si>
  <si>
    <t>sE-factor</t>
  </si>
  <si>
    <r>
      <t>1A</t>
    </r>
    <r>
      <rPr>
        <b/>
        <vertAlign val="superscript"/>
        <sz val="12"/>
        <color rgb="FF000000"/>
        <rFont val="Calibri"/>
        <family val="2"/>
      </rPr>
      <t>a</t>
    </r>
    <r>
      <rPr>
        <b/>
        <sz val="12"/>
        <color rgb="FF000000"/>
        <rFont val="Calibri"/>
        <family val="2"/>
      </rPr>
      <t>+1A</t>
    </r>
    <r>
      <rPr>
        <b/>
        <vertAlign val="superscript"/>
        <sz val="12"/>
        <color rgb="FF000000"/>
        <rFont val="Calibri"/>
        <family val="2"/>
      </rPr>
      <t>b</t>
    </r>
  </si>
  <si>
    <r>
      <t>1A</t>
    </r>
    <r>
      <rPr>
        <b/>
        <vertAlign val="superscript"/>
        <sz val="12"/>
        <color rgb="FF000000"/>
        <rFont val="Calibri"/>
        <family val="2"/>
        <scheme val="minor"/>
      </rPr>
      <t>a</t>
    </r>
    <r>
      <rPr>
        <b/>
        <sz val="12"/>
        <color rgb="FFFF0000"/>
        <rFont val="Calibri (Body)"/>
      </rPr>
      <t xml:space="preserve"> </t>
    </r>
  </si>
  <si>
    <r>
      <t>1A</t>
    </r>
    <r>
      <rPr>
        <b/>
        <vertAlign val="superscript"/>
        <sz val="12"/>
        <color rgb="FF000000"/>
        <rFont val="Calibri"/>
        <family val="2"/>
      </rPr>
      <t>b</t>
    </r>
    <r>
      <rPr>
        <b/>
        <sz val="12"/>
        <color rgb="FF000000"/>
        <rFont val="Calibri"/>
        <family val="2"/>
      </rPr>
      <t xml:space="preserve"> </t>
    </r>
  </si>
  <si>
    <t xml:space="preserve">2A </t>
  </si>
  <si>
    <t xml:space="preserve">3A </t>
  </si>
  <si>
    <t xml:space="preserve">(-)-1 </t>
  </si>
  <si>
    <t>(-)-1</t>
  </si>
  <si>
    <t xml:space="preserve">1a </t>
  </si>
  <si>
    <t xml:space="preserve">2a </t>
  </si>
  <si>
    <r>
      <t>1a</t>
    </r>
    <r>
      <rPr>
        <b/>
        <sz val="12"/>
        <color rgb="FFFF0000"/>
        <rFont val="Calibri (Body)"/>
      </rPr>
      <t xml:space="preserve"> </t>
    </r>
  </si>
  <si>
    <t>2a</t>
  </si>
  <si>
    <t>x 1.80 to make 1kg bis-THF alcohol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</si>
</sst>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"/>
    <numFmt numFmtId="166" formatCode="0.0"/>
  </numFmts>
  <fonts count="52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vertAlign val="subscript"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sz val="12"/>
      <color theme="5" tint="-0.249977111117893"/>
      <name val="Calibri"/>
      <family val="2"/>
      <scheme val="minor"/>
    </font>
    <font>
      <sz val="12"/>
      <color rgb="FF00B0F0"/>
      <name val="Calibri"/>
      <family val="2"/>
      <scheme val="minor"/>
    </font>
    <font>
      <sz val="12"/>
      <color rgb="FF0070C0"/>
      <name val="Calibri"/>
      <family val="2"/>
      <scheme val="minor"/>
    </font>
    <font>
      <vertAlign val="subscript"/>
      <sz val="12"/>
      <color rgb="FF0070C0"/>
      <name val="Calibri"/>
      <family val="2"/>
      <scheme val="minor"/>
    </font>
    <font>
      <sz val="12"/>
      <color rgb="FF000000"/>
      <name val="Arial"/>
      <family val="2"/>
    </font>
    <font>
      <sz val="12"/>
      <color theme="1"/>
      <name val="Calibri (Body)"/>
    </font>
    <font>
      <i/>
      <sz val="12"/>
      <color theme="1"/>
      <name val="Calibri"/>
      <family val="2"/>
      <scheme val="minor"/>
    </font>
    <font>
      <b/>
      <sz val="12"/>
      <color rgb="FF00B050"/>
      <name val="Calibri"/>
      <family val="2"/>
      <scheme val="minor"/>
    </font>
    <font>
      <sz val="12"/>
      <color rgb="FF00B050"/>
      <name val="Calibri"/>
      <family val="2"/>
      <scheme val="minor"/>
    </font>
    <font>
      <i/>
      <sz val="12"/>
      <color rgb="FF000000"/>
      <name val="Calibri"/>
      <family val="2"/>
      <scheme val="minor"/>
    </font>
    <font>
      <b/>
      <sz val="12"/>
      <color theme="5" tint="-0.249977111117893"/>
      <name val="Calibri"/>
      <family val="2"/>
      <scheme val="minor"/>
    </font>
    <font>
      <vertAlign val="subscript"/>
      <sz val="12"/>
      <color theme="5" tint="-0.249977111117893"/>
      <name val="Calibri"/>
      <family val="2"/>
      <scheme val="minor"/>
    </font>
    <font>
      <b/>
      <sz val="10"/>
      <color indexed="81"/>
      <name val="Calibri"/>
      <family val="2"/>
    </font>
    <font>
      <sz val="10"/>
      <color indexed="81"/>
      <name val="Calibri"/>
      <family val="2"/>
    </font>
    <font>
      <u/>
      <sz val="10"/>
      <color indexed="81"/>
      <name val="Calibri"/>
      <family val="2"/>
    </font>
    <font>
      <sz val="10"/>
      <color rgb="FF000000"/>
      <name val="Tahoma"/>
      <family val="2"/>
    </font>
    <font>
      <b/>
      <sz val="10"/>
      <color rgb="FF000000"/>
      <name val="Tahoma"/>
      <family val="2"/>
    </font>
    <font>
      <b/>
      <sz val="12"/>
      <color rgb="FFFF2F9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 (Body)_x0000_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b/>
      <sz val="12"/>
      <color rgb="FFFF0000"/>
      <name val="Calibri (Body)_x0000_"/>
    </font>
    <font>
      <b/>
      <sz val="12"/>
      <color rgb="FF0070C0"/>
      <name val="Calibri"/>
      <family val="2"/>
      <scheme val="minor"/>
    </font>
    <font>
      <b/>
      <sz val="12"/>
      <color rgb="FFFFC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20"/>
      <color theme="1"/>
      <name val="Calibri (Body)_x0000_"/>
    </font>
    <font>
      <b/>
      <sz val="12"/>
      <color theme="1"/>
      <name val="Calibri (Body)"/>
    </font>
    <font>
      <b/>
      <sz val="12"/>
      <color theme="1"/>
      <name val="Calibri (Body)_x0000_"/>
    </font>
    <font>
      <b/>
      <sz val="20"/>
      <color theme="1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vertAlign val="subscript"/>
      <sz val="10"/>
      <color theme="5" tint="-0.249977111117893"/>
      <name val="Calibri"/>
      <family val="2"/>
      <scheme val="minor"/>
    </font>
    <font>
      <sz val="12"/>
      <color theme="5" tint="-0.249977111117893"/>
      <name val="Calibri (Body)_x0000_"/>
    </font>
    <font>
      <b/>
      <vertAlign val="superscript"/>
      <sz val="12"/>
      <color rgb="FF000000"/>
      <name val="Calibri"/>
      <family val="2"/>
      <scheme val="minor"/>
    </font>
    <font>
      <b/>
      <sz val="12"/>
      <color rgb="FF000000"/>
      <name val="Calibri"/>
      <family val="2"/>
    </font>
    <font>
      <b/>
      <vertAlign val="superscript"/>
      <sz val="12"/>
      <color rgb="FF000000"/>
      <name val="Calibri"/>
      <family val="2"/>
    </font>
    <font>
      <u/>
      <sz val="10"/>
      <color rgb="FF000000"/>
      <name val="Calibri"/>
      <family val="2"/>
    </font>
    <font>
      <sz val="20"/>
      <color theme="1"/>
      <name val="Calibri"/>
      <family val="2"/>
      <scheme val="minor"/>
    </font>
    <font>
      <sz val="8"/>
      <color theme="5" tint="-0.249977111117893"/>
      <name val="Calibri"/>
      <family val="2"/>
      <scheme val="minor"/>
    </font>
    <font>
      <sz val="10"/>
      <color theme="5" tint="-0.249977111117893"/>
      <name val="Calibri"/>
      <family val="2"/>
      <scheme val="minor"/>
    </font>
    <font>
      <vertAlign val="subscript"/>
      <sz val="12"/>
      <color theme="5" tint="-0.249977111117893"/>
      <name val="Calibri (Body)_x0000_"/>
    </font>
    <font>
      <b/>
      <sz val="12"/>
      <color rgb="FFFF0000"/>
      <name val="Calibri (Body)"/>
    </font>
    <font>
      <sz val="12"/>
      <color rgb="FFC6591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C6FB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A1FF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73FB79"/>
        <bgColor indexed="64"/>
      </patternFill>
    </fill>
    <fill>
      <patternFill patternType="solid">
        <fgColor rgb="FFF7C9EE"/>
        <bgColor indexed="64"/>
      </patternFill>
    </fill>
    <fill>
      <patternFill patternType="solid">
        <fgColor rgb="FFF6C8F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300"/>
        <bgColor indexed="64"/>
      </patternFill>
    </fill>
    <fill>
      <patternFill patternType="solid">
        <fgColor rgb="FF00D24B"/>
        <bgColor indexed="64"/>
      </patternFill>
    </fill>
    <fill>
      <patternFill patternType="solid">
        <fgColor rgb="FF00D24B"/>
        <bgColor rgb="FF000000"/>
      </patternFill>
    </fill>
    <fill>
      <patternFill patternType="solid">
        <fgColor rgb="FF00E400"/>
        <bgColor indexed="64"/>
      </patternFill>
    </fill>
    <fill>
      <patternFill patternType="solid">
        <fgColor rgb="FFFF27E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AB7F4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Dashed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 style="mediumDashed">
        <color auto="1"/>
      </bottom>
      <diagonal/>
    </border>
    <border>
      <left style="thin">
        <color indexed="64"/>
      </left>
      <right style="thin">
        <color auto="1"/>
      </right>
      <top style="mediumDashed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Dash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Dashed">
        <color indexed="64"/>
      </top>
      <bottom/>
      <diagonal/>
    </border>
    <border>
      <left/>
      <right/>
      <top style="mediumDashed">
        <color indexed="64"/>
      </top>
      <bottom/>
      <diagonal/>
    </border>
    <border>
      <left/>
      <right style="thin">
        <color auto="1"/>
      </right>
      <top/>
      <bottom style="mediumDashed">
        <color indexed="64"/>
      </bottom>
      <diagonal/>
    </border>
    <border>
      <left style="thin">
        <color indexed="64"/>
      </left>
      <right/>
      <top/>
      <bottom style="mediumDashed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auto="1"/>
      </left>
      <right style="thin">
        <color indexed="64"/>
      </right>
      <top style="thin">
        <color rgb="FF000000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383">
    <xf numFmtId="0" fontId="0" fillId="0" borderId="0" xfId="0"/>
    <xf numFmtId="0" fontId="2" fillId="0" borderId="1" xfId="0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5" fillId="3" borderId="0" xfId="0" applyFont="1" applyFill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9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2" fontId="11" fillId="0" borderId="0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2" fontId="0" fillId="0" borderId="6" xfId="0" applyNumberFormat="1" applyFont="1" applyFill="1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164" fontId="0" fillId="0" borderId="6" xfId="0" applyNumberFormat="1" applyFill="1" applyBorder="1" applyAlignment="1">
      <alignment horizontal="center"/>
    </xf>
    <xf numFmtId="2" fontId="7" fillId="0" borderId="6" xfId="0" applyNumberFormat="1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7" xfId="0" applyNumberFormat="1" applyFill="1" applyBorder="1" applyAlignment="1">
      <alignment horizontal="center"/>
    </xf>
    <xf numFmtId="0" fontId="13" fillId="0" borderId="7" xfId="0" applyFont="1" applyBorder="1"/>
    <xf numFmtId="0" fontId="0" fillId="0" borderId="0" xfId="0" applyFill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/>
    </xf>
    <xf numFmtId="2" fontId="0" fillId="0" borderId="8" xfId="0" applyNumberForma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9" fillId="0" borderId="0" xfId="0" applyFont="1" applyBorder="1" applyAlignment="1">
      <alignment horizontal="center"/>
    </xf>
    <xf numFmtId="2" fontId="0" fillId="0" borderId="0" xfId="0" applyNumberForma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10" fontId="0" fillId="0" borderId="8" xfId="0" applyNumberFormat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center"/>
    </xf>
    <xf numFmtId="0" fontId="9" fillId="0" borderId="0" xfId="2" applyFont="1" applyFill="1" applyBorder="1" applyAlignment="1">
      <alignment horizontal="center"/>
    </xf>
    <xf numFmtId="2" fontId="9" fillId="0" borderId="4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1" fillId="0" borderId="6" xfId="2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4" xfId="0" applyFont="1" applyBorder="1" applyAlignment="1">
      <alignment horizontal="center"/>
    </xf>
    <xf numFmtId="0" fontId="1" fillId="0" borderId="16" xfId="2" applyFont="1" applyFill="1" applyBorder="1" applyAlignment="1">
      <alignment horizontal="center"/>
    </xf>
    <xf numFmtId="0" fontId="1" fillId="0" borderId="4" xfId="2" applyFont="1" applyFill="1" applyBorder="1" applyAlignment="1">
      <alignment horizontal="center"/>
    </xf>
    <xf numFmtId="0" fontId="13" fillId="0" borderId="17" xfId="0" applyFont="1" applyBorder="1"/>
    <xf numFmtId="0" fontId="0" fillId="0" borderId="8" xfId="0" applyFont="1" applyFill="1" applyBorder="1" applyAlignment="1">
      <alignment horizontal="center"/>
    </xf>
    <xf numFmtId="2" fontId="0" fillId="0" borderId="8" xfId="0" applyNumberFormat="1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2" fontId="0" fillId="0" borderId="4" xfId="0" applyNumberFormat="1" applyFont="1" applyBorder="1" applyAlignment="1">
      <alignment horizontal="center" vertical="center"/>
    </xf>
    <xf numFmtId="0" fontId="0" fillId="5" borderId="0" xfId="0" applyFont="1" applyFill="1" applyAlignment="1">
      <alignment horizontal="center"/>
    </xf>
    <xf numFmtId="0" fontId="0" fillId="5" borderId="0" xfId="0" applyFont="1" applyFill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2" fontId="0" fillId="5" borderId="0" xfId="0" applyNumberFormat="1" applyFont="1" applyFill="1" applyBorder="1" applyAlignment="1">
      <alignment horizontal="center"/>
    </xf>
    <xf numFmtId="0" fontId="5" fillId="6" borderId="0" xfId="0" applyFont="1" applyFill="1" applyBorder="1" applyAlignment="1">
      <alignment horizontal="center"/>
    </xf>
    <xf numFmtId="0" fontId="0" fillId="6" borderId="0" xfId="0" applyFont="1" applyFill="1" applyAlignment="1">
      <alignment horizontal="center"/>
    </xf>
    <xf numFmtId="0" fontId="0" fillId="6" borderId="0" xfId="0" applyFill="1" applyBorder="1" applyAlignment="1">
      <alignment horizontal="center"/>
    </xf>
    <xf numFmtId="2" fontId="0" fillId="6" borderId="0" xfId="0" applyNumberFormat="1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6" borderId="0" xfId="0" applyFill="1" applyBorder="1" applyAlignment="1">
      <alignment horizontal="center" vertical="center"/>
    </xf>
    <xf numFmtId="2" fontId="0" fillId="6" borderId="0" xfId="0" applyNumberForma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/>
    </xf>
    <xf numFmtId="0" fontId="0" fillId="8" borderId="0" xfId="0" applyFill="1"/>
    <xf numFmtId="0" fontId="5" fillId="6" borderId="0" xfId="0" applyFont="1" applyFill="1" applyAlignment="1">
      <alignment horizontal="center"/>
    </xf>
    <xf numFmtId="2" fontId="0" fillId="0" borderId="0" xfId="0" applyNumberForma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3" borderId="3" xfId="0" applyFont="1" applyFill="1" applyBorder="1" applyAlignment="1">
      <alignment horizontal="center"/>
    </xf>
    <xf numFmtId="0" fontId="0" fillId="9" borderId="4" xfId="0" applyFont="1" applyFill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0" fontId="2" fillId="11" borderId="1" xfId="0" applyFont="1" applyFill="1" applyBorder="1" applyAlignment="1">
      <alignment horizontal="center"/>
    </xf>
    <xf numFmtId="0" fontId="2" fillId="9" borderId="1" xfId="0" applyFont="1" applyFill="1" applyBorder="1" applyAlignment="1">
      <alignment horizontal="center"/>
    </xf>
    <xf numFmtId="0" fontId="2" fillId="10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7" fillId="12" borderId="22" xfId="0" applyFont="1" applyFill="1" applyBorder="1" applyAlignment="1">
      <alignment horizontal="center"/>
    </xf>
    <xf numFmtId="2" fontId="27" fillId="12" borderId="0" xfId="0" applyNumberFormat="1" applyFont="1" applyFill="1" applyAlignment="1">
      <alignment horizontal="center"/>
    </xf>
    <xf numFmtId="0" fontId="27" fillId="12" borderId="0" xfId="0" applyFont="1" applyFill="1" applyAlignment="1">
      <alignment horizontal="center"/>
    </xf>
    <xf numFmtId="0" fontId="0" fillId="0" borderId="8" xfId="0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0" fillId="6" borderId="3" xfId="0" applyFont="1" applyFill="1" applyBorder="1" applyAlignment="1">
      <alignment horizontal="center"/>
    </xf>
    <xf numFmtId="2" fontId="27" fillId="12" borderId="0" xfId="0" applyNumberFormat="1" applyFon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2" fillId="13" borderId="1" xfId="0" applyNumberFormat="1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7" xfId="0" applyFont="1" applyFill="1" applyBorder="1" applyAlignment="1">
      <alignment horizontal="center"/>
    </xf>
    <xf numFmtId="0" fontId="26" fillId="0" borderId="7" xfId="0" applyFon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28" fillId="0" borderId="0" xfId="2" applyFon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26" fillId="0" borderId="8" xfId="0" applyFont="1" applyBorder="1" applyAlignment="1">
      <alignment horizontal="center"/>
    </xf>
    <xf numFmtId="0" fontId="33" fillId="0" borderId="0" xfId="0" applyFont="1" applyBorder="1" applyAlignment="1">
      <alignment horizontal="center"/>
    </xf>
    <xf numFmtId="9" fontId="0" fillId="0" borderId="0" xfId="0" applyNumberFormat="1" applyBorder="1" applyAlignment="1">
      <alignment horizontal="center"/>
    </xf>
    <xf numFmtId="0" fontId="0" fillId="8" borderId="0" xfId="0" applyFill="1" applyAlignment="1">
      <alignment horizontal="center"/>
    </xf>
    <xf numFmtId="164" fontId="5" fillId="0" borderId="0" xfId="0" applyNumberFormat="1" applyFont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0" fillId="0" borderId="12" xfId="0" applyBorder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2" fontId="0" fillId="0" borderId="4" xfId="0" applyNumberFormat="1" applyFill="1" applyBorder="1" applyAlignment="1">
      <alignment horizontal="center" vertical="center"/>
    </xf>
    <xf numFmtId="0" fontId="0" fillId="0" borderId="0" xfId="0" applyFill="1"/>
    <xf numFmtId="0" fontId="0" fillId="0" borderId="14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2" fontId="0" fillId="0" borderId="4" xfId="0" applyNumberFormat="1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10" borderId="4" xfId="0" applyFont="1" applyFill="1" applyBorder="1" applyAlignment="1">
      <alignment horizontal="center"/>
    </xf>
    <xf numFmtId="2" fontId="0" fillId="0" borderId="16" xfId="0" applyNumberFormat="1" applyBorder="1" applyAlignment="1">
      <alignment horizontal="center" vertical="center"/>
    </xf>
    <xf numFmtId="2" fontId="0" fillId="0" borderId="5" xfId="0" applyNumberFormat="1" applyFont="1" applyBorder="1" applyAlignment="1">
      <alignment horizontal="center" vertical="center"/>
    </xf>
    <xf numFmtId="10" fontId="0" fillId="0" borderId="0" xfId="0" applyNumberFormat="1" applyFill="1" applyBorder="1" applyAlignment="1">
      <alignment horizontal="center"/>
    </xf>
    <xf numFmtId="10" fontId="5" fillId="0" borderId="0" xfId="0" applyNumberFormat="1" applyFont="1" applyAlignment="1">
      <alignment horizontal="center"/>
    </xf>
    <xf numFmtId="0" fontId="9" fillId="0" borderId="14" xfId="0" applyFont="1" applyFill="1" applyBorder="1" applyAlignment="1">
      <alignment horizontal="center"/>
    </xf>
    <xf numFmtId="2" fontId="0" fillId="0" borderId="8" xfId="0" applyNumberForma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6" borderId="4" xfId="0" applyFont="1" applyFill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2" fontId="0" fillId="0" borderId="18" xfId="0" applyNumberFormat="1" applyBorder="1" applyAlignment="1">
      <alignment horizontal="center"/>
    </xf>
    <xf numFmtId="0" fontId="36" fillId="0" borderId="15" xfId="0" applyFont="1" applyBorder="1" applyAlignment="1">
      <alignment horizontal="center"/>
    </xf>
    <xf numFmtId="0" fontId="0" fillId="0" borderId="0" xfId="0" applyBorder="1" applyAlignment="1">
      <alignment vertical="center"/>
    </xf>
    <xf numFmtId="0" fontId="0" fillId="0" borderId="0" xfId="0" applyFill="1" applyBorder="1"/>
    <xf numFmtId="2" fontId="2" fillId="0" borderId="0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/>
    <xf numFmtId="0" fontId="15" fillId="0" borderId="0" xfId="0" applyFont="1" applyFill="1" applyBorder="1" applyAlignment="1"/>
    <xf numFmtId="0" fontId="2" fillId="0" borderId="0" xfId="0" applyFont="1" applyFill="1" applyBorder="1" applyAlignment="1"/>
    <xf numFmtId="0" fontId="16" fillId="0" borderId="0" xfId="0" applyFont="1" applyFill="1" applyBorder="1" applyAlignment="1"/>
    <xf numFmtId="0" fontId="0" fillId="0" borderId="0" xfId="0" applyFill="1" applyBorder="1" applyAlignment="1"/>
    <xf numFmtId="0" fontId="32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0" fillId="6" borderId="0" xfId="0" applyFont="1" applyFill="1" applyBorder="1" applyAlignment="1">
      <alignment horizontal="center"/>
    </xf>
    <xf numFmtId="0" fontId="9" fillId="0" borderId="0" xfId="0" applyFont="1" applyBorder="1"/>
    <xf numFmtId="165" fontId="9" fillId="0" borderId="0" xfId="0" applyNumberFormat="1" applyFont="1" applyBorder="1" applyAlignment="1">
      <alignment horizontal="center"/>
    </xf>
    <xf numFmtId="2" fontId="9" fillId="0" borderId="0" xfId="0" applyNumberFormat="1" applyFont="1" applyBorder="1" applyAlignment="1">
      <alignment horizontal="center"/>
    </xf>
    <xf numFmtId="0" fontId="41" fillId="0" borderId="0" xfId="2" applyFont="1" applyBorder="1" applyAlignment="1">
      <alignment horizontal="center"/>
    </xf>
    <xf numFmtId="0" fontId="9" fillId="0" borderId="0" xfId="0" applyFont="1" applyAlignment="1">
      <alignment horizontal="center"/>
    </xf>
    <xf numFmtId="165" fontId="9" fillId="0" borderId="0" xfId="0" applyNumberFormat="1" applyFont="1" applyAlignment="1">
      <alignment horizontal="center"/>
    </xf>
    <xf numFmtId="0" fontId="0" fillId="14" borderId="7" xfId="0" applyFill="1" applyBorder="1" applyAlignment="1">
      <alignment horizontal="center"/>
    </xf>
    <xf numFmtId="0" fontId="0" fillId="14" borderId="7" xfId="0" applyFont="1" applyFill="1" applyBorder="1" applyAlignment="1">
      <alignment horizontal="center"/>
    </xf>
    <xf numFmtId="2" fontId="0" fillId="0" borderId="4" xfId="0" applyNumberFormat="1" applyFont="1" applyBorder="1" applyAlignment="1">
      <alignment horizontal="center"/>
    </xf>
    <xf numFmtId="0" fontId="0" fillId="5" borderId="8" xfId="0" applyFont="1" applyFill="1" applyBorder="1" applyAlignment="1">
      <alignment horizontal="center"/>
    </xf>
    <xf numFmtId="2" fontId="0" fillId="0" borderId="3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2" fontId="9" fillId="0" borderId="0" xfId="0" quotePrefix="1" applyNumberFormat="1" applyFont="1" applyFill="1" applyBorder="1" applyAlignment="1">
      <alignment horizontal="center"/>
    </xf>
    <xf numFmtId="2" fontId="0" fillId="0" borderId="0" xfId="0" quotePrefix="1" applyNumberFormat="1" applyBorder="1" applyAlignment="1">
      <alignment horizontal="center"/>
    </xf>
    <xf numFmtId="2" fontId="0" fillId="0" borderId="0" xfId="0" quotePrefix="1" applyNumberFormat="1" applyFont="1" applyFill="1" applyBorder="1" applyAlignment="1">
      <alignment horizontal="center"/>
    </xf>
    <xf numFmtId="2" fontId="11" fillId="0" borderId="0" xfId="0" quotePrefix="1" applyNumberFormat="1" applyFont="1" applyFill="1" applyBorder="1" applyAlignment="1">
      <alignment horizontal="center"/>
    </xf>
    <xf numFmtId="2" fontId="0" fillId="0" borderId="0" xfId="0" quotePrefix="1" applyNumberFormat="1" applyFill="1" applyBorder="1" applyAlignment="1">
      <alignment horizontal="center"/>
    </xf>
    <xf numFmtId="0" fontId="11" fillId="0" borderId="0" xfId="0" quotePrefix="1" applyFont="1" applyFill="1" applyBorder="1" applyAlignment="1">
      <alignment horizontal="center"/>
    </xf>
    <xf numFmtId="2" fontId="0" fillId="0" borderId="0" xfId="0" quotePrefix="1" applyNumberFormat="1" applyFont="1" applyBorder="1" applyAlignment="1">
      <alignment horizontal="center"/>
    </xf>
    <xf numFmtId="0" fontId="0" fillId="0" borderId="0" xfId="0" quotePrefix="1" applyFill="1" applyBorder="1" applyAlignment="1">
      <alignment horizontal="center"/>
    </xf>
    <xf numFmtId="0" fontId="5" fillId="6" borderId="8" xfId="0" applyFont="1" applyFill="1" applyBorder="1" applyAlignment="1">
      <alignment horizontal="center"/>
    </xf>
    <xf numFmtId="0" fontId="0" fillId="0" borderId="0" xfId="0" quotePrefix="1" applyBorder="1" applyAlignment="1">
      <alignment horizontal="center" vertical="center"/>
    </xf>
    <xf numFmtId="2" fontId="0" fillId="0" borderId="5" xfId="0" quotePrefix="1" applyNumberForma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/>
    </xf>
    <xf numFmtId="0" fontId="0" fillId="0" borderId="0" xfId="0" applyFill="1" applyBorder="1" applyAlignment="1">
      <alignment horizontal="center" vertical="center"/>
    </xf>
    <xf numFmtId="2" fontId="0" fillId="8" borderId="0" xfId="0" applyNumberFormat="1" applyFill="1" applyAlignment="1">
      <alignment horizontal="center"/>
    </xf>
    <xf numFmtId="2" fontId="2" fillId="8" borderId="0" xfId="0" applyNumberFormat="1" applyFont="1" applyFill="1" applyAlignment="1">
      <alignment horizontal="center"/>
    </xf>
    <xf numFmtId="0" fontId="2" fillId="8" borderId="0" xfId="0" applyFont="1" applyFill="1" applyAlignment="1">
      <alignment horizontal="center"/>
    </xf>
    <xf numFmtId="0" fontId="0" fillId="15" borderId="0" xfId="0" applyFill="1" applyBorder="1" applyAlignment="1">
      <alignment horizontal="center"/>
    </xf>
    <xf numFmtId="0" fontId="5" fillId="0" borderId="0" xfId="0" applyFont="1" applyAlignment="1">
      <alignment horizontal="center"/>
    </xf>
    <xf numFmtId="0" fontId="33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11" fillId="0" borderId="13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14" fontId="9" fillId="0" borderId="0" xfId="2" quotePrefix="1" applyNumberFormat="1" applyFont="1" applyAlignment="1">
      <alignment horizontal="center"/>
    </xf>
    <xf numFmtId="9" fontId="0" fillId="0" borderId="0" xfId="0" applyNumberFormat="1" applyFill="1" applyBorder="1" applyAlignment="1">
      <alignment horizontal="center"/>
    </xf>
    <xf numFmtId="2" fontId="0" fillId="0" borderId="14" xfId="0" quotePrefix="1" applyNumberFormat="1" applyFont="1" applyFill="1" applyBorder="1" applyAlignment="1">
      <alignment horizontal="center"/>
    </xf>
    <xf numFmtId="2" fontId="0" fillId="0" borderId="4" xfId="0" applyNumberForma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2" fontId="11" fillId="0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0" fontId="0" fillId="0" borderId="0" xfId="0" quotePrefix="1" applyBorder="1" applyAlignment="1">
      <alignment horizontal="center"/>
    </xf>
    <xf numFmtId="0" fontId="28" fillId="0" borderId="0" xfId="2" applyFont="1" applyFill="1" applyBorder="1" applyAlignment="1">
      <alignment horizontal="center"/>
    </xf>
    <xf numFmtId="2" fontId="0" fillId="0" borderId="3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0" fillId="0" borderId="3" xfId="0" quotePrefix="1" applyNumberFormat="1" applyFont="1" applyBorder="1" applyAlignment="1">
      <alignment horizontal="center" vertical="center"/>
    </xf>
    <xf numFmtId="0" fontId="0" fillId="0" borderId="0" xfId="0" applyBorder="1" applyAlignment="1"/>
    <xf numFmtId="0" fontId="0" fillId="6" borderId="8" xfId="0" applyFont="1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2" fontId="0" fillId="6" borderId="0" xfId="0" applyNumberFormat="1" applyFill="1" applyBorder="1" applyAlignment="1">
      <alignment horizontal="center"/>
    </xf>
    <xf numFmtId="2" fontId="0" fillId="6" borderId="0" xfId="0" applyNumberFormat="1" applyFill="1" applyAlignment="1">
      <alignment horizontal="center"/>
    </xf>
    <xf numFmtId="2" fontId="0" fillId="6" borderId="8" xfId="0" applyNumberFormat="1" applyFill="1" applyBorder="1" applyAlignment="1">
      <alignment horizontal="center"/>
    </xf>
    <xf numFmtId="164" fontId="0" fillId="6" borderId="8" xfId="0" applyNumberFormat="1" applyFill="1" applyBorder="1" applyAlignment="1">
      <alignment horizontal="center"/>
    </xf>
    <xf numFmtId="164" fontId="5" fillId="6" borderId="0" xfId="0" applyNumberFormat="1" applyFont="1" applyFill="1" applyAlignment="1">
      <alignment horizontal="center"/>
    </xf>
    <xf numFmtId="164" fontId="0" fillId="6" borderId="0" xfId="0" applyNumberFormat="1" applyFill="1" applyBorder="1" applyAlignment="1">
      <alignment horizontal="center"/>
    </xf>
    <xf numFmtId="0" fontId="0" fillId="6" borderId="5" xfId="0" applyFont="1" applyFill="1" applyBorder="1" applyAlignment="1">
      <alignment horizontal="center"/>
    </xf>
    <xf numFmtId="0" fontId="0" fillId="3" borderId="5" xfId="0" applyFont="1" applyFill="1" applyBorder="1" applyAlignment="1">
      <alignment horizontal="center"/>
    </xf>
    <xf numFmtId="0" fontId="27" fillId="12" borderId="5" xfId="0" applyFont="1" applyFill="1" applyBorder="1" applyAlignment="1">
      <alignment horizontal="center"/>
    </xf>
    <xf numFmtId="2" fontId="27" fillId="12" borderId="8" xfId="0" applyNumberFormat="1" applyFont="1" applyFill="1" applyBorder="1" applyAlignment="1">
      <alignment horizontal="center"/>
    </xf>
    <xf numFmtId="0" fontId="27" fillId="12" borderId="8" xfId="0" applyFont="1" applyFill="1" applyBorder="1"/>
    <xf numFmtId="0" fontId="27" fillId="12" borderId="18" xfId="0" applyFont="1" applyFill="1" applyBorder="1" applyAlignment="1">
      <alignment horizontal="center"/>
    </xf>
    <xf numFmtId="2" fontId="0" fillId="6" borderId="8" xfId="0" applyNumberFormat="1" applyFont="1" applyFill="1" applyBorder="1" applyAlignment="1">
      <alignment horizontal="center"/>
    </xf>
    <xf numFmtId="0" fontId="0" fillId="0" borderId="5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9" borderId="0" xfId="0" applyFont="1" applyFill="1" applyBorder="1" applyAlignment="1">
      <alignment horizontal="center"/>
    </xf>
    <xf numFmtId="0" fontId="0" fillId="10" borderId="0" xfId="0" applyFont="1" applyFill="1" applyBorder="1" applyAlignment="1">
      <alignment horizontal="center"/>
    </xf>
    <xf numFmtId="0" fontId="2" fillId="16" borderId="8" xfId="0" applyFont="1" applyFill="1" applyBorder="1" applyAlignment="1">
      <alignment horizont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5" fillId="6" borderId="6" xfId="0" applyFont="1" applyFill="1" applyBorder="1" applyAlignment="1">
      <alignment horizontal="center"/>
    </xf>
    <xf numFmtId="10" fontId="5" fillId="0" borderId="6" xfId="0" applyNumberFormat="1" applyFont="1" applyBorder="1" applyAlignment="1">
      <alignment horizontal="center"/>
    </xf>
    <xf numFmtId="2" fontId="0" fillId="6" borderId="6" xfId="0" applyNumberFormat="1" applyFont="1" applyFill="1" applyBorder="1" applyAlignment="1">
      <alignment horizontal="center"/>
    </xf>
    <xf numFmtId="0" fontId="0" fillId="0" borderId="31" xfId="0" applyFont="1" applyFill="1" applyBorder="1" applyAlignment="1">
      <alignment horizontal="center"/>
    </xf>
    <xf numFmtId="2" fontId="0" fillId="0" borderId="17" xfId="0" applyNumberFormat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0" fontId="0" fillId="6" borderId="6" xfId="0" applyFont="1" applyFill="1" applyBorder="1" applyAlignment="1">
      <alignment horizontal="center"/>
    </xf>
    <xf numFmtId="2" fontId="0" fillId="0" borderId="16" xfId="0" applyNumberFormat="1" applyFont="1" applyBorder="1" applyAlignment="1">
      <alignment horizontal="center" vertical="center"/>
    </xf>
    <xf numFmtId="0" fontId="0" fillId="0" borderId="16" xfId="0" applyFont="1" applyFill="1" applyBorder="1" applyAlignment="1">
      <alignment horizontal="center"/>
    </xf>
    <xf numFmtId="0" fontId="0" fillId="0" borderId="0" xfId="0" applyBorder="1"/>
    <xf numFmtId="2" fontId="0" fillId="0" borderId="0" xfId="0" applyNumberFormat="1"/>
    <xf numFmtId="2" fontId="0" fillId="3" borderId="0" xfId="0" applyNumberFormat="1" applyFont="1" applyFill="1" applyBorder="1" applyAlignment="1">
      <alignment horizontal="center"/>
    </xf>
    <xf numFmtId="2" fontId="0" fillId="7" borderId="0" xfId="0" applyNumberFormat="1" applyFont="1" applyFill="1" applyBorder="1" applyAlignment="1">
      <alignment horizontal="center"/>
    </xf>
    <xf numFmtId="0" fontId="2" fillId="17" borderId="1" xfId="0" applyFont="1" applyFill="1" applyBorder="1" applyAlignment="1">
      <alignment horizontal="center"/>
    </xf>
    <xf numFmtId="0" fontId="0" fillId="18" borderId="4" xfId="0" applyFont="1" applyFill="1" applyBorder="1" applyAlignment="1">
      <alignment horizontal="center"/>
    </xf>
    <xf numFmtId="0" fontId="5" fillId="19" borderId="4" xfId="0" applyFont="1" applyFill="1" applyBorder="1" applyAlignment="1">
      <alignment horizontal="center"/>
    </xf>
    <xf numFmtId="0" fontId="4" fillId="19" borderId="4" xfId="0" applyFont="1" applyFill="1" applyBorder="1" applyAlignment="1">
      <alignment horizontal="center"/>
    </xf>
    <xf numFmtId="0" fontId="4" fillId="19" borderId="1" xfId="0" applyFont="1" applyFill="1" applyBorder="1" applyAlignment="1">
      <alignment horizontal="center"/>
    </xf>
    <xf numFmtId="0" fontId="2" fillId="20" borderId="1" xfId="0" applyFont="1" applyFill="1" applyBorder="1" applyAlignment="1">
      <alignment horizontal="center"/>
    </xf>
    <xf numFmtId="9" fontId="2" fillId="0" borderId="0" xfId="0" applyNumberFormat="1" applyFont="1" applyAlignment="1">
      <alignment horizontal="center"/>
    </xf>
    <xf numFmtId="0" fontId="0" fillId="0" borderId="5" xfId="0" applyBorder="1" applyAlignment="1">
      <alignment horizontal="center" vertical="center"/>
    </xf>
    <xf numFmtId="0" fontId="34" fillId="0" borderId="0" xfId="0" applyFont="1" applyBorder="1" applyAlignment="1">
      <alignment horizontal="center"/>
    </xf>
    <xf numFmtId="2" fontId="34" fillId="0" borderId="0" xfId="0" applyNumberFormat="1" applyFont="1" applyBorder="1" applyAlignment="1">
      <alignment horizontal="center"/>
    </xf>
    <xf numFmtId="2" fontId="0" fillId="0" borderId="0" xfId="0" applyNumberFormat="1" applyFont="1" applyAlignment="1">
      <alignment horizontal="center"/>
    </xf>
    <xf numFmtId="2" fontId="2" fillId="0" borderId="8" xfId="0" applyNumberFormat="1" applyFont="1" applyBorder="1" applyAlignment="1">
      <alignment horizontal="center" vertical="center"/>
    </xf>
    <xf numFmtId="2" fontId="2" fillId="7" borderId="8" xfId="0" applyNumberFormat="1" applyFont="1" applyFill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/>
    </xf>
    <xf numFmtId="164" fontId="4" fillId="0" borderId="8" xfId="0" applyNumberFormat="1" applyFont="1" applyBorder="1" applyAlignment="1">
      <alignment horizontal="center"/>
    </xf>
    <xf numFmtId="2" fontId="2" fillId="7" borderId="8" xfId="0" applyNumberFormat="1" applyFont="1" applyFill="1" applyBorder="1" applyAlignment="1">
      <alignment horizontal="center"/>
    </xf>
    <xf numFmtId="2" fontId="4" fillId="0" borderId="8" xfId="0" applyNumberFormat="1" applyFont="1" applyBorder="1" applyAlignment="1">
      <alignment horizontal="center"/>
    </xf>
    <xf numFmtId="0" fontId="38" fillId="0" borderId="19" xfId="0" applyFont="1" applyBorder="1" applyAlignment="1">
      <alignment horizontal="center"/>
    </xf>
    <xf numFmtId="0" fontId="46" fillId="0" borderId="24" xfId="0" applyFont="1" applyBorder="1" applyAlignment="1">
      <alignment horizontal="center"/>
    </xf>
    <xf numFmtId="0" fontId="46" fillId="0" borderId="0" xfId="0" applyFont="1" applyBorder="1" applyAlignment="1">
      <alignment horizontal="center"/>
    </xf>
    <xf numFmtId="0" fontId="46" fillId="0" borderId="20" xfId="0" applyFont="1" applyBorder="1" applyAlignment="1">
      <alignment horizontal="center"/>
    </xf>
    <xf numFmtId="0" fontId="2" fillId="0" borderId="0" xfId="0" applyFont="1" applyFill="1" applyBorder="1"/>
    <xf numFmtId="0" fontId="2" fillId="0" borderId="1" xfId="0" applyFont="1" applyBorder="1" applyAlignment="1">
      <alignment horizontal="center"/>
    </xf>
    <xf numFmtId="2" fontId="9" fillId="0" borderId="4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/>
    </xf>
    <xf numFmtId="2" fontId="2" fillId="21" borderId="8" xfId="0" applyNumberFormat="1" applyFont="1" applyFill="1" applyBorder="1" applyAlignment="1">
      <alignment horizontal="center"/>
    </xf>
    <xf numFmtId="2" fontId="2" fillId="21" borderId="0" xfId="0" applyNumberFormat="1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/>
    </xf>
    <xf numFmtId="0" fontId="9" fillId="0" borderId="0" xfId="0" applyFont="1" applyAlignment="1">
      <alignment horizontal="center" vertical="center"/>
    </xf>
    <xf numFmtId="2" fontId="0" fillId="0" borderId="0" xfId="0" applyNumberFormat="1" applyFill="1" applyAlignment="1">
      <alignment horizontal="center"/>
    </xf>
    <xf numFmtId="2" fontId="2" fillId="9" borderId="0" xfId="0" applyNumberFormat="1" applyFont="1" applyFill="1" applyAlignment="1">
      <alignment horizontal="center"/>
    </xf>
    <xf numFmtId="0" fontId="43" fillId="0" borderId="0" xfId="0" applyFont="1" applyAlignment="1">
      <alignment horizontal="center" vertical="center"/>
    </xf>
    <xf numFmtId="0" fontId="43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1" fillId="0" borderId="0" xfId="0" applyFont="1" applyAlignment="1">
      <alignment horizontal="center"/>
    </xf>
    <xf numFmtId="2" fontId="0" fillId="22" borderId="8" xfId="0" applyNumberFormat="1" applyFont="1" applyFill="1" applyBorder="1" applyAlignment="1">
      <alignment horizontal="center"/>
    </xf>
    <xf numFmtId="2" fontId="0" fillId="23" borderId="0" xfId="0" applyNumberFormat="1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43" fillId="0" borderId="3" xfId="0" applyFont="1" applyBorder="1" applyAlignment="1">
      <alignment horizontal="center" vertical="center"/>
    </xf>
    <xf numFmtId="0" fontId="43" fillId="0" borderId="4" xfId="0" applyFont="1" applyBorder="1" applyAlignment="1">
      <alignment horizontal="center" vertical="center"/>
    </xf>
    <xf numFmtId="0" fontId="43" fillId="0" borderId="13" xfId="0" applyFont="1" applyBorder="1" applyAlignment="1">
      <alignment horizontal="center" vertical="center"/>
    </xf>
    <xf numFmtId="0" fontId="43" fillId="0" borderId="22" xfId="0" applyFont="1" applyBorder="1" applyAlignment="1">
      <alignment horizontal="center" vertical="center"/>
    </xf>
    <xf numFmtId="0" fontId="35" fillId="0" borderId="19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9" fontId="2" fillId="0" borderId="3" xfId="1" applyFont="1" applyFill="1" applyBorder="1" applyAlignment="1">
      <alignment horizontal="center" vertical="center"/>
    </xf>
    <xf numFmtId="9" fontId="2" fillId="0" borderId="4" xfId="1" applyFont="1" applyFill="1" applyBorder="1" applyAlignment="1">
      <alignment horizontal="center" vertical="center"/>
    </xf>
    <xf numFmtId="9" fontId="2" fillId="0" borderId="5" xfId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43" fillId="0" borderId="5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6" fontId="0" fillId="0" borderId="3" xfId="0" applyNumberFormat="1" applyBorder="1" applyAlignment="1">
      <alignment horizontal="center" vertical="center"/>
    </xf>
    <xf numFmtId="166" fontId="0" fillId="0" borderId="4" xfId="0" applyNumberFormat="1" applyBorder="1" applyAlignment="1">
      <alignment horizontal="center" vertical="center"/>
    </xf>
    <xf numFmtId="166" fontId="0" fillId="0" borderId="5" xfId="0" applyNumberFormat="1" applyBorder="1" applyAlignment="1">
      <alignment horizontal="center" vertical="center"/>
    </xf>
    <xf numFmtId="9" fontId="2" fillId="0" borderId="4" xfId="1" applyFont="1" applyBorder="1" applyAlignment="1">
      <alignment horizontal="center" vertical="center"/>
    </xf>
    <xf numFmtId="9" fontId="2" fillId="0" borderId="5" xfId="1" applyFont="1" applyBorder="1" applyAlignment="1">
      <alignment horizontal="center" vertical="center"/>
    </xf>
    <xf numFmtId="9" fontId="2" fillId="0" borderId="16" xfId="1" applyFont="1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9" fontId="2" fillId="0" borderId="3" xfId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5" fillId="0" borderId="24" xfId="0" applyFont="1" applyBorder="1" applyAlignment="1">
      <alignment horizontal="center" vertical="center"/>
    </xf>
    <xf numFmtId="0" fontId="35" fillId="0" borderId="25" xfId="0" applyFont="1" applyBorder="1" applyAlignment="1">
      <alignment horizontal="center" vertical="center"/>
    </xf>
    <xf numFmtId="0" fontId="38" fillId="0" borderId="19" xfId="0" applyFont="1" applyBorder="1" applyAlignment="1">
      <alignment horizontal="center" vertical="center"/>
    </xf>
    <xf numFmtId="0" fontId="38" fillId="0" borderId="24" xfId="0" applyFont="1" applyBorder="1" applyAlignment="1">
      <alignment horizontal="center" vertical="center"/>
    </xf>
    <xf numFmtId="0" fontId="38" fillId="0" borderId="20" xfId="0" applyFont="1" applyBorder="1" applyAlignment="1">
      <alignment horizontal="center" vertical="center"/>
    </xf>
    <xf numFmtId="9" fontId="2" fillId="0" borderId="11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9" fontId="2" fillId="0" borderId="3" xfId="0" applyNumberFormat="1" applyFont="1" applyBorder="1" applyAlignment="1">
      <alignment horizontal="center" vertical="center"/>
    </xf>
    <xf numFmtId="9" fontId="2" fillId="0" borderId="4" xfId="0" applyNumberFormat="1" applyFont="1" applyBorder="1" applyAlignment="1">
      <alignment horizontal="center" vertical="center"/>
    </xf>
    <xf numFmtId="9" fontId="2" fillId="0" borderId="5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38" fillId="0" borderId="26" xfId="0" applyFont="1" applyBorder="1" applyAlignment="1">
      <alignment horizontal="center"/>
    </xf>
    <xf numFmtId="0" fontId="38" fillId="0" borderId="27" xfId="0" applyFont="1" applyBorder="1" applyAlignment="1">
      <alignment horizontal="center"/>
    </xf>
    <xf numFmtId="0" fontId="38" fillId="0" borderId="28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38" fillId="0" borderId="19" xfId="0" applyFont="1" applyBorder="1" applyAlignment="1">
      <alignment horizontal="center"/>
    </xf>
    <xf numFmtId="0" fontId="46" fillId="0" borderId="24" xfId="0" applyFont="1" applyBorder="1" applyAlignment="1">
      <alignment horizontal="center"/>
    </xf>
    <xf numFmtId="0" fontId="46" fillId="0" borderId="20" xfId="0" applyFont="1" applyBorder="1" applyAlignment="1">
      <alignment horizontal="center"/>
    </xf>
    <xf numFmtId="1" fontId="2" fillId="13" borderId="15" xfId="0" applyNumberFormat="1" applyFont="1" applyFill="1" applyBorder="1" applyAlignment="1">
      <alignment horizontal="center"/>
    </xf>
    <xf numFmtId="1" fontId="2" fillId="13" borderId="21" xfId="0" applyNumberFormat="1" applyFont="1" applyFill="1" applyBorder="1" applyAlignment="1">
      <alignment horizontal="center"/>
    </xf>
    <xf numFmtId="1" fontId="2" fillId="13" borderId="2" xfId="0" applyNumberFormat="1" applyFont="1" applyFill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0" xfId="0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21" xfId="0" applyFont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5" fillId="0" borderId="2" xfId="0" applyFont="1" applyBorder="1" applyAlignment="1">
      <alignment horizontal="center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AB7F4"/>
      <color rgb="FFF7C9EE"/>
      <color rgb="FF00E400"/>
      <color rgb="FF00F300"/>
      <color rgb="FFBB67F2"/>
      <color rgb="FFFBF000"/>
      <color rgb="FFFF2F92"/>
      <color rgb="FFFF8AD8"/>
      <color rgb="FFF6C8F4"/>
      <color rgb="FFFAB9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Figure 2A: Route A</a:t>
            </a:r>
            <a:r>
              <a:rPr lang="en-GB" b="1" baseline="0">
                <a:solidFill>
                  <a:schemeClr val="tx1"/>
                </a:solidFill>
              </a:rPr>
              <a:t> step-by-step procedure E-factor composition</a:t>
            </a:r>
            <a:endParaRPr lang="en-GB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spPr>
            <a:ln>
              <a:solidFill>
                <a:schemeClr val="bg1"/>
              </a:solidFill>
            </a:ln>
            <a:effectLst>
              <a:outerShdw blurRad="50800" dist="38100" dir="13500000" algn="br" rotWithShape="0">
                <a:prstClr val="black">
                  <a:alpha val="40000"/>
                </a:prstClr>
              </a:outerShdw>
            </a:effectLst>
          </c:spPr>
          <c:dPt>
            <c:idx val="0"/>
            <c:bubble3D val="0"/>
            <c:spPr>
              <a:solidFill>
                <a:srgbClr val="FF2F92"/>
              </a:solidFill>
              <a:ln w="19050">
                <a:solidFill>
                  <a:schemeClr val="bg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BCED-BA49-8EC8-11FD0245DD79}"/>
              </c:ext>
            </c:extLst>
          </c:dPt>
          <c:dPt>
            <c:idx val="1"/>
            <c:bubble3D val="0"/>
            <c:spPr>
              <a:solidFill>
                <a:srgbClr val="FBF000"/>
              </a:solidFill>
              <a:ln w="19050">
                <a:solidFill>
                  <a:schemeClr val="bg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BCED-BA49-8EC8-11FD0245DD79}"/>
              </c:ext>
            </c:extLst>
          </c:dPt>
          <c:dPt>
            <c:idx val="2"/>
            <c:bubble3D val="0"/>
            <c:spPr>
              <a:solidFill>
                <a:srgbClr val="00B050"/>
              </a:solidFill>
              <a:ln w="19050">
                <a:solidFill>
                  <a:schemeClr val="bg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BCED-BA49-8EC8-11FD0245DD79}"/>
              </c:ext>
            </c:extLst>
          </c:dPt>
          <c:dPt>
            <c:idx val="3"/>
            <c:bubble3D val="0"/>
            <c:spPr>
              <a:solidFill>
                <a:srgbClr val="0070C0"/>
              </a:solidFill>
              <a:ln w="19050">
                <a:solidFill>
                  <a:schemeClr val="bg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BCED-BA49-8EC8-11FD0245DD7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'Step-by-step E-Factor'!$A$14:$D$14</c:f>
              <c:strCache>
                <c:ptCount val="4"/>
                <c:pt idx="0">
                  <c:v>Advanced Starting Material</c:v>
                </c:pt>
                <c:pt idx="1">
                  <c:v>Solvents (kg)</c:v>
                </c:pt>
                <c:pt idx="2">
                  <c:v>Reagents (kg)</c:v>
                </c:pt>
                <c:pt idx="3">
                  <c:v>Water (kg)</c:v>
                </c:pt>
              </c:strCache>
            </c:strRef>
          </c:cat>
          <c:val>
            <c:numRef>
              <c:f>'Step-by-step E-Factor'!$A$15:$D$15</c:f>
              <c:numCache>
                <c:formatCode>0.00</c:formatCode>
                <c:ptCount val="4"/>
                <c:pt idx="0">
                  <c:v>1.8005371132644734</c:v>
                </c:pt>
                <c:pt idx="1">
                  <c:v>20.617889168293338</c:v>
                </c:pt>
                <c:pt idx="2">
                  <c:v>6.8044506757796102</c:v>
                </c:pt>
                <c:pt idx="3">
                  <c:v>14.041218173649582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ED-BA49-8EC8-11FD0245DD7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881820490913712"/>
          <c:y val="0.28459208025494087"/>
          <c:w val="0.26200290946036436"/>
          <c:h val="0.52687054317847293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Figure 4A: Route A sub-synthesis E-factor composition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spPr>
            <a:ln cmpd="sng">
              <a:solidFill>
                <a:schemeClr val="bg1"/>
              </a:solidFill>
            </a:ln>
            <a:effectLst>
              <a:outerShdw blurRad="50800" dist="38100" dir="13500000" algn="br" rotWithShape="0">
                <a:prstClr val="black">
                  <a:alpha val="40000"/>
                </a:prstClr>
              </a:outerShdw>
            </a:effectLst>
          </c:spPr>
          <c:dPt>
            <c:idx val="0"/>
            <c:bubble3D val="0"/>
            <c:spPr>
              <a:solidFill>
                <a:srgbClr val="FF2F92"/>
              </a:solidFill>
              <a:ln w="19050" cmpd="sng">
                <a:solidFill>
                  <a:schemeClr val="bg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1317-8B4B-A988-5D4759705BE6}"/>
              </c:ext>
            </c:extLst>
          </c:dPt>
          <c:dPt>
            <c:idx val="1"/>
            <c:bubble3D val="0"/>
            <c:spPr>
              <a:solidFill>
                <a:srgbClr val="FBF000"/>
              </a:solidFill>
              <a:ln w="19050" cmpd="sng">
                <a:solidFill>
                  <a:schemeClr val="bg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1317-8B4B-A988-5D4759705BE6}"/>
              </c:ext>
            </c:extLst>
          </c:dPt>
          <c:dPt>
            <c:idx val="2"/>
            <c:bubble3D val="0"/>
            <c:spPr>
              <a:solidFill>
                <a:srgbClr val="00B050"/>
              </a:solidFill>
              <a:ln w="19050" cmpd="sng">
                <a:solidFill>
                  <a:schemeClr val="bg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1317-8B4B-A988-5D4759705BE6}"/>
              </c:ext>
            </c:extLst>
          </c:dPt>
          <c:dPt>
            <c:idx val="3"/>
            <c:bubble3D val="0"/>
            <c:spPr>
              <a:solidFill>
                <a:srgbClr val="0070C0"/>
              </a:solidFill>
              <a:ln w="19050" cmpd="sng">
                <a:solidFill>
                  <a:schemeClr val="bg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1317-8B4B-A988-5D4759705BE6}"/>
              </c:ext>
            </c:extLst>
          </c:dPt>
          <c:dLbls>
            <c:dLbl>
              <c:idx val="0"/>
              <c:layout>
                <c:manualLayout>
                  <c:x val="-5.1284007305336205E-3"/>
                  <c:y val="-3.773334166721569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317-8B4B-A988-5D4759705B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 ASM E-Factor'!$A$19:$D$19</c:f>
              <c:strCache>
                <c:ptCount val="4"/>
                <c:pt idx="0">
                  <c:v>Strating Material (kg)</c:v>
                </c:pt>
                <c:pt idx="1">
                  <c:v>Solvents (kg)</c:v>
                </c:pt>
                <c:pt idx="2">
                  <c:v>Reagents (kg)</c:v>
                </c:pt>
                <c:pt idx="3">
                  <c:v>Water (kg)</c:v>
                </c:pt>
              </c:strCache>
            </c:strRef>
          </c:cat>
          <c:val>
            <c:numRef>
              <c:f>' ASM E-Factor'!$A$20:$D$20</c:f>
              <c:numCache>
                <c:formatCode>0.00</c:formatCode>
                <c:ptCount val="4"/>
                <c:pt idx="0">
                  <c:v>0.75479740461254075</c:v>
                </c:pt>
                <c:pt idx="1">
                  <c:v>16.142307892535996</c:v>
                </c:pt>
                <c:pt idx="2">
                  <c:v>1.7342448536651944</c:v>
                </c:pt>
                <c:pt idx="3">
                  <c:v>14.769159520608635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17-8B4B-A988-5D4759705BE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7255786956237795"/>
          <c:y val="0.40719489966399819"/>
          <c:w val="0.23812739548680381"/>
          <c:h val="0.36469857530028726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Figure</a:t>
            </a:r>
            <a:r>
              <a:rPr lang="en-GB" b="1" baseline="0">
                <a:solidFill>
                  <a:schemeClr val="tx1"/>
                </a:solidFill>
              </a:rPr>
              <a:t> </a:t>
            </a:r>
            <a:r>
              <a:rPr lang="en-GB" b="1">
                <a:solidFill>
                  <a:schemeClr val="tx1"/>
                </a:solidFill>
              </a:rPr>
              <a:t>5A: </a:t>
            </a:r>
            <a:r>
              <a:rPr lang="en-GB" sz="1400" b="1" i="0" u="none" strike="noStrike" baseline="0">
                <a:effectLst/>
              </a:rPr>
              <a:t>Chemical material composition for route A step-by-step procedure and sub-synthesis route to bis-THF alcohol</a:t>
            </a:r>
            <a:r>
              <a:rPr lang="en-GB" sz="1400" b="1" i="0" u="none" strike="noStrike" baseline="0"/>
              <a:t> </a:t>
            </a:r>
            <a:endParaRPr lang="en-GB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spPr>
            <a:ln>
              <a:solidFill>
                <a:schemeClr val="bg1"/>
              </a:solidFill>
            </a:ln>
            <a:effectLst>
              <a:outerShdw blurRad="50800" dist="38100" dir="13500000" algn="br" rotWithShape="0">
                <a:prstClr val="black">
                  <a:alpha val="40000"/>
                </a:prstClr>
              </a:outerShdw>
            </a:effectLst>
          </c:spPr>
          <c:dPt>
            <c:idx val="0"/>
            <c:bubble3D val="0"/>
            <c:spPr>
              <a:solidFill>
                <a:srgbClr val="FF2F92"/>
              </a:solidFill>
              <a:ln w="19050">
                <a:solidFill>
                  <a:schemeClr val="bg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9DF-9243-8568-A4242D5627EC}"/>
              </c:ext>
            </c:extLst>
          </c:dPt>
          <c:dPt>
            <c:idx val="1"/>
            <c:bubble3D val="0"/>
            <c:spPr>
              <a:solidFill>
                <a:srgbClr val="FBF000"/>
              </a:solidFill>
              <a:ln w="19050">
                <a:solidFill>
                  <a:schemeClr val="bg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89DF-9243-8568-A4242D5627EC}"/>
              </c:ext>
            </c:extLst>
          </c:dPt>
          <c:dPt>
            <c:idx val="2"/>
            <c:bubble3D val="0"/>
            <c:spPr>
              <a:solidFill>
                <a:srgbClr val="00B050"/>
              </a:solidFill>
              <a:ln w="19050">
                <a:solidFill>
                  <a:schemeClr val="bg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9DF-9243-8568-A4242D5627EC}"/>
              </c:ext>
            </c:extLst>
          </c:dPt>
          <c:dPt>
            <c:idx val="3"/>
            <c:bubble3D val="0"/>
            <c:spPr>
              <a:solidFill>
                <a:srgbClr val="0070C0"/>
              </a:solidFill>
              <a:ln w="19050">
                <a:solidFill>
                  <a:schemeClr val="bg1"/>
                </a:solidFill>
              </a:ln>
              <a:effectLst>
                <a:outerShdw blurRad="50800" dist="38100" dir="13500000" algn="b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89DF-9243-8568-A4242D5627E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'Cummulative E-factor'!$A$19:$D$19</c:f>
              <c:strCache>
                <c:ptCount val="4"/>
                <c:pt idx="0">
                  <c:v>Starting Material (kg)</c:v>
                </c:pt>
                <c:pt idx="1">
                  <c:v>Solvents (kg)</c:v>
                </c:pt>
                <c:pt idx="2">
                  <c:v>Reagents (kg)</c:v>
                </c:pt>
                <c:pt idx="3">
                  <c:v>Water (kg)</c:v>
                </c:pt>
              </c:strCache>
            </c:strRef>
          </c:cat>
          <c:val>
            <c:numRef>
              <c:f>'Cummulative E-factor'!$A$20:$D$20</c:f>
              <c:numCache>
                <c:formatCode>0.00</c:formatCode>
                <c:ptCount val="4"/>
                <c:pt idx="0">
                  <c:v>3.1591724415670468</c:v>
                </c:pt>
                <c:pt idx="1">
                  <c:v>49.67404337485813</c:v>
                </c:pt>
                <c:pt idx="2">
                  <c:v>9.9260914123769606</c:v>
                </c:pt>
                <c:pt idx="3">
                  <c:v>40.625705310745126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DF-9243-8568-A4242D5627E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</c:legendEntry>
      <c:legendEntry>
        <c:idx val="3"/>
        <c:txPr>
          <a:bodyPr rot="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65758469306151224"/>
          <c:y val="0.49246201492043157"/>
          <c:w val="0.25271320142165549"/>
          <c:h val="0.3011821118708094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0.png"/><Relationship Id="rId2" Type="http://schemas.openxmlformats.org/officeDocument/2006/relationships/customXml" Target="../ink/ink1.xml"/><Relationship Id="rId1" Type="http://schemas.openxmlformats.org/officeDocument/2006/relationships/chart" Target="../charts/chart3.xml"/><Relationship Id="rId4" Type="http://schemas.openxmlformats.org/officeDocument/2006/relationships/customXml" Target="../ink/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19142</xdr:colOff>
      <xdr:row>151</xdr:row>
      <xdr:rowOff>202278</xdr:rowOff>
    </xdr:from>
    <xdr:to>
      <xdr:col>5</xdr:col>
      <xdr:colOff>1574800</xdr:colOff>
      <xdr:row>154</xdr:row>
      <xdr:rowOff>135466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9142" y="42315478"/>
          <a:ext cx="15322458" cy="542788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600" b="1"/>
            <a:t>Figure 1A:</a:t>
          </a:r>
          <a:r>
            <a:rPr lang="en-US" sz="1600" b="1" baseline="0"/>
            <a:t> </a:t>
          </a:r>
          <a:r>
            <a:rPr lang="en-US" sz="1600" b="1"/>
            <a:t>Schematic</a:t>
          </a:r>
          <a:r>
            <a:rPr lang="en-US" sz="1600" b="1" baseline="0"/>
            <a:t> representation of route A main step-by-step synthesis to bis-THF alcohol from advanced starting material 4-benzylox-1-butanal (1a) and ethyl glyoxylate (2a)</a:t>
          </a:r>
          <a:endParaRPr lang="en-US" sz="1600" b="1"/>
        </a:p>
      </xdr:txBody>
    </xdr:sp>
    <xdr:clientData/>
  </xdr:twoCellAnchor>
  <xdr:twoCellAnchor editAs="oneCell">
    <xdr:from>
      <xdr:col>0</xdr:col>
      <xdr:colOff>0</xdr:colOff>
      <xdr:row>155</xdr:row>
      <xdr:rowOff>24750</xdr:rowOff>
    </xdr:from>
    <xdr:to>
      <xdr:col>5</xdr:col>
      <xdr:colOff>1644753</xdr:colOff>
      <xdr:row>189</xdr:row>
      <xdr:rowOff>15753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646EE9E-B043-484E-B44B-9613E9E2C4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4481307"/>
          <a:ext cx="15406556" cy="70696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16</xdr:row>
      <xdr:rowOff>95250</xdr:rowOff>
    </xdr:from>
    <xdr:to>
      <xdr:col>2</xdr:col>
      <xdr:colOff>2438400</xdr:colOff>
      <xdr:row>33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40317</xdr:colOff>
      <xdr:row>76</xdr:row>
      <xdr:rowOff>50595</xdr:rowOff>
    </xdr:from>
    <xdr:to>
      <xdr:col>3</xdr:col>
      <xdr:colOff>2006600</xdr:colOff>
      <xdr:row>77</xdr:row>
      <xdr:rowOff>177800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/>
      </xdr:nvSpPr>
      <xdr:spPr>
        <a:xfrm>
          <a:off x="40317" y="16509795"/>
          <a:ext cx="8836983" cy="33040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1"/>
            <a:t>Figure 3A:</a:t>
          </a:r>
          <a:r>
            <a:rPr lang="en-US" sz="1200" b="1" baseline="0"/>
            <a:t> </a:t>
          </a:r>
          <a:r>
            <a:rPr lang="en-US" sz="1200" b="1"/>
            <a:t>Schematic</a:t>
          </a:r>
          <a:r>
            <a:rPr lang="en-US" sz="1200" b="1" baseline="0"/>
            <a:t> representation of route A sub-synthesis to advanced strating material 4-benzylox-1-butanal from 1,4-butanediol</a:t>
          </a:r>
          <a:endParaRPr lang="en-US" sz="1200" b="1"/>
        </a:p>
      </xdr:txBody>
    </xdr:sp>
    <xdr:clientData/>
  </xdr:twoCellAnchor>
  <xdr:twoCellAnchor editAs="oneCell">
    <xdr:from>
      <xdr:col>0</xdr:col>
      <xdr:colOff>0</xdr:colOff>
      <xdr:row>77</xdr:row>
      <xdr:rowOff>197277</xdr:rowOff>
    </xdr:from>
    <xdr:to>
      <xdr:col>4</xdr:col>
      <xdr:colOff>740915</xdr:colOff>
      <xdr:row>88</xdr:row>
      <xdr:rowOff>151920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69A27E2-9C7F-8341-A021-25CA0A238E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6707277"/>
          <a:ext cx="10242963" cy="214271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35279</xdr:colOff>
      <xdr:row>21</xdr:row>
      <xdr:rowOff>88900</xdr:rowOff>
    </xdr:from>
    <xdr:to>
      <xdr:col>3</xdr:col>
      <xdr:colOff>28223</xdr:colOff>
      <xdr:row>40</xdr:row>
      <xdr:rowOff>183445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326736</xdr:colOff>
      <xdr:row>12</xdr:row>
      <xdr:rowOff>187613</xdr:rowOff>
    </xdr:from>
    <xdr:ext cx="635000" cy="21916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400-000002000000}"/>
                </a:ext>
              </a:extLst>
            </xdr:cNvPr>
            <xdr:cNvSpPr txBox="1"/>
          </xdr:nvSpPr>
          <xdr:spPr>
            <a:xfrm>
              <a:off x="6662304" y="2814204"/>
              <a:ext cx="635000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lang="el-GR" sz="14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Σ</m:t>
                    </m:r>
                  </m:oMath>
                </m:oMathPara>
              </a14:m>
              <a:endParaRPr lang="en-US" sz="14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E4270D74-424D-3643-96EA-C6CB9F040438}"/>
                </a:ext>
              </a:extLst>
            </xdr:cNvPr>
            <xdr:cNvSpPr txBox="1"/>
          </xdr:nvSpPr>
          <xdr:spPr>
            <a:xfrm>
              <a:off x="6662304" y="2814204"/>
              <a:ext cx="635000" cy="2191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l-GR" sz="1400" i="0">
                  <a:latin typeface="Cambria Math" panose="02040503050406030204" pitchFamily="18" charset="0"/>
                  <a:ea typeface="Cambria Math" panose="02040503050406030204" pitchFamily="18" charset="0"/>
                </a:rPr>
                <a:t>Σ</a:t>
              </a:r>
              <a:endParaRPr lang="en-US" sz="1400"/>
            </a:p>
          </xdr:txBody>
        </xdr:sp>
      </mc:Fallback>
    </mc:AlternateContent>
    <xdr:clientData/>
  </xdr:oneCellAnchor>
  <xdr:twoCellAnchor>
    <xdr:from>
      <xdr:col>2</xdr:col>
      <xdr:colOff>2146300</xdr:colOff>
      <xdr:row>6</xdr:row>
      <xdr:rowOff>88900</xdr:rowOff>
    </xdr:from>
    <xdr:to>
      <xdr:col>4</xdr:col>
      <xdr:colOff>431800</xdr:colOff>
      <xdr:row>8</xdr:row>
      <xdr:rowOff>114300</xdr:rowOff>
    </xdr:to>
    <xdr:sp macro="" textlink="">
      <xdr:nvSpPr>
        <xdr:cNvPr id="3" name="Right Brac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 rot="5400000">
          <a:off x="7048500" y="0"/>
          <a:ext cx="431800" cy="2260600"/>
        </a:xfrm>
        <a:prstGeom prst="rightBrace">
          <a:avLst/>
        </a:prstGeom>
        <a:ln>
          <a:solidFill>
            <a:srgbClr val="00B050"/>
          </a:solidFill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27516</xdr:colOff>
      <xdr:row>22</xdr:row>
      <xdr:rowOff>48682</xdr:rowOff>
    </xdr:from>
    <xdr:to>
      <xdr:col>4</xdr:col>
      <xdr:colOff>1557867</xdr:colOff>
      <xdr:row>41</xdr:row>
      <xdr:rowOff>16934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204920</xdr:colOff>
      <xdr:row>2</xdr:row>
      <xdr:rowOff>149039</xdr:rowOff>
    </xdr:from>
    <xdr:to>
      <xdr:col>2</xdr:col>
      <xdr:colOff>205280</xdr:colOff>
      <xdr:row>2</xdr:row>
      <xdr:rowOff>149399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">
          <xdr14:nvContentPartPr>
            <xdr14:cNvPr id="4" name="Ink 3">
              <a:extLst>
                <a:ext uri="{FF2B5EF4-FFF2-40B4-BE49-F238E27FC236}">
                  <a16:creationId xmlns:a16="http://schemas.microsoft.com/office/drawing/2014/main" id="{00000000-0008-0000-0400-000004000000}"/>
                </a:ext>
              </a:extLst>
            </xdr14:cNvPr>
            <xdr14:cNvContentPartPr/>
          </xdr14:nvContentPartPr>
          <xdr14:nvPr macro=""/>
          <xdr14:xfrm>
            <a:off x="4186800" y="731520"/>
            <a:ext cx="360" cy="360"/>
          </xdr14:xfrm>
        </xdr:contentPart>
      </mc:Choice>
      <mc:Fallback xmlns="">
        <xdr:pic>
          <xdr:nvPicPr>
            <xdr:cNvPr id="4" name="Ink 3">
              <a:extLst>
                <a:ext uri="{FF2B5EF4-FFF2-40B4-BE49-F238E27FC236}">
                  <a16:creationId xmlns:a16="http://schemas.microsoft.com/office/drawing/2014/main" id="{C8AE72FE-8130-D44F-BDC8-5D94A6A7E1A7}"/>
                </a:ext>
              </a:extLst>
            </xdr:cNvPr>
            <xdr:cNvPicPr/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4177800" y="722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</xdr:col>
      <xdr:colOff>1377439</xdr:colOff>
      <xdr:row>2</xdr:row>
      <xdr:rowOff>148679</xdr:rowOff>
    </xdr:from>
    <xdr:to>
      <xdr:col>1</xdr:col>
      <xdr:colOff>1377799</xdr:colOff>
      <xdr:row>2</xdr:row>
      <xdr:rowOff>149039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">
          <xdr14:nvContentPartPr>
            <xdr14:cNvPr id="5" name="Ink 4">
              <a:extLst>
                <a:ext uri="{FF2B5EF4-FFF2-40B4-BE49-F238E27FC236}">
                  <a16:creationId xmlns:a16="http://schemas.microsoft.com/office/drawing/2014/main" id="{00000000-0008-0000-0400-000005000000}"/>
                </a:ext>
              </a:extLst>
            </xdr14:cNvPr>
            <xdr14:cNvContentPartPr/>
          </xdr14:nvContentPartPr>
          <xdr14:nvPr macro=""/>
          <xdr14:xfrm>
            <a:off x="3229920" y="731160"/>
            <a:ext cx="360" cy="360"/>
          </xdr14:xfrm>
        </xdr:contentPart>
      </mc:Choice>
      <mc:Fallback xmlns="">
        <xdr:pic>
          <xdr:nvPicPr>
            <xdr:cNvPr id="5" name="Ink 4">
              <a:extLst>
                <a:ext uri="{FF2B5EF4-FFF2-40B4-BE49-F238E27FC236}">
                  <a16:creationId xmlns:a16="http://schemas.microsoft.com/office/drawing/2014/main" id="{CA69793B-AC5A-1346-98C4-4BCF0FE1F630}"/>
                </a:ext>
              </a:extLst>
            </xdr:cNvPr>
            <xdr:cNvPicPr/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3221280" y="72216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0-01-17T17:53:51.121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1 24575,'0'0'0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0-01-17T17:53:52.738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 0 24575,'0'0'0</inkml:trace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/catalog/search?term=112068-01-6&amp;interface=CAS%20No.&amp;N=0&amp;mode=partialmax&amp;lang=en&amp;region=ZA&amp;focus=product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eCl@ss%2038191001" TargetMode="External"/><Relationship Id="rId1" Type="http://schemas.openxmlformats.org/officeDocument/2006/relationships/hyperlink" Target="/catalog/search?term=112068-01-6&amp;interface=CAS%20No.&amp;N=0&amp;mode=partialmax&amp;lang=en&amp;region=ZA&amp;focus=product" TargetMode="External"/><Relationship Id="rId6" Type="http://schemas.openxmlformats.org/officeDocument/2006/relationships/hyperlink" Target="mailto:eCl@ss%2038191001" TargetMode="External"/><Relationship Id="rId5" Type="http://schemas.openxmlformats.org/officeDocument/2006/relationships/hyperlink" Target="/catalog/search?term=112068-01-6&amp;interface=CAS%20No.&amp;N=0&amp;mode=partialmax&amp;lang=en&amp;region=ZA&amp;focus=product" TargetMode="External"/><Relationship Id="rId10" Type="http://schemas.openxmlformats.org/officeDocument/2006/relationships/comments" Target="../comments1.xml"/><Relationship Id="rId4" Type="http://schemas.openxmlformats.org/officeDocument/2006/relationships/hyperlink" Target="mailto:eCl@ss%2038191001" TargetMode="External"/><Relationship Id="rId9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/catalog/search?term=7681-52-9&amp;interface=CAS%20No.&amp;N=0&amp;mode=partialmax&amp;lang=en&amp;region=US&amp;focus=product" TargetMode="External"/><Relationship Id="rId3" Type="http://schemas.openxmlformats.org/officeDocument/2006/relationships/hyperlink" Target="/catalog/search?term=2564-83-2&amp;interface=CAS%20No.&amp;N=0&amp;mode=partialmax&amp;lang=en&amp;region=US&amp;focus=product" TargetMode="External"/><Relationship Id="rId7" Type="http://schemas.openxmlformats.org/officeDocument/2006/relationships/hyperlink" Target="/catalog/search?term=2564-83-2&amp;interface=CAS%20No.&amp;N=0&amp;mode=partialmax&amp;lang=en&amp;region=US&amp;focus=product" TargetMode="External"/><Relationship Id="rId2" Type="http://schemas.openxmlformats.org/officeDocument/2006/relationships/hyperlink" Target="/catalog/search?term=7681-52-9&amp;interface=CAS%20No.&amp;N=0&amp;mode=partialmax&amp;lang=en&amp;region=US&amp;focus=product" TargetMode="External"/><Relationship Id="rId1" Type="http://schemas.openxmlformats.org/officeDocument/2006/relationships/hyperlink" Target="/catalog/search?term=2564-83-2&amp;interface=CAS%20No.&amp;N=0&amp;mode=partialmax&amp;lang=en&amp;region=US&amp;focus=product" TargetMode="External"/><Relationship Id="rId6" Type="http://schemas.openxmlformats.org/officeDocument/2006/relationships/hyperlink" Target="/catalog/search?term=7681-52-9&amp;interface=CAS%20No.&amp;N=0&amp;mode=partialmax&amp;lang=en&amp;region=US&amp;focus=product" TargetMode="External"/><Relationship Id="rId11" Type="http://schemas.openxmlformats.org/officeDocument/2006/relationships/comments" Target="../comments2.xml"/><Relationship Id="rId5" Type="http://schemas.openxmlformats.org/officeDocument/2006/relationships/hyperlink" Target="/catalog/search?term=2564-83-2&amp;interface=CAS%20No.&amp;N=0&amp;mode=partialmax&amp;lang=en&amp;region=US&amp;focus=product" TargetMode="External"/><Relationship Id="rId10" Type="http://schemas.openxmlformats.org/officeDocument/2006/relationships/vmlDrawing" Target="../drawings/vmlDrawing2.vml"/><Relationship Id="rId4" Type="http://schemas.openxmlformats.org/officeDocument/2006/relationships/hyperlink" Target="/catalog/search?term=7681-52-9&amp;interface=CAS%20No.&amp;N=0&amp;mode=partialmax&amp;lang=en&amp;region=US&amp;focus=product" TargetMode="External"/><Relationship Id="rId9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151"/>
  <sheetViews>
    <sheetView tabSelected="1" topLeftCell="N85" zoomScale="61" workbookViewId="0">
      <selection activeCell="AB119" sqref="AB119:AB127"/>
    </sheetView>
  </sheetViews>
  <sheetFormatPr defaultColWidth="11" defaultRowHeight="15.5"/>
  <cols>
    <col min="2" max="2" width="37.5" bestFit="1" customWidth="1"/>
    <col min="3" max="3" width="30.5" customWidth="1"/>
    <col min="4" max="4" width="71" bestFit="1" customWidth="1"/>
    <col min="5" max="5" width="30.6640625" bestFit="1" customWidth="1"/>
    <col min="6" max="6" width="33" bestFit="1" customWidth="1"/>
    <col min="7" max="7" width="65.5" bestFit="1" customWidth="1"/>
    <col min="8" max="8" width="26.83203125" bestFit="1" customWidth="1"/>
    <col min="9" max="9" width="15.5" customWidth="1"/>
    <col min="10" max="10" width="19.5" bestFit="1" customWidth="1"/>
    <col min="11" max="11" width="19.6640625" bestFit="1" customWidth="1"/>
    <col min="12" max="12" width="15.5" bestFit="1" customWidth="1"/>
    <col min="13" max="13" width="16.83203125" bestFit="1" customWidth="1"/>
    <col min="14" max="14" width="19.5" bestFit="1" customWidth="1"/>
    <col min="16" max="16" width="17.5" bestFit="1" customWidth="1"/>
    <col min="17" max="17" width="18.5" bestFit="1" customWidth="1"/>
    <col min="18" max="18" width="12.83203125" bestFit="1" customWidth="1"/>
    <col min="19" max="19" width="34.33203125" customWidth="1"/>
    <col min="21" max="21" width="21.5" bestFit="1" customWidth="1"/>
    <col min="22" max="22" width="30.5" bestFit="1" customWidth="1"/>
    <col min="23" max="23" width="18.1640625" bestFit="1" customWidth="1"/>
    <col min="25" max="25" width="30.1640625" bestFit="1" customWidth="1"/>
    <col min="26" max="26" width="18.33203125" customWidth="1"/>
    <col min="27" max="27" width="16.5" bestFit="1" customWidth="1"/>
    <col min="28" max="28" width="19.1640625" bestFit="1" customWidth="1"/>
  </cols>
  <sheetData>
    <row r="1" spans="1:34" ht="25.5" thickBot="1">
      <c r="A1" s="299" t="s">
        <v>222</v>
      </c>
      <c r="B1" s="300"/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0"/>
      <c r="N1" s="300"/>
      <c r="O1" s="300"/>
      <c r="P1" s="300"/>
      <c r="Q1" s="300"/>
      <c r="R1" s="300"/>
      <c r="S1" s="300"/>
      <c r="T1" s="300"/>
      <c r="U1" s="300"/>
      <c r="V1" s="300"/>
      <c r="W1" s="300"/>
      <c r="X1" s="300"/>
      <c r="Y1" s="300"/>
      <c r="Z1" s="300"/>
      <c r="AA1" s="300"/>
      <c r="AB1" s="301"/>
    </row>
    <row r="2" spans="1:34">
      <c r="A2" s="302" t="s">
        <v>159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W2" s="303"/>
      <c r="X2" s="303"/>
      <c r="Y2" s="303"/>
      <c r="Z2" s="303"/>
      <c r="AA2" s="303"/>
      <c r="AB2" s="304"/>
    </row>
    <row r="3" spans="1:34">
      <c r="A3" s="1" t="s">
        <v>0</v>
      </c>
      <c r="B3" s="2" t="s">
        <v>1</v>
      </c>
      <c r="C3" s="3" t="s">
        <v>2</v>
      </c>
      <c r="D3" s="4" t="s">
        <v>3</v>
      </c>
      <c r="E3" s="5" t="s">
        <v>156</v>
      </c>
      <c r="F3" s="5" t="s">
        <v>4</v>
      </c>
      <c r="G3" s="5" t="s">
        <v>5</v>
      </c>
      <c r="H3" s="6" t="s">
        <v>157</v>
      </c>
      <c r="I3" s="1" t="s">
        <v>158</v>
      </c>
      <c r="J3" s="7" t="s">
        <v>6</v>
      </c>
      <c r="K3" s="1" t="s">
        <v>7</v>
      </c>
      <c r="L3" s="6" t="s">
        <v>8</v>
      </c>
      <c r="M3" s="80" t="s">
        <v>60</v>
      </c>
      <c r="N3" s="1" t="s">
        <v>9</v>
      </c>
      <c r="O3" s="6" t="s">
        <v>10</v>
      </c>
      <c r="P3" s="6" t="s">
        <v>11</v>
      </c>
      <c r="Q3" s="80" t="s">
        <v>82</v>
      </c>
      <c r="R3" s="1" t="s">
        <v>12</v>
      </c>
      <c r="S3" s="1" t="s">
        <v>171</v>
      </c>
      <c r="T3" s="1" t="s">
        <v>13</v>
      </c>
      <c r="U3" s="1" t="s">
        <v>170</v>
      </c>
      <c r="V3" s="53" t="s">
        <v>155</v>
      </c>
      <c r="W3" s="1" t="s">
        <v>154</v>
      </c>
      <c r="X3" s="1" t="s">
        <v>14</v>
      </c>
      <c r="Y3" s="1" t="s">
        <v>162</v>
      </c>
      <c r="Z3" s="147" t="s">
        <v>152</v>
      </c>
      <c r="AA3" s="7" t="s">
        <v>151</v>
      </c>
      <c r="AB3" s="171" t="s">
        <v>153</v>
      </c>
    </row>
    <row r="4" spans="1:34" ht="17.5">
      <c r="A4" s="305" t="s">
        <v>268</v>
      </c>
      <c r="B4" s="8">
        <v>2</v>
      </c>
      <c r="C4" s="9"/>
      <c r="D4" s="188" t="s">
        <v>103</v>
      </c>
      <c r="E4" s="10" t="s">
        <v>48</v>
      </c>
      <c r="F4" s="107" t="s">
        <v>104</v>
      </c>
      <c r="G4" s="9"/>
      <c r="H4" s="11">
        <v>178.23</v>
      </c>
      <c r="I4" s="173" t="s">
        <v>112</v>
      </c>
      <c r="J4" s="12">
        <f>O4/O$4</f>
        <v>1</v>
      </c>
      <c r="K4" s="173" t="s">
        <v>112</v>
      </c>
      <c r="L4" s="245">
        <f>268.6*93.1%</f>
        <v>250.06659999999999</v>
      </c>
      <c r="M4" s="246">
        <f t="shared" ref="M4:M10" si="0">L4/1000</f>
        <v>0.25006659999999997</v>
      </c>
      <c r="N4" s="178" t="s">
        <v>112</v>
      </c>
      <c r="O4" s="245">
        <f t="shared" ref="O4:O10" si="1">L4/H4</f>
        <v>1.4030556023116199</v>
      </c>
      <c r="P4" s="11"/>
      <c r="Q4" s="11"/>
      <c r="R4" s="11"/>
      <c r="S4" s="11" t="s">
        <v>112</v>
      </c>
      <c r="T4" s="9" t="s">
        <v>112</v>
      </c>
      <c r="U4" s="9" t="s">
        <v>112</v>
      </c>
      <c r="V4" s="9" t="s">
        <v>112</v>
      </c>
      <c r="W4" s="57" t="s">
        <v>112</v>
      </c>
      <c r="X4" s="308">
        <f>R21/O4</f>
        <v>0.80663945044930829</v>
      </c>
      <c r="Y4" s="209">
        <f>(M4*Y92)/M92</f>
        <v>33.357959393132518</v>
      </c>
      <c r="Z4" s="311">
        <v>20</v>
      </c>
      <c r="AA4" s="312">
        <v>1</v>
      </c>
      <c r="AB4" s="311">
        <v>24</v>
      </c>
    </row>
    <row r="5" spans="1:34" ht="17.5">
      <c r="A5" s="306"/>
      <c r="B5" s="13">
        <v>3</v>
      </c>
      <c r="C5" s="14"/>
      <c r="D5" s="14" t="s">
        <v>15</v>
      </c>
      <c r="E5" s="18" t="s">
        <v>49</v>
      </c>
      <c r="F5" s="42" t="s">
        <v>22</v>
      </c>
      <c r="G5" s="14"/>
      <c r="H5" s="12">
        <v>102.09</v>
      </c>
      <c r="I5" s="12">
        <v>1.03</v>
      </c>
      <c r="J5" s="12">
        <f t="shared" ref="J5:J9" si="2">O5/O$4</f>
        <v>1.199796592113221</v>
      </c>
      <c r="K5" s="12" t="s">
        <v>133</v>
      </c>
      <c r="L5" s="19">
        <f>(338.3*50.8%)</f>
        <v>171.85640000000001</v>
      </c>
      <c r="M5" s="19">
        <f t="shared" si="0"/>
        <v>0.17185640000000002</v>
      </c>
      <c r="N5" s="19">
        <f>L5/I5</f>
        <v>166.85087378640776</v>
      </c>
      <c r="O5" s="19">
        <f t="shared" si="1"/>
        <v>1.6833813301988443</v>
      </c>
      <c r="P5" s="12"/>
      <c r="Q5" s="12"/>
      <c r="R5" s="12"/>
      <c r="S5" s="19">
        <v>100</v>
      </c>
      <c r="T5" s="17" t="s">
        <v>120</v>
      </c>
      <c r="U5" s="19">
        <f>S5/(1000/H5)</f>
        <v>10.209000000000001</v>
      </c>
      <c r="V5" s="59" t="s">
        <v>112</v>
      </c>
      <c r="W5" s="61" t="s">
        <v>62</v>
      </c>
      <c r="X5" s="309"/>
      <c r="Y5" s="170">
        <f t="shared" ref="Y5:Y10" si="3">U5*O5</f>
        <v>17.185640000000003</v>
      </c>
      <c r="Z5" s="311"/>
      <c r="AA5" s="314"/>
      <c r="AB5" s="311"/>
    </row>
    <row r="6" spans="1:34" s="127" customFormat="1" ht="17.5">
      <c r="A6" s="306"/>
      <c r="B6" s="17"/>
      <c r="C6" s="17"/>
      <c r="D6" s="17" t="s">
        <v>202</v>
      </c>
      <c r="E6" s="18" t="s">
        <v>17</v>
      </c>
      <c r="F6" s="190" t="s">
        <v>18</v>
      </c>
      <c r="G6" s="17"/>
      <c r="H6" s="19">
        <v>92.14</v>
      </c>
      <c r="I6" s="19">
        <v>0.86499999999999999</v>
      </c>
      <c r="J6" s="12">
        <f t="shared" si="2"/>
        <v>1.2874904324749883</v>
      </c>
      <c r="K6" s="179" t="s">
        <v>112</v>
      </c>
      <c r="L6" s="19">
        <f>(338.3*49.2%)</f>
        <v>166.44360000000003</v>
      </c>
      <c r="M6" s="19">
        <f t="shared" si="0"/>
        <v>0.16644360000000002</v>
      </c>
      <c r="N6" s="19">
        <f>L6/I6</f>
        <v>192.4203468208093</v>
      </c>
      <c r="O6" s="19">
        <f t="shared" si="1"/>
        <v>1.8064206642066425</v>
      </c>
      <c r="P6" s="150"/>
      <c r="Q6" s="19"/>
      <c r="R6" s="19"/>
      <c r="S6" s="19">
        <f>1800</f>
        <v>1800</v>
      </c>
      <c r="T6" s="17" t="s">
        <v>213</v>
      </c>
      <c r="U6" s="19">
        <f>S6/((I6*200000)/H6)</f>
        <v>0.95868208092485552</v>
      </c>
      <c r="V6" s="191" t="s">
        <v>212</v>
      </c>
      <c r="W6" s="55" t="s">
        <v>63</v>
      </c>
      <c r="X6" s="309"/>
      <c r="Y6" s="126">
        <f t="shared" si="3"/>
        <v>1.7317831213872836</v>
      </c>
      <c r="Z6" s="311"/>
      <c r="AA6" s="314"/>
      <c r="AB6" s="311"/>
    </row>
    <row r="7" spans="1:34" ht="17.5">
      <c r="A7" s="306"/>
      <c r="B7" s="17"/>
      <c r="C7" s="17"/>
      <c r="D7" s="17" t="s">
        <v>177</v>
      </c>
      <c r="E7" s="18" t="s">
        <v>130</v>
      </c>
      <c r="F7" s="42" t="s">
        <v>22</v>
      </c>
      <c r="G7" s="17"/>
      <c r="H7" s="19">
        <v>74.040000000000006</v>
      </c>
      <c r="I7" s="19">
        <v>1.3420000000000001</v>
      </c>
      <c r="J7" s="12">
        <f>O7/O$4</f>
        <v>0.17134786994527476</v>
      </c>
      <c r="K7" s="19" t="s">
        <v>134</v>
      </c>
      <c r="L7" s="19">
        <v>17.8</v>
      </c>
      <c r="M7" s="19">
        <f t="shared" si="0"/>
        <v>1.78E-2</v>
      </c>
      <c r="N7" s="19">
        <f>L7/I7</f>
        <v>13.263785394932937</v>
      </c>
      <c r="O7" s="19">
        <f t="shared" si="1"/>
        <v>0.2404105888708806</v>
      </c>
      <c r="P7" s="19"/>
      <c r="Q7" s="19"/>
      <c r="R7" s="19"/>
      <c r="S7" s="19">
        <v>117</v>
      </c>
      <c r="T7" s="17" t="s">
        <v>120</v>
      </c>
      <c r="U7" s="19">
        <f>S7/(1000/H7)</f>
        <v>8.6626799999999999</v>
      </c>
      <c r="V7" s="128" t="s">
        <v>132</v>
      </c>
      <c r="W7" s="18" t="s">
        <v>131</v>
      </c>
      <c r="X7" s="309"/>
      <c r="Y7" s="126">
        <f t="shared" si="3"/>
        <v>2.0825999999999998</v>
      </c>
      <c r="Z7" s="311"/>
      <c r="AA7" s="314"/>
      <c r="AB7" s="311"/>
    </row>
    <row r="8" spans="1:34" ht="17.5">
      <c r="A8" s="306"/>
      <c r="B8" s="20"/>
      <c r="C8" s="20"/>
      <c r="D8" s="21" t="s">
        <v>19</v>
      </c>
      <c r="E8" s="192" t="s">
        <v>20</v>
      </c>
      <c r="F8" s="156" t="s">
        <v>19</v>
      </c>
      <c r="G8" s="20"/>
      <c r="H8" s="22">
        <v>18.02</v>
      </c>
      <c r="I8" s="22">
        <v>1</v>
      </c>
      <c r="J8" s="22">
        <f t="shared" si="2"/>
        <v>5.7034231164058751</v>
      </c>
      <c r="K8" s="175" t="s">
        <v>112</v>
      </c>
      <c r="L8" s="22">
        <f>126.4 + 17.8</f>
        <v>144.20000000000002</v>
      </c>
      <c r="M8" s="19">
        <f t="shared" si="0"/>
        <v>0.14420000000000002</v>
      </c>
      <c r="N8" s="22">
        <f>L8/I8</f>
        <v>144.20000000000002</v>
      </c>
      <c r="O8" s="22">
        <f>L8/H8</f>
        <v>8.0022197558268608</v>
      </c>
      <c r="P8" s="22"/>
      <c r="Q8" s="22"/>
      <c r="R8" s="22"/>
      <c r="S8" s="22">
        <f>285</f>
        <v>285</v>
      </c>
      <c r="T8" s="21" t="s">
        <v>108</v>
      </c>
      <c r="U8" s="22">
        <f>S8/((I8*16000)/H8)</f>
        <v>0.32098125</v>
      </c>
      <c r="V8" s="21" t="s">
        <v>172</v>
      </c>
      <c r="W8" s="193" t="s">
        <v>61</v>
      </c>
      <c r="X8" s="309"/>
      <c r="Y8" s="132">
        <f t="shared" si="3"/>
        <v>2.5685625000000005</v>
      </c>
      <c r="Z8" s="311"/>
      <c r="AA8" s="314"/>
      <c r="AB8" s="311"/>
    </row>
    <row r="9" spans="1:34" s="127" customFormat="1" ht="17.5">
      <c r="A9" s="306"/>
      <c r="B9" s="14"/>
      <c r="C9" s="14"/>
      <c r="D9" s="14" t="s">
        <v>166</v>
      </c>
      <c r="E9" s="23" t="s">
        <v>21</v>
      </c>
      <c r="F9" s="190" t="s">
        <v>18</v>
      </c>
      <c r="G9" s="14"/>
      <c r="H9" s="12">
        <v>72.11</v>
      </c>
      <c r="I9" s="12">
        <v>0.88900000000000001</v>
      </c>
      <c r="J9" s="12">
        <f t="shared" si="2"/>
        <v>3.0887278493521872</v>
      </c>
      <c r="K9" s="176" t="s">
        <v>112</v>
      </c>
      <c r="L9" s="12">
        <v>312.5</v>
      </c>
      <c r="M9" s="19">
        <f t="shared" si="0"/>
        <v>0.3125</v>
      </c>
      <c r="N9" s="12">
        <f>L9/I9</f>
        <v>351.5185601799775</v>
      </c>
      <c r="O9" s="12">
        <f t="shared" si="1"/>
        <v>4.3336569130495075</v>
      </c>
      <c r="P9" s="12"/>
      <c r="Q9" s="12"/>
      <c r="R9" s="12"/>
      <c r="S9" s="12">
        <v>6860</v>
      </c>
      <c r="T9" s="14" t="s">
        <v>213</v>
      </c>
      <c r="U9" s="12">
        <f>S9/((I9*200000)/H9)</f>
        <v>2.7821968503937007</v>
      </c>
      <c r="V9" s="191" t="s">
        <v>216</v>
      </c>
      <c r="W9" s="55" t="s">
        <v>65</v>
      </c>
      <c r="X9" s="309"/>
      <c r="Y9" s="126">
        <f t="shared" si="3"/>
        <v>12.057086614173228</v>
      </c>
      <c r="Z9" s="311"/>
      <c r="AA9" s="314"/>
      <c r="AB9" s="311"/>
    </row>
    <row r="10" spans="1:34" ht="17.5">
      <c r="A10" s="306"/>
      <c r="B10" s="16"/>
      <c r="C10" s="281">
        <v>4</v>
      </c>
      <c r="D10" s="16" t="s">
        <v>169</v>
      </c>
      <c r="E10" s="16" t="s">
        <v>47</v>
      </c>
      <c r="F10" s="157" t="s">
        <v>41</v>
      </c>
      <c r="G10" s="16"/>
      <c r="H10" s="15">
        <f>253.35</f>
        <v>253.35</v>
      </c>
      <c r="I10" s="172" t="s">
        <v>112</v>
      </c>
      <c r="J10" s="15">
        <f>O10/O$4</f>
        <v>2.9890779121308868E-2</v>
      </c>
      <c r="K10" s="15" t="s">
        <v>129</v>
      </c>
      <c r="L10" s="15">
        <f>10.7*99.3%</f>
        <v>10.6251</v>
      </c>
      <c r="M10" s="19">
        <f t="shared" si="0"/>
        <v>1.06251E-2</v>
      </c>
      <c r="N10" s="172" t="s">
        <v>112</v>
      </c>
      <c r="O10" s="49">
        <f t="shared" si="1"/>
        <v>4.1938425103611607E-2</v>
      </c>
      <c r="P10" s="15"/>
      <c r="Q10" s="15"/>
      <c r="R10" s="15"/>
      <c r="S10" s="15">
        <v>9.9499999999999993</v>
      </c>
      <c r="T10" s="16" t="s">
        <v>23</v>
      </c>
      <c r="U10" s="15">
        <f>S10/(5/H10)</f>
        <v>504.16649999999998</v>
      </c>
      <c r="V10" s="50" t="s">
        <v>24</v>
      </c>
      <c r="W10" s="63" t="s">
        <v>64</v>
      </c>
      <c r="X10" s="309"/>
      <c r="Y10" s="51">
        <f t="shared" si="3"/>
        <v>21.143948999999999</v>
      </c>
      <c r="Z10" s="311"/>
      <c r="AA10" s="314"/>
      <c r="AB10" s="311"/>
    </row>
    <row r="11" spans="1:34" ht="17.5">
      <c r="A11" s="306"/>
      <c r="B11" s="17"/>
      <c r="C11" s="13">
        <v>5</v>
      </c>
      <c r="D11" s="17"/>
      <c r="E11" s="18" t="s">
        <v>205</v>
      </c>
      <c r="F11" s="17" t="s">
        <v>180</v>
      </c>
      <c r="G11" s="17"/>
      <c r="H11" s="174">
        <v>280.32</v>
      </c>
      <c r="I11" s="174" t="s">
        <v>112</v>
      </c>
      <c r="J11" s="174" t="s">
        <v>112</v>
      </c>
      <c r="K11" s="174" t="s">
        <v>112</v>
      </c>
      <c r="L11" s="174" t="s">
        <v>112</v>
      </c>
      <c r="M11" s="174" t="s">
        <v>112</v>
      </c>
      <c r="N11" s="174" t="s">
        <v>112</v>
      </c>
      <c r="O11" s="174"/>
      <c r="P11" s="174" t="s">
        <v>112</v>
      </c>
      <c r="Q11" s="174" t="s">
        <v>112</v>
      </c>
      <c r="R11" s="174" t="s">
        <v>112</v>
      </c>
      <c r="S11" s="174" t="s">
        <v>112</v>
      </c>
      <c r="T11" s="174" t="s">
        <v>112</v>
      </c>
      <c r="U11" s="174" t="s">
        <v>112</v>
      </c>
      <c r="V11" s="198" t="s">
        <v>112</v>
      </c>
      <c r="W11" s="174" t="s">
        <v>112</v>
      </c>
      <c r="X11" s="309"/>
      <c r="Y11" s="174" t="s">
        <v>112</v>
      </c>
      <c r="Z11" s="312"/>
      <c r="AA11" s="314"/>
      <c r="AB11" s="312"/>
    </row>
    <row r="12" spans="1:34" ht="16" thickBot="1">
      <c r="A12" s="307"/>
      <c r="B12" s="25"/>
      <c r="C12" s="25"/>
      <c r="D12" s="25"/>
      <c r="E12" s="26"/>
      <c r="F12" s="25"/>
      <c r="G12" s="25"/>
      <c r="H12" s="27"/>
      <c r="I12" s="28"/>
      <c r="J12" s="28"/>
      <c r="K12" s="28"/>
      <c r="L12" s="28"/>
      <c r="M12" s="28"/>
      <c r="N12" s="28"/>
      <c r="O12" s="29"/>
      <c r="P12" s="28"/>
      <c r="Q12" s="28"/>
      <c r="R12" s="28"/>
      <c r="S12" s="27"/>
      <c r="T12" s="25"/>
      <c r="U12" s="30"/>
      <c r="V12" s="54"/>
      <c r="W12" s="62"/>
      <c r="X12" s="309"/>
      <c r="Y12" s="137"/>
      <c r="Z12" s="313"/>
      <c r="AA12" s="315"/>
      <c r="AB12" s="313"/>
    </row>
    <row r="13" spans="1:34">
      <c r="A13" s="295" t="s">
        <v>269</v>
      </c>
      <c r="B13" s="31"/>
      <c r="C13" s="31"/>
      <c r="D13" s="31"/>
      <c r="E13" s="31"/>
      <c r="F13" s="31"/>
      <c r="G13" s="31"/>
      <c r="H13" s="32"/>
      <c r="I13" s="32"/>
      <c r="J13" s="33"/>
      <c r="K13" s="32"/>
      <c r="L13" s="32"/>
      <c r="M13" s="32"/>
      <c r="N13" s="32"/>
      <c r="O13" s="32"/>
      <c r="P13" s="32"/>
      <c r="Q13" s="32"/>
      <c r="R13" s="32"/>
      <c r="S13" s="32"/>
      <c r="T13" s="31"/>
      <c r="U13" s="32"/>
      <c r="V13" s="34"/>
      <c r="W13" s="64"/>
      <c r="X13" s="309"/>
      <c r="Y13" s="170"/>
      <c r="Z13" s="317">
        <v>20</v>
      </c>
      <c r="AA13" s="318">
        <v>1</v>
      </c>
      <c r="AB13" s="314">
        <v>9</v>
      </c>
      <c r="AD13">
        <f>80.84%*1.4</f>
        <v>1.1317599999999999</v>
      </c>
      <c r="AE13">
        <v>1.1317599999999999</v>
      </c>
      <c r="AF13">
        <f>1.13176*H21</f>
        <v>369.39514640000004</v>
      </c>
      <c r="AG13">
        <f>AF13/58.9%</f>
        <v>627.15644550084903</v>
      </c>
      <c r="AH13">
        <v>627.15644550084903</v>
      </c>
    </row>
    <row r="14" spans="1:34">
      <c r="A14" s="296"/>
      <c r="B14" s="14"/>
      <c r="C14" s="14"/>
      <c r="D14" s="35" t="s">
        <v>178</v>
      </c>
      <c r="E14" s="17" t="s">
        <v>26</v>
      </c>
      <c r="F14" s="195" t="s">
        <v>22</v>
      </c>
      <c r="G14" s="35"/>
      <c r="H14" s="36">
        <v>58.44</v>
      </c>
      <c r="I14" s="12">
        <v>2.16</v>
      </c>
      <c r="J14" s="12">
        <f>O14/O$4</f>
        <v>1.53058917096272</v>
      </c>
      <c r="K14" s="179" t="s">
        <v>112</v>
      </c>
      <c r="L14" s="12">
        <f>100+12.5+13</f>
        <v>125.5</v>
      </c>
      <c r="M14" s="12">
        <f t="shared" ref="M14:M20" si="4">L14/1000</f>
        <v>0.1255</v>
      </c>
      <c r="N14" s="12">
        <f>L14/I14</f>
        <v>58.101851851851848</v>
      </c>
      <c r="O14" s="12">
        <f t="shared" ref="O14:O20" si="5">L14/H14</f>
        <v>2.147501711156742</v>
      </c>
      <c r="P14" s="12"/>
      <c r="Q14" s="12"/>
      <c r="R14" s="12"/>
      <c r="S14" s="12">
        <v>528</v>
      </c>
      <c r="T14" s="14" t="s">
        <v>32</v>
      </c>
      <c r="U14" s="12">
        <f>S14/(50000/H14)</f>
        <v>0.61712639999999996</v>
      </c>
      <c r="V14" s="17" t="s">
        <v>173</v>
      </c>
      <c r="W14" s="55" t="s">
        <v>66</v>
      </c>
      <c r="X14" s="309"/>
      <c r="Y14" s="126">
        <f t="shared" ref="Y14:Y20" si="6">U14*O14</f>
        <v>1.32528</v>
      </c>
      <c r="Z14" s="317"/>
      <c r="AA14" s="314"/>
      <c r="AB14" s="314"/>
    </row>
    <row r="15" spans="1:34" ht="17.5">
      <c r="A15" s="296"/>
      <c r="B15" s="14"/>
      <c r="C15" s="14"/>
      <c r="D15" s="21" t="s">
        <v>19</v>
      </c>
      <c r="E15" s="192" t="s">
        <v>20</v>
      </c>
      <c r="F15" s="156" t="s">
        <v>19</v>
      </c>
      <c r="G15" s="35"/>
      <c r="H15" s="22">
        <v>18.02</v>
      </c>
      <c r="I15" s="22">
        <v>1</v>
      </c>
      <c r="J15" s="22">
        <f t="shared" ref="J15:J19" si="7">O15/O$4</f>
        <v>36.546206376969678</v>
      </c>
      <c r="K15" s="177" t="s">
        <v>112</v>
      </c>
      <c r="L15" s="22">
        <f>400 + 299 +225</f>
        <v>924</v>
      </c>
      <c r="M15" s="12">
        <f t="shared" si="4"/>
        <v>0.92400000000000004</v>
      </c>
      <c r="N15" s="22">
        <f>L15/I15</f>
        <v>924</v>
      </c>
      <c r="O15" s="22">
        <f t="shared" si="5"/>
        <v>51.276359600443953</v>
      </c>
      <c r="P15" s="12"/>
      <c r="Q15" s="12"/>
      <c r="R15" s="12"/>
      <c r="S15" s="22">
        <f>285</f>
        <v>285</v>
      </c>
      <c r="T15" s="21" t="s">
        <v>108</v>
      </c>
      <c r="U15" s="22">
        <f>S15/((I15*16000)/H15)</f>
        <v>0.32098125</v>
      </c>
      <c r="V15" s="21" t="s">
        <v>172</v>
      </c>
      <c r="W15" s="193" t="s">
        <v>61</v>
      </c>
      <c r="X15" s="309"/>
      <c r="Y15" s="126">
        <f>U15*O15</f>
        <v>16.458750000000002</v>
      </c>
      <c r="Z15" s="317"/>
      <c r="AA15" s="314"/>
      <c r="AB15" s="314"/>
    </row>
    <row r="16" spans="1:34" ht="17.5">
      <c r="A16" s="296"/>
      <c r="B16" s="14"/>
      <c r="C16" s="14"/>
      <c r="D16" s="14" t="s">
        <v>203</v>
      </c>
      <c r="E16" s="18" t="s">
        <v>27</v>
      </c>
      <c r="F16" s="190" t="s">
        <v>18</v>
      </c>
      <c r="G16" s="14"/>
      <c r="H16" s="12">
        <v>32.04</v>
      </c>
      <c r="I16" s="12">
        <v>0.79100000000000004</v>
      </c>
      <c r="J16" s="12">
        <f t="shared" si="7"/>
        <v>4.9984538051647309</v>
      </c>
      <c r="K16" s="14" t="s">
        <v>146</v>
      </c>
      <c r="L16" s="12">
        <v>224.7</v>
      </c>
      <c r="M16" s="12">
        <f t="shared" si="4"/>
        <v>0.22469999999999998</v>
      </c>
      <c r="N16" s="12">
        <f>L16/I16</f>
        <v>284.07079646017695</v>
      </c>
      <c r="O16" s="12">
        <f t="shared" si="5"/>
        <v>7.0131086142322099</v>
      </c>
      <c r="P16" s="12"/>
      <c r="Q16" s="12"/>
      <c r="R16" s="12"/>
      <c r="S16" s="12">
        <f>300</f>
        <v>300</v>
      </c>
      <c r="T16" s="14" t="s">
        <v>174</v>
      </c>
      <c r="U16" s="12">
        <f>S16/((I16*10000)/H16)</f>
        <v>1.2151706700379266</v>
      </c>
      <c r="V16" s="17" t="s">
        <v>175</v>
      </c>
      <c r="W16" s="55" t="s">
        <v>67</v>
      </c>
      <c r="X16" s="309"/>
      <c r="Y16" s="126">
        <f>U16*O16</f>
        <v>8.5221238938053094</v>
      </c>
      <c r="Z16" s="317"/>
      <c r="AA16" s="314"/>
      <c r="AB16" s="314"/>
    </row>
    <row r="17" spans="1:28" s="127" customFormat="1" ht="17.5">
      <c r="A17" s="296"/>
      <c r="B17" s="14"/>
      <c r="C17" s="14"/>
      <c r="D17" s="37" t="s">
        <v>252</v>
      </c>
      <c r="E17" s="18" t="s">
        <v>141</v>
      </c>
      <c r="F17" s="195" t="s">
        <v>22</v>
      </c>
      <c r="G17" s="14"/>
      <c r="H17" s="12">
        <f>106.12</f>
        <v>106.12</v>
      </c>
      <c r="I17" s="12">
        <v>0.97</v>
      </c>
      <c r="J17" s="12">
        <f t="shared" si="7"/>
        <v>2.4984911821978373</v>
      </c>
      <c r="K17" s="176" t="s">
        <v>112</v>
      </c>
      <c r="L17" s="12">
        <f>373.5*99.6%</f>
        <v>372.00599999999997</v>
      </c>
      <c r="M17" s="12">
        <f t="shared" si="4"/>
        <v>0.37200599999999995</v>
      </c>
      <c r="N17" s="12">
        <f>L17/I17</f>
        <v>383.51134020618554</v>
      </c>
      <c r="O17" s="12">
        <f t="shared" si="5"/>
        <v>3.5055220505088576</v>
      </c>
      <c r="P17" s="12"/>
      <c r="Q17" s="12"/>
      <c r="R17" s="12"/>
      <c r="S17" s="12">
        <f>930</f>
        <v>930</v>
      </c>
      <c r="T17" s="14" t="s">
        <v>28</v>
      </c>
      <c r="U17" s="19">
        <f>S17/((I17*20000)/H17)</f>
        <v>5.0871958762886598</v>
      </c>
      <c r="V17" s="14" t="s">
        <v>176</v>
      </c>
      <c r="W17" s="55" t="s">
        <v>68</v>
      </c>
      <c r="X17" s="309"/>
      <c r="Y17" s="126">
        <f t="shared" si="6"/>
        <v>17.833277319587626</v>
      </c>
      <c r="Z17" s="317"/>
      <c r="AA17" s="314"/>
      <c r="AB17" s="314"/>
    </row>
    <row r="18" spans="1:28" ht="17.5">
      <c r="A18" s="296"/>
      <c r="B18" s="14"/>
      <c r="C18" s="14"/>
      <c r="D18" s="163" t="s">
        <v>261</v>
      </c>
      <c r="E18" s="278" t="s">
        <v>262</v>
      </c>
      <c r="F18" s="157" t="s">
        <v>41</v>
      </c>
      <c r="G18" s="14"/>
      <c r="H18" s="12">
        <v>190.22</v>
      </c>
      <c r="I18" s="176" t="s">
        <v>112</v>
      </c>
      <c r="J18" s="12">
        <f t="shared" si="7"/>
        <v>4.9824039986881966E-2</v>
      </c>
      <c r="K18" s="14" t="s">
        <v>144</v>
      </c>
      <c r="L18" s="12">
        <f>13.5*98.5%</f>
        <v>13.297499999999999</v>
      </c>
      <c r="M18" s="12">
        <f t="shared" si="4"/>
        <v>1.32975E-2</v>
      </c>
      <c r="N18" s="176" t="s">
        <v>112</v>
      </c>
      <c r="O18" s="19">
        <f>L18/H18</f>
        <v>6.9905898433392913E-2</v>
      </c>
      <c r="P18" s="12"/>
      <c r="Q18" s="12"/>
      <c r="R18" s="12"/>
      <c r="S18" s="12">
        <v>20</v>
      </c>
      <c r="T18" s="14" t="s">
        <v>215</v>
      </c>
      <c r="U18" s="12">
        <f xml:space="preserve"> S18/(1000/H18)</f>
        <v>3.8043999999999998</v>
      </c>
      <c r="V18" s="38" t="s">
        <v>112</v>
      </c>
      <c r="W18" s="61" t="s">
        <v>69</v>
      </c>
      <c r="X18" s="309"/>
      <c r="Y18" s="170">
        <f t="shared" si="6"/>
        <v>0.26594999999999996</v>
      </c>
      <c r="Z18" s="317"/>
      <c r="AA18" s="314"/>
      <c r="AB18" s="314"/>
    </row>
    <row r="19" spans="1:28" ht="17.5">
      <c r="A19" s="296"/>
      <c r="B19" s="14"/>
      <c r="D19" s="14" t="s">
        <v>30</v>
      </c>
      <c r="E19" s="18" t="s">
        <v>31</v>
      </c>
      <c r="F19" s="42" t="s">
        <v>22</v>
      </c>
      <c r="G19" s="14"/>
      <c r="H19" s="12">
        <v>84.01</v>
      </c>
      <c r="I19" s="12">
        <v>2.2000000000000002</v>
      </c>
      <c r="J19" s="12">
        <f t="shared" si="7"/>
        <v>0.41655813973171596</v>
      </c>
      <c r="K19" s="176" t="s">
        <v>112</v>
      </c>
      <c r="L19" s="12">
        <f>23.6 + 13+12.5</f>
        <v>49.1</v>
      </c>
      <c r="M19" s="12">
        <f t="shared" si="4"/>
        <v>4.9100000000000005E-2</v>
      </c>
      <c r="N19" s="12">
        <f>L19/I19</f>
        <v>22.318181818181817</v>
      </c>
      <c r="O19" s="12">
        <f t="shared" si="5"/>
        <v>0.5844542316390906</v>
      </c>
      <c r="P19" s="12"/>
      <c r="Q19" s="12"/>
      <c r="R19" s="12"/>
      <c r="S19" s="12">
        <v>447</v>
      </c>
      <c r="T19" s="14" t="s">
        <v>32</v>
      </c>
      <c r="U19" s="12">
        <f>S19/(50000/H19)</f>
        <v>0.75104939999999998</v>
      </c>
      <c r="V19" s="17" t="s">
        <v>33</v>
      </c>
      <c r="W19" s="61" t="s">
        <v>70</v>
      </c>
      <c r="X19" s="309"/>
      <c r="Y19" s="170">
        <f>U19*O19</f>
        <v>0.43895400000000001</v>
      </c>
      <c r="Z19" s="317"/>
      <c r="AA19" s="314"/>
      <c r="AB19" s="314"/>
    </row>
    <row r="20" spans="1:28" s="127" customFormat="1" ht="17.5">
      <c r="A20" s="296"/>
      <c r="B20" s="14"/>
      <c r="C20" s="14"/>
      <c r="D20" s="14" t="s">
        <v>202</v>
      </c>
      <c r="E20" s="18" t="s">
        <v>17</v>
      </c>
      <c r="F20" s="190" t="s">
        <v>18</v>
      </c>
      <c r="G20" s="14"/>
      <c r="H20" s="12">
        <v>92.14</v>
      </c>
      <c r="I20" s="12">
        <v>0.86499999999999999</v>
      </c>
      <c r="J20" s="12">
        <f>O20/O$4</f>
        <v>1.695576776749105</v>
      </c>
      <c r="K20" s="179" t="s">
        <v>112</v>
      </c>
      <c r="L20" s="12">
        <v>219.2</v>
      </c>
      <c r="M20" s="12">
        <f t="shared" si="4"/>
        <v>0.21919999999999998</v>
      </c>
      <c r="N20" s="12">
        <f>L20/I20</f>
        <v>253.41040462427745</v>
      </c>
      <c r="O20" s="12">
        <f t="shared" si="5"/>
        <v>2.3789884957673104</v>
      </c>
      <c r="P20" s="12"/>
      <c r="Q20" s="12"/>
      <c r="R20" s="12"/>
      <c r="S20" s="19">
        <f>1800</f>
        <v>1800</v>
      </c>
      <c r="T20" s="17" t="s">
        <v>213</v>
      </c>
      <c r="U20" s="12">
        <f>S20/((I20*200000)/H20)</f>
        <v>0.95868208092485552</v>
      </c>
      <c r="V20" s="191" t="s">
        <v>212</v>
      </c>
      <c r="W20" s="55" t="s">
        <v>63</v>
      </c>
      <c r="X20" s="309"/>
      <c r="Y20" s="126">
        <f t="shared" si="6"/>
        <v>2.2806936416184969</v>
      </c>
      <c r="Z20" s="317"/>
      <c r="AA20" s="314"/>
      <c r="AB20" s="314"/>
    </row>
    <row r="21" spans="1:28" ht="17.5">
      <c r="A21" s="316"/>
      <c r="B21" s="65"/>
      <c r="C21" s="39">
        <v>6</v>
      </c>
      <c r="D21" s="65"/>
      <c r="E21" s="69" t="s">
        <v>142</v>
      </c>
      <c r="F21" s="70" t="s">
        <v>34</v>
      </c>
      <c r="G21" s="168" t="s">
        <v>71</v>
      </c>
      <c r="H21" s="66">
        <v>326.39</v>
      </c>
      <c r="I21" s="66"/>
      <c r="J21" s="66"/>
      <c r="K21" s="140">
        <v>0.58899999999999997</v>
      </c>
      <c r="L21" s="66"/>
      <c r="M21" s="66"/>
      <c r="N21" s="66"/>
      <c r="O21" s="66"/>
      <c r="P21" s="290">
        <f>627.1564455*58.9%</f>
        <v>369.39514639949999</v>
      </c>
      <c r="Q21" s="290">
        <f>P21/1000</f>
        <v>0.3693951463995</v>
      </c>
      <c r="R21" s="290">
        <f>P21/H21</f>
        <v>1.1317599999984682</v>
      </c>
      <c r="S21" s="66" t="s">
        <v>112</v>
      </c>
      <c r="T21" s="65" t="s">
        <v>112</v>
      </c>
      <c r="U21" s="66" t="s">
        <v>112</v>
      </c>
      <c r="V21" s="65" t="s">
        <v>112</v>
      </c>
      <c r="W21" s="67" t="s">
        <v>112</v>
      </c>
      <c r="X21" s="310"/>
      <c r="Y21" s="68"/>
      <c r="Z21" s="317"/>
      <c r="AA21" s="319"/>
      <c r="AB21" s="319"/>
    </row>
    <row r="22" spans="1:28">
      <c r="A22" s="320" t="s">
        <v>270</v>
      </c>
      <c r="B22" s="31"/>
      <c r="C22" s="31"/>
      <c r="D22" s="31"/>
      <c r="E22" s="31"/>
      <c r="F22" s="31"/>
      <c r="G22" s="9"/>
      <c r="H22" s="32"/>
      <c r="I22" s="32"/>
      <c r="J22" s="33"/>
      <c r="K22" s="32"/>
      <c r="L22" s="32"/>
      <c r="M22" s="32"/>
      <c r="N22" s="32"/>
      <c r="O22" s="32"/>
      <c r="P22" s="32"/>
      <c r="Q22" s="32"/>
      <c r="R22" s="32"/>
      <c r="S22" s="32"/>
      <c r="T22" s="31"/>
      <c r="U22" s="33"/>
      <c r="V22" s="31"/>
      <c r="W22" s="57"/>
      <c r="X22" s="308">
        <f>(R30/O23)</f>
        <v>0.98827495246222152</v>
      </c>
      <c r="Y22" s="169"/>
      <c r="Z22" s="312" t="s">
        <v>163</v>
      </c>
      <c r="AA22" s="312">
        <v>1</v>
      </c>
      <c r="AB22" s="322">
        <v>15.5</v>
      </c>
    </row>
    <row r="23" spans="1:28" ht="17.5">
      <c r="A23" s="321"/>
      <c r="B23" s="13">
        <v>6</v>
      </c>
      <c r="C23" s="41"/>
      <c r="D23" s="70" t="s">
        <v>71</v>
      </c>
      <c r="E23" s="69" t="s">
        <v>142</v>
      </c>
      <c r="F23" s="70" t="s">
        <v>34</v>
      </c>
      <c r="G23" s="41"/>
      <c r="H23" s="19">
        <v>326.39</v>
      </c>
      <c r="I23" s="178" t="s">
        <v>112</v>
      </c>
      <c r="J23" s="19">
        <f t="shared" ref="J23:J28" si="8">O23/O$23</f>
        <v>1</v>
      </c>
      <c r="K23" s="140">
        <v>0.58899999999999997</v>
      </c>
      <c r="L23" s="72">
        <f>513.1360611*58.9%</f>
        <v>302.23713998789998</v>
      </c>
      <c r="M23" s="72">
        <f t="shared" ref="M23:M29" si="9">L23/1000</f>
        <v>0.30223713998789997</v>
      </c>
      <c r="N23" s="178" t="s">
        <v>112</v>
      </c>
      <c r="O23" s="72">
        <f t="shared" ref="O23:O29" si="10">L23/H23</f>
        <v>0.92599999996292781</v>
      </c>
      <c r="P23" s="71"/>
      <c r="Q23" s="71"/>
      <c r="R23" s="71"/>
      <c r="S23" s="12" t="s">
        <v>112</v>
      </c>
      <c r="T23" s="14" t="s">
        <v>112</v>
      </c>
      <c r="U23" s="12" t="s">
        <v>112</v>
      </c>
      <c r="V23" s="17" t="s">
        <v>112</v>
      </c>
      <c r="W23" s="61" t="s">
        <v>112</v>
      </c>
      <c r="X23" s="309"/>
      <c r="Y23" s="68"/>
      <c r="Z23" s="314"/>
      <c r="AA23" s="314"/>
      <c r="AB23" s="323"/>
    </row>
    <row r="24" spans="1:28" s="127" customFormat="1" ht="17.5">
      <c r="A24" s="321"/>
      <c r="B24" s="14"/>
      <c r="C24" s="14"/>
      <c r="D24" s="14" t="s">
        <v>202</v>
      </c>
      <c r="E24" s="17" t="s">
        <v>17</v>
      </c>
      <c r="F24" s="190" t="s">
        <v>18</v>
      </c>
      <c r="G24" s="14"/>
      <c r="H24" s="12">
        <v>92.14</v>
      </c>
      <c r="I24" s="12">
        <v>0.86499999999999999</v>
      </c>
      <c r="J24" s="12">
        <f t="shared" si="8"/>
        <v>8.167916135084841</v>
      </c>
      <c r="K24" s="175" t="s">
        <v>112</v>
      </c>
      <c r="L24" s="12">
        <f>396.9 + 300</f>
        <v>696.9</v>
      </c>
      <c r="M24" s="12">
        <f t="shared" si="9"/>
        <v>0.69689999999999996</v>
      </c>
      <c r="N24" s="12">
        <f t="shared" ref="N24:N29" si="11">L24/I24</f>
        <v>805.66473988439304</v>
      </c>
      <c r="O24" s="12">
        <f t="shared" si="10"/>
        <v>7.5634903407857603</v>
      </c>
      <c r="P24" s="12"/>
      <c r="Q24" s="12"/>
      <c r="R24" s="12"/>
      <c r="S24" s="19">
        <f>1800</f>
        <v>1800</v>
      </c>
      <c r="T24" s="17" t="s">
        <v>213</v>
      </c>
      <c r="U24" s="12">
        <f>S24/((I24*200000)/H24)</f>
        <v>0.95868208092485552</v>
      </c>
      <c r="V24" s="191" t="s">
        <v>212</v>
      </c>
      <c r="W24" s="81" t="s">
        <v>63</v>
      </c>
      <c r="X24" s="309"/>
      <c r="Y24" s="126">
        <f t="shared" ref="Y24:Y28" si="12">U24*O24</f>
        <v>7.2509826589595372</v>
      </c>
      <c r="Z24" s="314"/>
      <c r="AA24" s="314"/>
      <c r="AB24" s="323"/>
    </row>
    <row r="25" spans="1:28" ht="17.5">
      <c r="A25" s="321"/>
      <c r="B25" s="14"/>
      <c r="C25" s="14"/>
      <c r="D25" s="14" t="s">
        <v>203</v>
      </c>
      <c r="E25" s="17" t="s">
        <v>27</v>
      </c>
      <c r="F25" s="190" t="s">
        <v>18</v>
      </c>
      <c r="G25" s="14"/>
      <c r="H25" s="12">
        <v>32.04</v>
      </c>
      <c r="I25" s="12">
        <v>0.79100000000000004</v>
      </c>
      <c r="J25" s="12">
        <f t="shared" si="8"/>
        <v>2.1234256316524633</v>
      </c>
      <c r="K25" s="179" t="s">
        <v>112</v>
      </c>
      <c r="L25" s="12">
        <v>63</v>
      </c>
      <c r="M25" s="12">
        <f t="shared" si="9"/>
        <v>6.3E-2</v>
      </c>
      <c r="N25" s="12">
        <f t="shared" si="11"/>
        <v>79.646017699115035</v>
      </c>
      <c r="O25" s="12">
        <f t="shared" si="10"/>
        <v>1.9662921348314608</v>
      </c>
      <c r="P25" s="12"/>
      <c r="Q25" s="12"/>
      <c r="R25" s="12"/>
      <c r="S25" s="12">
        <f>300</f>
        <v>300</v>
      </c>
      <c r="T25" s="14" t="s">
        <v>174</v>
      </c>
      <c r="U25" s="12">
        <f>S25/((I25*10000)/H25)</f>
        <v>1.2151706700379266</v>
      </c>
      <c r="V25" s="17" t="s">
        <v>175</v>
      </c>
      <c r="W25" s="81" t="s">
        <v>67</v>
      </c>
      <c r="X25" s="309"/>
      <c r="Y25" s="126">
        <f t="shared" si="12"/>
        <v>2.3893805309734515</v>
      </c>
      <c r="Z25" s="314"/>
      <c r="AA25" s="314"/>
      <c r="AB25" s="323"/>
    </row>
    <row r="26" spans="1:28" ht="17.5">
      <c r="A26" s="321"/>
      <c r="B26" s="14"/>
      <c r="C26" s="14"/>
      <c r="D26" s="43" t="s">
        <v>143</v>
      </c>
      <c r="E26" s="41" t="s">
        <v>204</v>
      </c>
      <c r="F26" s="42" t="s">
        <v>22</v>
      </c>
      <c r="G26" s="14"/>
      <c r="H26" s="12">
        <v>37.83</v>
      </c>
      <c r="I26" s="12">
        <v>1.07</v>
      </c>
      <c r="J26" s="12">
        <f t="shared" si="8"/>
        <v>1.5012255007512116</v>
      </c>
      <c r="K26" s="176" t="s">
        <v>112</v>
      </c>
      <c r="L26" s="12">
        <f>52.8*99.6%</f>
        <v>52.588799999999999</v>
      </c>
      <c r="M26" s="12">
        <f t="shared" si="9"/>
        <v>5.2588799999999998E-2</v>
      </c>
      <c r="N26" s="12">
        <f t="shared" si="11"/>
        <v>49.148411214953271</v>
      </c>
      <c r="O26" s="12">
        <f t="shared" si="10"/>
        <v>1.3901348136399683</v>
      </c>
      <c r="P26" s="12"/>
      <c r="Q26" s="12"/>
      <c r="R26" s="12"/>
      <c r="S26" s="12">
        <f>4970</f>
        <v>4970</v>
      </c>
      <c r="T26" s="14" t="s">
        <v>214</v>
      </c>
      <c r="U26" s="12">
        <f>S26/(40000/H26)</f>
        <v>4.7003774999999992</v>
      </c>
      <c r="V26" s="189">
        <v>8063739040</v>
      </c>
      <c r="W26" s="133" t="s">
        <v>72</v>
      </c>
      <c r="X26" s="309"/>
      <c r="Y26" s="170">
        <f t="shared" si="12"/>
        <v>6.534158399999999</v>
      </c>
      <c r="Z26" s="314"/>
      <c r="AA26" s="314"/>
      <c r="AB26" s="323"/>
    </row>
    <row r="27" spans="1:28">
      <c r="A27" s="321"/>
      <c r="B27" s="14"/>
      <c r="C27" s="14"/>
      <c r="D27" s="14" t="s">
        <v>178</v>
      </c>
      <c r="E27" s="14" t="s">
        <v>26</v>
      </c>
      <c r="F27" s="195" t="s">
        <v>22</v>
      </c>
      <c r="G27" s="14"/>
      <c r="H27" s="12">
        <v>58.44</v>
      </c>
      <c r="I27" s="12">
        <v>2.16</v>
      </c>
      <c r="J27" s="12">
        <f t="shared" si="8"/>
        <v>0.55437043478166392</v>
      </c>
      <c r="K27" s="14" t="s">
        <v>144</v>
      </c>
      <c r="L27" s="12">
        <v>30</v>
      </c>
      <c r="M27" s="12">
        <f t="shared" si="9"/>
        <v>0.03</v>
      </c>
      <c r="N27" s="12">
        <f t="shared" si="11"/>
        <v>13.888888888888888</v>
      </c>
      <c r="O27" s="12">
        <f t="shared" si="10"/>
        <v>0.51334702258726905</v>
      </c>
      <c r="P27" s="12"/>
      <c r="Q27" s="12"/>
      <c r="R27" s="12"/>
      <c r="S27" s="183">
        <v>528</v>
      </c>
      <c r="T27" s="191" t="s">
        <v>32</v>
      </c>
      <c r="U27" s="12">
        <f>S27/(50000/H27)</f>
        <v>0.61712639999999996</v>
      </c>
      <c r="V27" s="17" t="s">
        <v>173</v>
      </c>
      <c r="W27" s="81" t="s">
        <v>66</v>
      </c>
      <c r="X27" s="309"/>
      <c r="Y27" s="126">
        <f t="shared" si="12"/>
        <v>0.31680000000000003</v>
      </c>
      <c r="Z27" s="314"/>
      <c r="AA27" s="314"/>
      <c r="AB27" s="323"/>
    </row>
    <row r="28" spans="1:28" ht="17.5">
      <c r="A28" s="321"/>
      <c r="B28" s="14"/>
      <c r="C28" s="14"/>
      <c r="D28" s="21" t="s">
        <v>19</v>
      </c>
      <c r="E28" s="21" t="s">
        <v>20</v>
      </c>
      <c r="F28" s="156" t="s">
        <v>19</v>
      </c>
      <c r="G28" s="14"/>
      <c r="H28" s="22">
        <v>18.02</v>
      </c>
      <c r="I28" s="22">
        <v>1</v>
      </c>
      <c r="J28" s="22">
        <f t="shared" si="8"/>
        <v>43.148601387756408</v>
      </c>
      <c r="K28" s="179" t="s">
        <v>112</v>
      </c>
      <c r="L28" s="22">
        <f>270 +450</f>
        <v>720</v>
      </c>
      <c r="M28" s="12">
        <f t="shared" si="9"/>
        <v>0.72</v>
      </c>
      <c r="N28" s="22">
        <f t="shared" si="11"/>
        <v>720</v>
      </c>
      <c r="O28" s="22">
        <f t="shared" si="10"/>
        <v>39.955604883462819</v>
      </c>
      <c r="P28" s="12"/>
      <c r="Q28" s="12"/>
      <c r="R28" s="12"/>
      <c r="S28" s="22">
        <f>285</f>
        <v>285</v>
      </c>
      <c r="T28" s="21" t="s">
        <v>108</v>
      </c>
      <c r="U28" s="22">
        <f>S28/((I28*16000)/H28)</f>
        <v>0.32098125</v>
      </c>
      <c r="V28" s="21" t="s">
        <v>172</v>
      </c>
      <c r="W28" s="194" t="s">
        <v>61</v>
      </c>
      <c r="X28" s="309"/>
      <c r="Y28" s="126">
        <f t="shared" si="12"/>
        <v>12.824999999999999</v>
      </c>
      <c r="Z28" s="314"/>
      <c r="AA28" s="314"/>
      <c r="AB28" s="323"/>
    </row>
    <row r="29" spans="1:28" ht="17.5">
      <c r="A29" s="321"/>
      <c r="B29" s="14"/>
      <c r="C29" s="14"/>
      <c r="D29" s="14" t="s">
        <v>35</v>
      </c>
      <c r="E29" s="41" t="s">
        <v>36</v>
      </c>
      <c r="F29" s="116" t="s">
        <v>18</v>
      </c>
      <c r="G29" s="14"/>
      <c r="H29" s="12">
        <v>60.05</v>
      </c>
      <c r="I29" s="12">
        <v>1.0489999999999999</v>
      </c>
      <c r="J29" s="12">
        <f>O29/O$23</f>
        <v>1.348768035330576</v>
      </c>
      <c r="K29" s="179" t="s">
        <v>112</v>
      </c>
      <c r="L29" s="12">
        <v>75</v>
      </c>
      <c r="M29" s="12">
        <f t="shared" si="9"/>
        <v>7.4999999999999997E-2</v>
      </c>
      <c r="N29" s="12">
        <f t="shared" si="11"/>
        <v>71.496663489037189</v>
      </c>
      <c r="O29" s="12">
        <f t="shared" si="10"/>
        <v>1.2489592006661117</v>
      </c>
      <c r="P29" s="12"/>
      <c r="Q29" s="12"/>
      <c r="R29" s="12"/>
      <c r="S29" s="12">
        <f>2020</f>
        <v>2020</v>
      </c>
      <c r="T29" s="14" t="s">
        <v>217</v>
      </c>
      <c r="U29" s="12">
        <f>S29/(211000/H29)</f>
        <v>0.57488625592417053</v>
      </c>
      <c r="V29" s="189" t="s">
        <v>218</v>
      </c>
      <c r="W29" s="81" t="s">
        <v>50</v>
      </c>
      <c r="X29" s="309"/>
      <c r="Y29" s="170">
        <f>U29*O29</f>
        <v>0.7180094786729857</v>
      </c>
      <c r="Z29" s="314"/>
      <c r="AA29" s="314"/>
      <c r="AB29" s="323"/>
    </row>
    <row r="30" spans="1:28" ht="17.5">
      <c r="A30" s="321"/>
      <c r="B30" s="65"/>
      <c r="C30" s="39">
        <v>7</v>
      </c>
      <c r="D30" s="65"/>
      <c r="E30" s="74" t="s">
        <v>73</v>
      </c>
      <c r="F30" s="75" t="s">
        <v>34</v>
      </c>
      <c r="G30" s="180" t="s">
        <v>37</v>
      </c>
      <c r="H30" s="66">
        <v>284.35000000000002</v>
      </c>
      <c r="I30" s="66"/>
      <c r="J30" s="66"/>
      <c r="K30" s="139">
        <v>0.224</v>
      </c>
      <c r="L30" s="66"/>
      <c r="M30" s="66"/>
      <c r="N30" s="66"/>
      <c r="O30" s="66"/>
      <c r="P30" s="225">
        <f>1161.7*22.4%</f>
        <v>260.2208</v>
      </c>
      <c r="Q30" s="225">
        <f>P30/1000</f>
        <v>0.26022079999999997</v>
      </c>
      <c r="R30" s="225">
        <f>P30/H30</f>
        <v>0.91514260594337959</v>
      </c>
      <c r="S30" s="66" t="s">
        <v>112</v>
      </c>
      <c r="T30" s="65" t="s">
        <v>112</v>
      </c>
      <c r="U30" s="66" t="s">
        <v>112</v>
      </c>
      <c r="V30" s="65" t="s">
        <v>112</v>
      </c>
      <c r="W30" s="67" t="s">
        <v>112</v>
      </c>
      <c r="X30" s="310"/>
      <c r="Y30" s="138"/>
      <c r="Z30" s="319"/>
      <c r="AA30" s="319"/>
      <c r="AB30" s="324"/>
    </row>
    <row r="31" spans="1:28">
      <c r="A31" s="332" t="s">
        <v>271</v>
      </c>
      <c r="B31" s="31"/>
      <c r="C31" s="31"/>
      <c r="D31" s="31"/>
      <c r="E31" s="31"/>
      <c r="F31" s="31"/>
      <c r="G31" s="9"/>
      <c r="H31" s="32"/>
      <c r="I31" s="32"/>
      <c r="J31" s="33"/>
      <c r="K31" s="32"/>
      <c r="L31" s="32"/>
      <c r="M31" s="32"/>
      <c r="N31" s="32"/>
      <c r="O31" s="32"/>
      <c r="P31" s="32"/>
      <c r="Q31" s="32"/>
      <c r="R31" s="32"/>
      <c r="S31" s="32"/>
      <c r="T31" s="31"/>
      <c r="U31" s="32"/>
      <c r="V31" s="31"/>
      <c r="W31" s="57"/>
      <c r="X31" s="308">
        <f>(R39/O32)</f>
        <v>0.9902176128866057</v>
      </c>
      <c r="Y31" s="170"/>
      <c r="Z31" s="317">
        <v>25</v>
      </c>
      <c r="AA31" s="312" t="s">
        <v>139</v>
      </c>
      <c r="AB31" s="312">
        <v>6</v>
      </c>
    </row>
    <row r="32" spans="1:28" ht="17.5">
      <c r="A32" s="333"/>
      <c r="B32" s="13">
        <v>7</v>
      </c>
      <c r="C32" s="14"/>
      <c r="D32" s="73" t="s">
        <v>37</v>
      </c>
      <c r="E32" s="74" t="s">
        <v>73</v>
      </c>
      <c r="F32" s="75" t="s">
        <v>34</v>
      </c>
      <c r="G32" s="14"/>
      <c r="H32" s="12">
        <v>284.35000000000002</v>
      </c>
      <c r="I32" s="176" t="s">
        <v>112</v>
      </c>
      <c r="J32" s="12">
        <f t="shared" ref="J32:J38" si="13">O32/O$32</f>
        <v>1</v>
      </c>
      <c r="K32" s="139">
        <v>0.224</v>
      </c>
      <c r="L32" s="76">
        <f>333.8573661*22.4%</f>
        <v>74.784050006399994</v>
      </c>
      <c r="M32" s="76">
        <f>L32/1000</f>
        <v>7.4784050006399996E-2</v>
      </c>
      <c r="N32" s="176" t="s">
        <v>112</v>
      </c>
      <c r="O32" s="76">
        <f t="shared" ref="O32:O38" si="14">L32/H32</f>
        <v>0.26300000002250745</v>
      </c>
      <c r="P32" s="12"/>
      <c r="Q32" s="12"/>
      <c r="R32" s="12"/>
      <c r="S32" s="12"/>
      <c r="T32" s="14"/>
      <c r="U32" s="12"/>
      <c r="V32" s="14"/>
      <c r="W32" s="56"/>
      <c r="X32" s="309"/>
      <c r="Y32" s="170"/>
      <c r="Z32" s="317"/>
      <c r="AA32" s="314"/>
      <c r="AB32" s="314"/>
    </row>
    <row r="33" spans="1:28" s="127" customFormat="1" ht="17.5">
      <c r="A33" s="333"/>
      <c r="B33" s="14"/>
      <c r="C33" s="14"/>
      <c r="D33" s="14" t="s">
        <v>202</v>
      </c>
      <c r="E33" s="17" t="s">
        <v>17</v>
      </c>
      <c r="F33" s="190" t="s">
        <v>18</v>
      </c>
      <c r="G33" s="14"/>
      <c r="H33" s="12">
        <v>92.14</v>
      </c>
      <c r="I33" s="12">
        <v>0.86499999999999999</v>
      </c>
      <c r="J33" s="12">
        <f t="shared" si="13"/>
        <v>0.49932281917517179</v>
      </c>
      <c r="K33" s="175" t="s">
        <v>112</v>
      </c>
      <c r="L33" s="12">
        <f>12.1</f>
        <v>12.1</v>
      </c>
      <c r="M33" s="12">
        <f>L33/1000</f>
        <v>1.21E-2</v>
      </c>
      <c r="N33" s="12">
        <f t="shared" ref="N33:N35" si="15">L33/I33</f>
        <v>13.988439306358382</v>
      </c>
      <c r="O33" s="12">
        <f t="shared" si="14"/>
        <v>0.13132190145430866</v>
      </c>
      <c r="P33" s="12"/>
      <c r="Q33" s="12"/>
      <c r="R33" s="12"/>
      <c r="S33" s="19">
        <f>1800</f>
        <v>1800</v>
      </c>
      <c r="T33" s="17" t="s">
        <v>213</v>
      </c>
      <c r="U33" s="12">
        <f>S33/((I33*200000)/H33)</f>
        <v>0.95868208092485552</v>
      </c>
      <c r="V33" s="191" t="s">
        <v>212</v>
      </c>
      <c r="W33" s="55" t="s">
        <v>63</v>
      </c>
      <c r="X33" s="309"/>
      <c r="Y33" s="126">
        <f t="shared" ref="Y33:Y37" si="16">U33*O33</f>
        <v>0.12589595375722545</v>
      </c>
      <c r="Z33" s="317"/>
      <c r="AA33" s="314"/>
      <c r="AB33" s="314"/>
    </row>
    <row r="34" spans="1:28" ht="17.5">
      <c r="A34" s="333"/>
      <c r="B34" s="14"/>
      <c r="C34" s="14"/>
      <c r="D34" s="14" t="s">
        <v>38</v>
      </c>
      <c r="E34" s="41" t="s">
        <v>147</v>
      </c>
      <c r="F34" s="116" t="s">
        <v>18</v>
      </c>
      <c r="G34" s="14"/>
      <c r="H34" s="12">
        <v>60.1</v>
      </c>
      <c r="I34" s="12">
        <v>0.78500000000000003</v>
      </c>
      <c r="J34" s="12">
        <f t="shared" si="13"/>
        <v>10.679286106524245</v>
      </c>
      <c r="K34" s="175" t="s">
        <v>112</v>
      </c>
      <c r="L34" s="12">
        <v>168.8</v>
      </c>
      <c r="M34" s="12">
        <f t="shared" ref="M34:M38" si="17">L34/1000</f>
        <v>0.16880000000000001</v>
      </c>
      <c r="N34" s="12">
        <f t="shared" si="15"/>
        <v>215.03184713375796</v>
      </c>
      <c r="O34" s="12">
        <f t="shared" si="14"/>
        <v>2.8086522462562398</v>
      </c>
      <c r="P34" s="12"/>
      <c r="Q34" s="12"/>
      <c r="R34" s="12"/>
      <c r="S34" s="12">
        <f>391</f>
        <v>391</v>
      </c>
      <c r="T34" s="14" t="s">
        <v>53</v>
      </c>
      <c r="U34" s="12">
        <f>S34/((I34*18000)/H34)</f>
        <v>1.6630644019815994</v>
      </c>
      <c r="V34" s="189" t="s">
        <v>211</v>
      </c>
      <c r="W34" s="61" t="s">
        <v>74</v>
      </c>
      <c r="X34" s="309"/>
      <c r="Y34" s="170">
        <f t="shared" si="16"/>
        <v>4.6709695682944092</v>
      </c>
      <c r="Z34" s="317"/>
      <c r="AA34" s="314"/>
      <c r="AB34" s="314"/>
    </row>
    <row r="35" spans="1:28" ht="17.5">
      <c r="A35" s="333"/>
      <c r="B35" s="14"/>
      <c r="C35" s="14"/>
      <c r="D35" s="14" t="s">
        <v>148</v>
      </c>
      <c r="E35" s="17" t="s">
        <v>39</v>
      </c>
      <c r="F35" s="195" t="s">
        <v>22</v>
      </c>
      <c r="G35" s="14"/>
      <c r="H35" s="12">
        <v>98.07</v>
      </c>
      <c r="I35" s="12">
        <v>1.84</v>
      </c>
      <c r="J35" s="12">
        <f t="shared" si="13"/>
        <v>0.18416270521418887</v>
      </c>
      <c r="K35" s="176" t="s">
        <v>112</v>
      </c>
      <c r="L35" s="12">
        <v>4.75</v>
      </c>
      <c r="M35" s="12">
        <f t="shared" si="17"/>
        <v>4.7499999999999999E-3</v>
      </c>
      <c r="N35" s="12">
        <f t="shared" si="15"/>
        <v>2.5815217391304346</v>
      </c>
      <c r="O35" s="12">
        <f t="shared" si="14"/>
        <v>4.8434791475476704E-2</v>
      </c>
      <c r="P35" s="12"/>
      <c r="Q35" s="12"/>
      <c r="R35" s="12"/>
      <c r="S35" s="12">
        <f>671</f>
        <v>671</v>
      </c>
      <c r="T35" s="14" t="s">
        <v>181</v>
      </c>
      <c r="U35" s="12">
        <f>S35/((I35*56000)/H35)</f>
        <v>0.63863519021739124</v>
      </c>
      <c r="V35" s="14" t="s">
        <v>182</v>
      </c>
      <c r="W35" s="55" t="s">
        <v>75</v>
      </c>
      <c r="X35" s="309"/>
      <c r="Y35" s="126">
        <f t="shared" si="16"/>
        <v>3.0932162267080746E-2</v>
      </c>
      <c r="Z35" s="317"/>
      <c r="AA35" s="314"/>
      <c r="AB35" s="314"/>
    </row>
    <row r="36" spans="1:28">
      <c r="A36" s="333"/>
      <c r="B36" s="16"/>
      <c r="C36" s="16"/>
      <c r="D36" s="16" t="s">
        <v>149</v>
      </c>
      <c r="E36" s="45" t="s">
        <v>40</v>
      </c>
      <c r="F36" s="157" t="s">
        <v>41</v>
      </c>
      <c r="G36" s="16"/>
      <c r="H36" s="15">
        <v>106.42</v>
      </c>
      <c r="I36" s="172" t="s">
        <v>112</v>
      </c>
      <c r="J36" s="15">
        <f>O36/O$32</f>
        <v>6.7170540995792921E-2</v>
      </c>
      <c r="K36" s="15" t="s">
        <v>42</v>
      </c>
      <c r="L36" s="15">
        <v>1.88</v>
      </c>
      <c r="M36" s="12">
        <f t="shared" si="17"/>
        <v>1.8799999999999999E-3</v>
      </c>
      <c r="N36" s="172" t="s">
        <v>112</v>
      </c>
      <c r="O36" s="15">
        <f>L36/H36</f>
        <v>1.7665852283405375E-2</v>
      </c>
      <c r="P36" s="15"/>
      <c r="Q36" s="15"/>
      <c r="R36" s="15"/>
      <c r="S36" s="15">
        <v>2</v>
      </c>
      <c r="T36" s="16" t="s">
        <v>209</v>
      </c>
      <c r="U36" s="15">
        <f>S36/(2/H36)</f>
        <v>106.42</v>
      </c>
      <c r="V36" s="141" t="s">
        <v>112</v>
      </c>
      <c r="W36" s="196" t="s">
        <v>183</v>
      </c>
      <c r="X36" s="309"/>
      <c r="Y36" s="51">
        <f t="shared" si="16"/>
        <v>1.8800000000000001</v>
      </c>
      <c r="Z36" s="317"/>
      <c r="AA36" s="314"/>
      <c r="AB36" s="314"/>
    </row>
    <row r="37" spans="1:28" s="127" customFormat="1" ht="17.5">
      <c r="A37" s="333"/>
      <c r="B37" s="17"/>
      <c r="C37" s="17"/>
      <c r="D37" s="17" t="s">
        <v>43</v>
      </c>
      <c r="E37" s="17" t="s">
        <v>76</v>
      </c>
      <c r="F37" s="195" t="s">
        <v>22</v>
      </c>
      <c r="G37" s="17"/>
      <c r="H37" s="19">
        <f>1.008*2</f>
        <v>2.016</v>
      </c>
      <c r="I37" s="19">
        <v>4.0450000000000002E-4</v>
      </c>
      <c r="J37" s="19">
        <f t="shared" si="13"/>
        <v>0.29045204898232529</v>
      </c>
      <c r="K37" s="19" t="s">
        <v>145</v>
      </c>
      <c r="L37" s="19">
        <f>0.154</f>
        <v>0.154</v>
      </c>
      <c r="M37" s="12">
        <f>L37/1000</f>
        <v>1.54E-4</v>
      </c>
      <c r="N37" s="19">
        <f>L37/I37</f>
        <v>380.71693448702098</v>
      </c>
      <c r="O37" s="131">
        <f t="shared" si="14"/>
        <v>7.6388888888888881E-2</v>
      </c>
      <c r="P37" s="19"/>
      <c r="Q37" s="19"/>
      <c r="R37" s="19"/>
      <c r="S37" s="19">
        <f>243</f>
        <v>243</v>
      </c>
      <c r="T37" s="17" t="s">
        <v>181</v>
      </c>
      <c r="U37" s="19">
        <f>S37/((I37*56000)/H37)</f>
        <v>21.626699629171817</v>
      </c>
      <c r="V37" s="17" t="s">
        <v>184</v>
      </c>
      <c r="W37" s="55" t="s">
        <v>77</v>
      </c>
      <c r="X37" s="309"/>
      <c r="Y37" s="132">
        <f t="shared" si="16"/>
        <v>1.6520395550061804</v>
      </c>
      <c r="Z37" s="317"/>
      <c r="AA37" s="314"/>
      <c r="AB37" s="314"/>
    </row>
    <row r="38" spans="1:28" ht="17.5">
      <c r="A38" s="333"/>
      <c r="B38" s="14"/>
      <c r="C38" s="14"/>
      <c r="D38" s="24" t="s">
        <v>179</v>
      </c>
      <c r="E38" s="17" t="s">
        <v>44</v>
      </c>
      <c r="F38" s="195" t="s">
        <v>22</v>
      </c>
      <c r="G38" s="14"/>
      <c r="H38" s="12">
        <v>193.33</v>
      </c>
      <c r="I38" s="176">
        <v>0.94499999999999995</v>
      </c>
      <c r="J38" s="19">
        <f t="shared" si="13"/>
        <v>0.3992464272511595</v>
      </c>
      <c r="K38" s="197" t="s">
        <v>186</v>
      </c>
      <c r="L38" s="12">
        <v>20.3</v>
      </c>
      <c r="M38" s="12">
        <f t="shared" si="17"/>
        <v>2.0300000000000002E-2</v>
      </c>
      <c r="N38" s="176">
        <f>L38/I38</f>
        <v>21.481481481481485</v>
      </c>
      <c r="O38" s="12">
        <f t="shared" si="14"/>
        <v>0.10500181037604096</v>
      </c>
      <c r="P38" s="12"/>
      <c r="Q38" s="12"/>
      <c r="R38" s="12"/>
      <c r="S38" s="12">
        <f>379</f>
        <v>379</v>
      </c>
      <c r="T38" s="14" t="s">
        <v>53</v>
      </c>
      <c r="U38" s="19">
        <f>S38/((I38*18000)/H38)</f>
        <v>4.3075878894767783</v>
      </c>
      <c r="V38" s="14" t="s">
        <v>185</v>
      </c>
      <c r="W38" s="55" t="s">
        <v>78</v>
      </c>
      <c r="X38" s="309"/>
      <c r="Y38" s="126">
        <f>U38*O38</f>
        <v>0.45230452674897115</v>
      </c>
      <c r="Z38" s="317"/>
      <c r="AA38" s="314"/>
      <c r="AB38" s="314"/>
    </row>
    <row r="39" spans="1:28" ht="18" thickBot="1">
      <c r="A39" s="333"/>
      <c r="B39" s="17"/>
      <c r="C39" s="13" t="s">
        <v>272</v>
      </c>
      <c r="D39" s="17" t="s">
        <v>137</v>
      </c>
      <c r="E39" s="83" t="s">
        <v>79</v>
      </c>
      <c r="F39" s="239" t="s">
        <v>34</v>
      </c>
      <c r="G39" s="240" t="s">
        <v>136</v>
      </c>
      <c r="H39" s="27">
        <v>130.13999999999999</v>
      </c>
      <c r="I39" s="27"/>
      <c r="J39" s="27"/>
      <c r="K39" s="235">
        <v>0.45800000000000002</v>
      </c>
      <c r="L39" s="27"/>
      <c r="M39" s="27"/>
      <c r="N39" s="27"/>
      <c r="O39" s="27"/>
      <c r="P39" s="236">
        <f>74*45.8%</f>
        <v>33.891999999999996</v>
      </c>
      <c r="Q39" s="236">
        <f>P39/1000</f>
        <v>3.3891999999999999E-2</v>
      </c>
      <c r="R39" s="236">
        <f>P39/H39</f>
        <v>0.26042723221146458</v>
      </c>
      <c r="S39" s="27"/>
      <c r="T39" s="26" t="s">
        <v>112</v>
      </c>
      <c r="U39" s="27" t="s">
        <v>112</v>
      </c>
      <c r="V39" s="26" t="s">
        <v>112</v>
      </c>
      <c r="W39" s="242" t="s">
        <v>112</v>
      </c>
      <c r="X39" s="327"/>
      <c r="Y39" s="241"/>
      <c r="Z39" s="328"/>
      <c r="AA39" s="315"/>
      <c r="AB39" s="315"/>
    </row>
    <row r="40" spans="1:28">
      <c r="A40" s="333"/>
      <c r="B40" s="232"/>
      <c r="C40" s="233"/>
      <c r="D40" s="233"/>
      <c r="E40" s="233"/>
      <c r="F40" s="123"/>
      <c r="G40" s="123"/>
      <c r="H40" s="123"/>
      <c r="I40" s="123"/>
      <c r="J40" s="123"/>
      <c r="K40" s="123"/>
      <c r="L40" s="123"/>
      <c r="M40" s="123"/>
      <c r="N40" s="123"/>
      <c r="O40" s="123"/>
      <c r="P40" s="123"/>
      <c r="Q40" s="123"/>
      <c r="R40" s="123"/>
      <c r="S40" s="123"/>
      <c r="T40" s="123"/>
      <c r="U40" s="123"/>
      <c r="V40" s="123"/>
      <c r="W40" s="227"/>
      <c r="X40" s="325">
        <f>R43/O41</f>
        <v>0.96431864573152071</v>
      </c>
      <c r="Y40" s="170"/>
      <c r="Z40" s="314" t="s">
        <v>138</v>
      </c>
      <c r="AA40" s="314" t="s">
        <v>140</v>
      </c>
      <c r="AB40" s="314">
        <v>4.5</v>
      </c>
    </row>
    <row r="41" spans="1:28" ht="17.5">
      <c r="A41" s="333"/>
      <c r="B41" s="123"/>
      <c r="C41" s="123"/>
      <c r="D41" s="75" t="s">
        <v>137</v>
      </c>
      <c r="E41" s="83" t="s">
        <v>79</v>
      </c>
      <c r="F41" s="78" t="s">
        <v>34</v>
      </c>
      <c r="G41" s="123"/>
      <c r="H41" s="46">
        <v>130.13999999999999</v>
      </c>
      <c r="I41" s="123"/>
      <c r="J41" s="46">
        <f>O41/O$41</f>
        <v>1</v>
      </c>
      <c r="K41" s="140">
        <v>0.45800000000000002</v>
      </c>
      <c r="L41" s="79">
        <f>127.2985153*45.8%</f>
        <v>58.302720007399998</v>
      </c>
      <c r="M41" s="79">
        <f>L41/1000</f>
        <v>5.83027200074E-2</v>
      </c>
      <c r="N41" s="181" t="s">
        <v>112</v>
      </c>
      <c r="O41" s="79">
        <f>L41/H41</f>
        <v>0.44800000005686186</v>
      </c>
      <c r="P41" s="123"/>
      <c r="Q41" s="123"/>
      <c r="R41" s="123"/>
      <c r="S41" s="12" t="s">
        <v>112</v>
      </c>
      <c r="T41" s="14" t="s">
        <v>112</v>
      </c>
      <c r="U41" s="12" t="s">
        <v>112</v>
      </c>
      <c r="V41" s="17" t="s">
        <v>112</v>
      </c>
      <c r="W41" s="61" t="s">
        <v>112</v>
      </c>
      <c r="X41" s="325"/>
      <c r="Y41" s="170"/>
      <c r="Z41" s="314"/>
      <c r="AA41" s="314"/>
      <c r="AB41" s="314"/>
    </row>
    <row r="42" spans="1:28" ht="17.5">
      <c r="A42" s="333"/>
      <c r="B42" s="123"/>
      <c r="C42" s="123"/>
      <c r="D42" s="123" t="s">
        <v>207</v>
      </c>
      <c r="E42" s="59" t="s">
        <v>81</v>
      </c>
      <c r="F42" s="116" t="s">
        <v>18</v>
      </c>
      <c r="G42" s="123"/>
      <c r="H42" s="46">
        <v>400</v>
      </c>
      <c r="I42" s="46">
        <v>1.1279999999999999</v>
      </c>
      <c r="J42" s="46">
        <f>O42/O$41</f>
        <v>0.32756696424413828</v>
      </c>
      <c r="K42" s="123" t="s">
        <v>45</v>
      </c>
      <c r="L42" s="46">
        <v>58.7</v>
      </c>
      <c r="M42" s="46">
        <f>L42/1000</f>
        <v>5.8700000000000002E-2</v>
      </c>
      <c r="N42" s="46">
        <f>L42/I42</f>
        <v>52.039007092198588</v>
      </c>
      <c r="O42" s="84">
        <f>L42/H42</f>
        <v>0.14675000000000002</v>
      </c>
      <c r="P42" s="123"/>
      <c r="Q42" s="123"/>
      <c r="R42" s="123"/>
      <c r="S42" s="123">
        <f>10</f>
        <v>10</v>
      </c>
      <c r="T42" s="123" t="s">
        <v>120</v>
      </c>
      <c r="U42" s="46">
        <f>S42/(1000/H42)</f>
        <v>4</v>
      </c>
      <c r="V42" s="123" t="s">
        <v>112</v>
      </c>
      <c r="W42" s="61" t="s">
        <v>80</v>
      </c>
      <c r="X42" s="325"/>
      <c r="Y42" s="170">
        <f>U42*O42</f>
        <v>0.58700000000000008</v>
      </c>
      <c r="Z42" s="314"/>
      <c r="AA42" s="314"/>
      <c r="AB42" s="314"/>
    </row>
    <row r="43" spans="1:28" ht="17.5">
      <c r="A43" s="334"/>
      <c r="B43" s="124"/>
      <c r="C43" s="52" t="s">
        <v>272</v>
      </c>
      <c r="D43" s="124"/>
      <c r="E43" s="47" t="s">
        <v>79</v>
      </c>
      <c r="F43" s="52" t="s">
        <v>195</v>
      </c>
      <c r="G43" s="124" t="s">
        <v>46</v>
      </c>
      <c r="H43" s="40">
        <v>130.13999999999999</v>
      </c>
      <c r="I43" s="124"/>
      <c r="J43" s="142">
        <f>R43/O41</f>
        <v>0.96431864573152071</v>
      </c>
      <c r="K43" s="48">
        <v>0.88400000000000001</v>
      </c>
      <c r="L43" s="124"/>
      <c r="M43" s="124"/>
      <c r="N43" s="124"/>
      <c r="O43" s="124"/>
      <c r="P43" s="258">
        <f>63.6*88.4%</f>
        <v>56.2224</v>
      </c>
      <c r="Q43" s="259">
        <f>P43/1000</f>
        <v>5.6222399999999999E-2</v>
      </c>
      <c r="R43" s="258">
        <f>P43/H43</f>
        <v>0.43201475334255424</v>
      </c>
      <c r="S43" s="40" t="s">
        <v>112</v>
      </c>
      <c r="T43" s="134" t="s">
        <v>112</v>
      </c>
      <c r="U43" s="40" t="s">
        <v>112</v>
      </c>
      <c r="V43" s="65" t="s">
        <v>112</v>
      </c>
      <c r="W43" s="135" t="s">
        <v>112</v>
      </c>
      <c r="X43" s="326"/>
      <c r="Y43" s="182" t="s">
        <v>112</v>
      </c>
      <c r="Z43" s="319"/>
      <c r="AA43" s="319"/>
      <c r="AB43" s="319"/>
    </row>
    <row r="44" spans="1:28" ht="16" thickBot="1">
      <c r="A44" s="82"/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</row>
    <row r="45" spans="1:28" ht="16" thickBot="1">
      <c r="A45" s="82"/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187"/>
      <c r="P45" s="185"/>
      <c r="Q45" s="185"/>
      <c r="R45" s="185"/>
      <c r="S45" s="82"/>
      <c r="T45" s="82"/>
      <c r="U45" s="82"/>
      <c r="V45" s="82"/>
      <c r="W45" s="82"/>
      <c r="X45" s="82"/>
      <c r="Y45" s="82"/>
      <c r="Z45" s="82"/>
      <c r="AA45" s="82"/>
      <c r="AB45" s="82"/>
    </row>
    <row r="46" spans="1:28" ht="16" thickBot="1">
      <c r="A46" s="329" t="s">
        <v>160</v>
      </c>
      <c r="B46" s="330"/>
      <c r="C46" s="330"/>
      <c r="D46" s="330"/>
      <c r="E46" s="330"/>
      <c r="F46" s="330"/>
      <c r="G46" s="330"/>
      <c r="H46" s="330"/>
      <c r="I46" s="330"/>
      <c r="J46" s="330"/>
      <c r="K46" s="330"/>
      <c r="L46" s="330"/>
      <c r="M46" s="330"/>
      <c r="N46" s="330"/>
      <c r="O46" s="330"/>
      <c r="P46" s="330"/>
      <c r="Q46" s="330"/>
      <c r="R46" s="330"/>
      <c r="S46" s="330"/>
      <c r="T46" s="330"/>
      <c r="U46" s="330"/>
      <c r="V46" s="330"/>
      <c r="W46" s="330"/>
      <c r="X46" s="330"/>
      <c r="Y46" s="330"/>
      <c r="Z46" s="330"/>
      <c r="AA46" s="330"/>
      <c r="AB46" s="331"/>
    </row>
    <row r="47" spans="1:28">
      <c r="A47" s="1" t="s">
        <v>0</v>
      </c>
      <c r="B47" s="2" t="s">
        <v>1</v>
      </c>
      <c r="C47" s="3" t="s">
        <v>2</v>
      </c>
      <c r="D47" s="4" t="s">
        <v>3</v>
      </c>
      <c r="E47" s="5" t="s">
        <v>156</v>
      </c>
      <c r="F47" s="5" t="s">
        <v>4</v>
      </c>
      <c r="G47" s="5" t="s">
        <v>5</v>
      </c>
      <c r="H47" s="6" t="s">
        <v>157</v>
      </c>
      <c r="I47" s="1" t="s">
        <v>158</v>
      </c>
      <c r="J47" s="7" t="s">
        <v>6</v>
      </c>
      <c r="K47" s="1" t="s">
        <v>7</v>
      </c>
      <c r="L47" s="6" t="s">
        <v>8</v>
      </c>
      <c r="M47" s="80" t="s">
        <v>60</v>
      </c>
      <c r="N47" s="1" t="s">
        <v>9</v>
      </c>
      <c r="O47" s="6" t="s">
        <v>10</v>
      </c>
      <c r="P47" s="6" t="s">
        <v>11</v>
      </c>
      <c r="Q47" s="80" t="s">
        <v>82</v>
      </c>
      <c r="R47" s="1" t="s">
        <v>12</v>
      </c>
      <c r="S47" s="1" t="s">
        <v>171</v>
      </c>
      <c r="T47" s="1" t="s">
        <v>13</v>
      </c>
      <c r="U47" s="1" t="s">
        <v>170</v>
      </c>
      <c r="V47" s="53" t="s">
        <v>155</v>
      </c>
      <c r="W47" s="1" t="s">
        <v>154</v>
      </c>
      <c r="X47" s="1" t="s">
        <v>14</v>
      </c>
      <c r="Y47" s="1" t="s">
        <v>162</v>
      </c>
      <c r="Z47" s="147" t="s">
        <v>152</v>
      </c>
      <c r="AA47" s="7" t="s">
        <v>151</v>
      </c>
      <c r="AB47" s="171" t="s">
        <v>153</v>
      </c>
    </row>
    <row r="48" spans="1:28" ht="18" customHeight="1">
      <c r="A48" s="305" t="s">
        <v>268</v>
      </c>
      <c r="B48" s="8">
        <v>2</v>
      </c>
      <c r="C48" s="9"/>
      <c r="D48" s="188" t="s">
        <v>103</v>
      </c>
      <c r="E48" s="10" t="s">
        <v>48</v>
      </c>
      <c r="F48" s="107" t="s">
        <v>104</v>
      </c>
      <c r="G48" s="9"/>
      <c r="H48" s="11">
        <v>178.23</v>
      </c>
      <c r="I48" s="173" t="s">
        <v>112</v>
      </c>
      <c r="J48" s="12">
        <f>O48/O$48</f>
        <v>1</v>
      </c>
      <c r="K48" s="173" t="s">
        <v>112</v>
      </c>
      <c r="L48" s="245">
        <f>O48*H48</f>
        <v>100.77716273048723</v>
      </c>
      <c r="M48" s="246">
        <f t="shared" ref="M48:M54" si="18">L48/1000</f>
        <v>0.10077716273048723</v>
      </c>
      <c r="N48" s="178" t="s">
        <v>112</v>
      </c>
      <c r="O48" s="291">
        <f>R65/X48</f>
        <v>0.56543321960661641</v>
      </c>
      <c r="P48" s="11"/>
      <c r="Q48" s="11"/>
      <c r="R48" s="11"/>
      <c r="S48" s="11" t="s">
        <v>112</v>
      </c>
      <c r="T48" s="9" t="s">
        <v>112</v>
      </c>
      <c r="U48" s="9" t="s">
        <v>112</v>
      </c>
      <c r="V48" s="9" t="s">
        <v>112</v>
      </c>
      <c r="W48" s="57" t="s">
        <v>112</v>
      </c>
      <c r="X48" s="308">
        <f>80.84%</f>
        <v>0.80840000000000001</v>
      </c>
      <c r="Y48" s="209">
        <f>(M48*Y92)/M92</f>
        <v>13.443300713164817</v>
      </c>
      <c r="Z48" s="311">
        <v>20</v>
      </c>
      <c r="AA48" s="312">
        <v>1</v>
      </c>
      <c r="AB48" s="311">
        <v>24</v>
      </c>
    </row>
    <row r="49" spans="1:31" ht="17.5">
      <c r="A49" s="306"/>
      <c r="B49" s="13">
        <v>3</v>
      </c>
      <c r="C49" s="14"/>
      <c r="D49" s="14" t="s">
        <v>15</v>
      </c>
      <c r="E49" s="18" t="s">
        <v>49</v>
      </c>
      <c r="F49" s="42" t="s">
        <v>22</v>
      </c>
      <c r="G49" s="14"/>
      <c r="H49" s="12">
        <v>102.09</v>
      </c>
      <c r="I49" s="12">
        <v>1.03</v>
      </c>
      <c r="J49" s="12">
        <f>O49/O$48</f>
        <v>1.199796592113221</v>
      </c>
      <c r="K49" s="12" t="s">
        <v>133</v>
      </c>
      <c r="L49" s="19">
        <f t="shared" ref="L49:L54" si="19">O49*H49</f>
        <v>69.258351131561383</v>
      </c>
      <c r="M49" s="19">
        <f t="shared" si="18"/>
        <v>6.9258351131561383E-2</v>
      </c>
      <c r="N49" s="19">
        <f>L49/I49</f>
        <v>67.241117603457653</v>
      </c>
      <c r="O49" s="19">
        <f t="shared" ref="O49:O54" si="20">O$48*J5</f>
        <v>0.67840484995162487</v>
      </c>
      <c r="P49" s="12"/>
      <c r="Q49" s="12"/>
      <c r="R49" s="12"/>
      <c r="S49" s="19">
        <v>100</v>
      </c>
      <c r="T49" s="17" t="s">
        <v>120</v>
      </c>
      <c r="U49" s="19">
        <f>S49/(1000/H49)</f>
        <v>10.209000000000001</v>
      </c>
      <c r="V49" s="59" t="s">
        <v>112</v>
      </c>
      <c r="W49" s="61" t="s">
        <v>62</v>
      </c>
      <c r="X49" s="309"/>
      <c r="Y49" s="170">
        <f t="shared" ref="Y49:Y54" si="21">U49*O49</f>
        <v>6.9258351131561389</v>
      </c>
      <c r="Z49" s="311"/>
      <c r="AA49" s="314"/>
      <c r="AB49" s="311"/>
    </row>
    <row r="50" spans="1:31" s="127" customFormat="1" ht="17.5">
      <c r="A50" s="306"/>
      <c r="B50" s="17"/>
      <c r="C50" s="17"/>
      <c r="D50" s="17" t="s">
        <v>202</v>
      </c>
      <c r="E50" s="18" t="s">
        <v>17</v>
      </c>
      <c r="F50" s="190" t="s">
        <v>18</v>
      </c>
      <c r="G50" s="17"/>
      <c r="H50" s="19">
        <v>92.14</v>
      </c>
      <c r="I50" s="19">
        <v>0.86499999999999999</v>
      </c>
      <c r="J50" s="12">
        <f t="shared" ref="J50:J54" si="22">O50/O$48</f>
        <v>1.2874904324749883</v>
      </c>
      <c r="K50" s="179" t="s">
        <v>112</v>
      </c>
      <c r="L50" s="19">
        <f t="shared" si="19"/>
        <v>67.076985741590974</v>
      </c>
      <c r="M50" s="19">
        <f t="shared" si="18"/>
        <v>6.7076985741590975E-2</v>
      </c>
      <c r="N50" s="19">
        <f>L50/I50</f>
        <v>77.54564825617453</v>
      </c>
      <c r="O50" s="19">
        <f t="shared" si="20"/>
        <v>0.72798986044704761</v>
      </c>
      <c r="P50" s="150"/>
      <c r="Q50" s="19"/>
      <c r="R50" s="19"/>
      <c r="S50" s="19">
        <f>1800</f>
        <v>1800</v>
      </c>
      <c r="T50" s="17" t="s">
        <v>213</v>
      </c>
      <c r="U50" s="19">
        <f>S50/((I50*200000)/H50)</f>
        <v>0.95868208092485552</v>
      </c>
      <c r="V50" s="191" t="s">
        <v>212</v>
      </c>
      <c r="W50" s="55" t="s">
        <v>63</v>
      </c>
      <c r="X50" s="309"/>
      <c r="Y50" s="126">
        <f t="shared" si="21"/>
        <v>0.69791083430557077</v>
      </c>
      <c r="Z50" s="311"/>
      <c r="AA50" s="314"/>
      <c r="AB50" s="311"/>
    </row>
    <row r="51" spans="1:31" ht="17.5">
      <c r="A51" s="306"/>
      <c r="B51" s="17"/>
      <c r="C51" s="17"/>
      <c r="D51" s="17" t="s">
        <v>177</v>
      </c>
      <c r="E51" s="18" t="s">
        <v>130</v>
      </c>
      <c r="F51" s="42" t="s">
        <v>22</v>
      </c>
      <c r="G51" s="17"/>
      <c r="H51" s="19">
        <v>74.040000000000006</v>
      </c>
      <c r="I51" s="19">
        <v>1.3420000000000001</v>
      </c>
      <c r="J51" s="12">
        <f t="shared" si="22"/>
        <v>0.17134786994527476</v>
      </c>
      <c r="K51" s="19" t="s">
        <v>134</v>
      </c>
      <c r="L51" s="19">
        <f t="shared" si="19"/>
        <v>7.1734229865270809</v>
      </c>
      <c r="M51" s="19">
        <f t="shared" si="18"/>
        <v>7.173422986527081E-3</v>
      </c>
      <c r="N51" s="19">
        <f>L51/I51</f>
        <v>5.3453226427176457</v>
      </c>
      <c r="O51" s="19">
        <f t="shared" si="20"/>
        <v>9.6885777775892495E-2</v>
      </c>
      <c r="P51" s="19"/>
      <c r="Q51" s="19"/>
      <c r="R51" s="19"/>
      <c r="S51" s="19">
        <v>117</v>
      </c>
      <c r="T51" s="17" t="s">
        <v>120</v>
      </c>
      <c r="U51" s="19">
        <f>S51/(1000/H51)</f>
        <v>8.6626799999999999</v>
      </c>
      <c r="V51" s="128" t="s">
        <v>132</v>
      </c>
      <c r="W51" s="18" t="s">
        <v>131</v>
      </c>
      <c r="X51" s="309"/>
      <c r="Y51" s="126">
        <f t="shared" si="21"/>
        <v>0.83929048942366835</v>
      </c>
      <c r="Z51" s="311"/>
      <c r="AA51" s="314"/>
      <c r="AB51" s="311"/>
    </row>
    <row r="52" spans="1:31" ht="17.5">
      <c r="A52" s="306"/>
      <c r="B52" s="20"/>
      <c r="C52" s="20"/>
      <c r="D52" s="21" t="s">
        <v>19</v>
      </c>
      <c r="E52" s="192" t="s">
        <v>20</v>
      </c>
      <c r="F52" s="156" t="s">
        <v>19</v>
      </c>
      <c r="G52" s="20"/>
      <c r="H52" s="22">
        <v>18.02</v>
      </c>
      <c r="I52" s="22">
        <v>1</v>
      </c>
      <c r="J52" s="22">
        <f t="shared" si="22"/>
        <v>5.7034231164058751</v>
      </c>
      <c r="K52" s="175" t="s">
        <v>112</v>
      </c>
      <c r="L52" s="22">
        <f t="shared" si="19"/>
        <v>58.112786216696925</v>
      </c>
      <c r="M52" s="19">
        <f t="shared" si="18"/>
        <v>5.8112786216696924E-2</v>
      </c>
      <c r="N52" s="22">
        <f>L52/I52</f>
        <v>58.112786216696925</v>
      </c>
      <c r="O52" s="22">
        <f t="shared" si="20"/>
        <v>3.2249048954881756</v>
      </c>
      <c r="P52" s="22"/>
      <c r="Q52" s="22"/>
      <c r="R52" s="22"/>
      <c r="S52" s="22">
        <f>285</f>
        <v>285</v>
      </c>
      <c r="T52" s="21" t="s">
        <v>108</v>
      </c>
      <c r="U52" s="22">
        <f>S52/((I52*16000)/H52)</f>
        <v>0.32098125</v>
      </c>
      <c r="V52" s="21" t="s">
        <v>172</v>
      </c>
      <c r="W52" s="193" t="s">
        <v>61</v>
      </c>
      <c r="X52" s="309"/>
      <c r="Y52" s="126">
        <f t="shared" si="21"/>
        <v>1.035134004484914</v>
      </c>
      <c r="Z52" s="311"/>
      <c r="AA52" s="314"/>
      <c r="AB52" s="311"/>
    </row>
    <row r="53" spans="1:31" s="127" customFormat="1" ht="17.5">
      <c r="A53" s="306"/>
      <c r="B53" s="14"/>
      <c r="C53" s="14"/>
      <c r="D53" s="14" t="s">
        <v>166</v>
      </c>
      <c r="E53" s="23" t="s">
        <v>21</v>
      </c>
      <c r="F53" s="190" t="s">
        <v>18</v>
      </c>
      <c r="G53" s="14"/>
      <c r="H53" s="12">
        <v>72.11</v>
      </c>
      <c r="I53" s="12">
        <v>0.88900000000000001</v>
      </c>
      <c r="J53" s="12">
        <f t="shared" si="22"/>
        <v>3.0887278493521872</v>
      </c>
      <c r="K53" s="176" t="s">
        <v>112</v>
      </c>
      <c r="L53" s="12">
        <f t="shared" si="19"/>
        <v>125.93790355560182</v>
      </c>
      <c r="M53" s="19">
        <f t="shared" si="18"/>
        <v>0.12593790355560183</v>
      </c>
      <c r="N53" s="12">
        <f>L53/I53</f>
        <v>141.66243369584006</v>
      </c>
      <c r="O53" s="19">
        <f t="shared" si="20"/>
        <v>1.7464693323478273</v>
      </c>
      <c r="P53" s="12"/>
      <c r="Q53" s="12"/>
      <c r="R53" s="12"/>
      <c r="S53" s="12">
        <v>6860</v>
      </c>
      <c r="T53" s="14" t="s">
        <v>213</v>
      </c>
      <c r="U53" s="12">
        <f>S53/((I53*200000)/H53)</f>
        <v>2.7821968503937007</v>
      </c>
      <c r="V53" s="191" t="s">
        <v>216</v>
      </c>
      <c r="W53" s="55" t="s">
        <v>65</v>
      </c>
      <c r="X53" s="309"/>
      <c r="Y53" s="126">
        <f t="shared" si="21"/>
        <v>4.8590214757673147</v>
      </c>
      <c r="Z53" s="311"/>
      <c r="AA53" s="314"/>
      <c r="AB53" s="311"/>
    </row>
    <row r="54" spans="1:31" ht="17.5">
      <c r="A54" s="306"/>
      <c r="B54" s="16"/>
      <c r="C54" s="281">
        <v>4</v>
      </c>
      <c r="D54" s="16" t="s">
        <v>169</v>
      </c>
      <c r="E54" s="16" t="s">
        <v>47</v>
      </c>
      <c r="F54" s="157" t="s">
        <v>41</v>
      </c>
      <c r="G54" s="16"/>
      <c r="H54" s="15">
        <f>253.35</f>
        <v>253.35</v>
      </c>
      <c r="I54" s="172" t="s">
        <v>112</v>
      </c>
      <c r="J54" s="15">
        <f t="shared" si="22"/>
        <v>2.9890779121308872E-2</v>
      </c>
      <c r="K54" s="15" t="s">
        <v>129</v>
      </c>
      <c r="L54" s="15">
        <f t="shared" si="19"/>
        <v>4.2819290210196002</v>
      </c>
      <c r="M54" s="19">
        <f t="shared" si="18"/>
        <v>4.2819290210196004E-3</v>
      </c>
      <c r="N54" s="172" t="s">
        <v>112</v>
      </c>
      <c r="O54" s="15">
        <f t="shared" si="20"/>
        <v>1.6901239475111903E-2</v>
      </c>
      <c r="P54" s="15"/>
      <c r="Q54" s="15"/>
      <c r="R54" s="15"/>
      <c r="S54" s="15">
        <v>9.9499999999999993</v>
      </c>
      <c r="T54" s="16" t="s">
        <v>23</v>
      </c>
      <c r="U54" s="15">
        <f>S54/(5/H54)</f>
        <v>504.16649999999998</v>
      </c>
      <c r="V54" s="50" t="s">
        <v>24</v>
      </c>
      <c r="W54" s="63" t="s">
        <v>64</v>
      </c>
      <c r="X54" s="309"/>
      <c r="Y54" s="51">
        <f t="shared" si="21"/>
        <v>8.5210387518290052</v>
      </c>
      <c r="Z54" s="311"/>
      <c r="AA54" s="314"/>
      <c r="AB54" s="311"/>
    </row>
    <row r="55" spans="1:31" ht="17.5">
      <c r="A55" s="306"/>
      <c r="B55" s="17"/>
      <c r="C55" s="13">
        <v>5</v>
      </c>
      <c r="D55" s="17"/>
      <c r="E55" s="18" t="s">
        <v>205</v>
      </c>
      <c r="F55" s="17" t="s">
        <v>180</v>
      </c>
      <c r="G55" s="17"/>
      <c r="H55" s="174">
        <v>280.32</v>
      </c>
      <c r="I55" s="174" t="s">
        <v>112</v>
      </c>
      <c r="J55" s="174" t="s">
        <v>112</v>
      </c>
      <c r="K55" s="174" t="s">
        <v>112</v>
      </c>
      <c r="L55" s="174" t="s">
        <v>112</v>
      </c>
      <c r="M55" s="174" t="s">
        <v>112</v>
      </c>
      <c r="N55" s="174" t="s">
        <v>112</v>
      </c>
      <c r="O55" s="174"/>
      <c r="P55" s="174" t="s">
        <v>112</v>
      </c>
      <c r="Q55" s="174" t="s">
        <v>112</v>
      </c>
      <c r="R55" s="174" t="s">
        <v>112</v>
      </c>
      <c r="S55" s="174" t="s">
        <v>112</v>
      </c>
      <c r="T55" s="174" t="s">
        <v>112</v>
      </c>
      <c r="U55" s="174" t="s">
        <v>112</v>
      </c>
      <c r="V55" s="198" t="s">
        <v>112</v>
      </c>
      <c r="W55" s="174" t="s">
        <v>112</v>
      </c>
      <c r="X55" s="309"/>
      <c r="Y55" s="174" t="s">
        <v>112</v>
      </c>
      <c r="Z55" s="312"/>
      <c r="AA55" s="314"/>
      <c r="AB55" s="312"/>
    </row>
    <row r="56" spans="1:31" ht="16" thickBot="1">
      <c r="A56" s="307"/>
      <c r="B56" s="25"/>
      <c r="C56" s="25"/>
      <c r="D56" s="25"/>
      <c r="E56" s="26"/>
      <c r="F56" s="25"/>
      <c r="G56" s="25"/>
      <c r="H56" s="27"/>
      <c r="I56" s="28"/>
      <c r="J56" s="28"/>
      <c r="K56" s="28"/>
      <c r="L56" s="28"/>
      <c r="M56" s="28"/>
      <c r="N56" s="28"/>
      <c r="O56" s="29"/>
      <c r="P56" s="28"/>
      <c r="Q56" s="28"/>
      <c r="R56" s="28"/>
      <c r="S56" s="27"/>
      <c r="T56" s="25"/>
      <c r="U56" s="30"/>
      <c r="V56" s="54"/>
      <c r="W56" s="62"/>
      <c r="X56" s="309"/>
      <c r="Y56" s="137"/>
      <c r="Z56" s="313"/>
      <c r="AA56" s="315"/>
      <c r="AB56" s="313"/>
    </row>
    <row r="57" spans="1:31" ht="16" customHeight="1">
      <c r="A57" s="295" t="s">
        <v>269</v>
      </c>
      <c r="B57" s="31"/>
      <c r="C57" s="31"/>
      <c r="D57" s="31"/>
      <c r="E57" s="31"/>
      <c r="F57" s="31"/>
      <c r="G57" s="31"/>
      <c r="H57" s="32"/>
      <c r="I57" s="32"/>
      <c r="J57" s="33"/>
      <c r="K57" s="32"/>
      <c r="L57" s="32"/>
      <c r="M57" s="32"/>
      <c r="N57" s="32"/>
      <c r="O57" s="32"/>
      <c r="P57" s="32"/>
      <c r="Q57" s="32"/>
      <c r="R57" s="32"/>
      <c r="S57" s="32"/>
      <c r="T57" s="31"/>
      <c r="U57" s="32"/>
      <c r="V57" s="34"/>
      <c r="W57" s="64"/>
      <c r="X57" s="309"/>
      <c r="Y57" s="170"/>
      <c r="Z57" s="317">
        <v>20</v>
      </c>
      <c r="AA57" s="318">
        <v>1</v>
      </c>
      <c r="AB57" s="314">
        <v>9</v>
      </c>
    </row>
    <row r="58" spans="1:31">
      <c r="A58" s="296"/>
      <c r="B58" s="14"/>
      <c r="C58" s="14"/>
      <c r="D58" s="35" t="s">
        <v>178</v>
      </c>
      <c r="E58" s="17" t="s">
        <v>26</v>
      </c>
      <c r="F58" s="195" t="s">
        <v>22</v>
      </c>
      <c r="G58" s="35"/>
      <c r="H58" s="36">
        <v>58.44</v>
      </c>
      <c r="I58" s="12">
        <v>2.16</v>
      </c>
      <c r="J58" s="12">
        <f t="shared" ref="J58:J64" si="23">O58/O$48</f>
        <v>1.53058917096272</v>
      </c>
      <c r="K58" s="179" t="s">
        <v>112</v>
      </c>
      <c r="L58" s="12">
        <f t="shared" ref="L58:L64" si="24">O58*H58</f>
        <v>50.576662067929696</v>
      </c>
      <c r="M58" s="12">
        <f t="shared" ref="M58:M64" si="25">L58/1000</f>
        <v>5.0576662067929698E-2</v>
      </c>
      <c r="N58" s="12">
        <f>L58/I58</f>
        <v>23.415121327745229</v>
      </c>
      <c r="O58" s="12">
        <f t="shared" ref="O58:O64" si="26">O$48*J14</f>
        <v>0.86544596283247255</v>
      </c>
      <c r="P58" s="12"/>
      <c r="Q58" s="12"/>
      <c r="R58" s="12"/>
      <c r="S58" s="12">
        <v>528</v>
      </c>
      <c r="T58" s="14" t="s">
        <v>32</v>
      </c>
      <c r="U58" s="12">
        <f>S58/(50000/H58)</f>
        <v>0.61712639999999996</v>
      </c>
      <c r="V58" s="17" t="s">
        <v>173</v>
      </c>
      <c r="W58" s="55" t="s">
        <v>66</v>
      </c>
      <c r="X58" s="309"/>
      <c r="Y58" s="126">
        <f t="shared" ref="Y58" si="27">U58*O58</f>
        <v>0.53408955143733761</v>
      </c>
      <c r="Z58" s="317"/>
      <c r="AA58" s="314"/>
      <c r="AB58" s="314"/>
      <c r="AE58" t="s">
        <v>260</v>
      </c>
    </row>
    <row r="59" spans="1:31" ht="17.5">
      <c r="A59" s="296"/>
      <c r="B59" s="14"/>
      <c r="C59" s="14"/>
      <c r="D59" s="21" t="s">
        <v>19</v>
      </c>
      <c r="E59" s="192" t="s">
        <v>20</v>
      </c>
      <c r="F59" s="156" t="s">
        <v>19</v>
      </c>
      <c r="G59" s="35"/>
      <c r="H59" s="22">
        <v>18.02</v>
      </c>
      <c r="I59" s="22">
        <v>1</v>
      </c>
      <c r="J59" s="22">
        <f t="shared" si="23"/>
        <v>36.546206376969678</v>
      </c>
      <c r="K59" s="177" t="s">
        <v>112</v>
      </c>
      <c r="L59" s="22">
        <f t="shared" si="24"/>
        <v>372.37319323320355</v>
      </c>
      <c r="M59" s="12">
        <f t="shared" si="25"/>
        <v>0.37237319323320356</v>
      </c>
      <c r="N59" s="22">
        <f>L59/I59</f>
        <v>372.37319323320355</v>
      </c>
      <c r="O59" s="22">
        <f t="shared" si="26"/>
        <v>20.664439136137823</v>
      </c>
      <c r="P59" s="12"/>
      <c r="Q59" s="12"/>
      <c r="R59" s="12"/>
      <c r="S59" s="22">
        <f>285</f>
        <v>285</v>
      </c>
      <c r="T59" s="21" t="s">
        <v>108</v>
      </c>
      <c r="U59" s="22">
        <f>S59/((I59*16000)/H59)</f>
        <v>0.32098125</v>
      </c>
      <c r="V59" s="21" t="s">
        <v>172</v>
      </c>
      <c r="W59" s="193" t="s">
        <v>61</v>
      </c>
      <c r="X59" s="309"/>
      <c r="Y59" s="126">
        <f>U59*O59</f>
        <v>6.6328975044664382</v>
      </c>
      <c r="Z59" s="317"/>
      <c r="AA59" s="314"/>
      <c r="AB59" s="314"/>
      <c r="AD59">
        <f>R65/80.84%</f>
        <v>0.56543321960661641</v>
      </c>
      <c r="AE59">
        <v>0.56543321960661641</v>
      </c>
    </row>
    <row r="60" spans="1:31" ht="17.5">
      <c r="A60" s="296"/>
      <c r="B60" s="14"/>
      <c r="C60" s="14"/>
      <c r="D60" s="14" t="s">
        <v>203</v>
      </c>
      <c r="E60" s="18" t="s">
        <v>27</v>
      </c>
      <c r="F60" s="190" t="s">
        <v>18</v>
      </c>
      <c r="G60" s="14"/>
      <c r="H60" s="12">
        <v>32.04</v>
      </c>
      <c r="I60" s="12">
        <v>0.79100000000000004</v>
      </c>
      <c r="J60" s="12">
        <f t="shared" si="23"/>
        <v>4.9984538051647309</v>
      </c>
      <c r="K60" s="14" t="s">
        <v>146</v>
      </c>
      <c r="L60" s="12">
        <f t="shared" si="24"/>
        <v>90.554390172619932</v>
      </c>
      <c r="M60" s="12">
        <f t="shared" si="25"/>
        <v>9.0554390172619931E-2</v>
      </c>
      <c r="N60" s="12">
        <f>L60/I60</f>
        <v>114.48089781620725</v>
      </c>
      <c r="O60" s="12">
        <f t="shared" si="26"/>
        <v>2.8262918281092366</v>
      </c>
      <c r="P60" s="12"/>
      <c r="Q60" s="12"/>
      <c r="R60" s="12"/>
      <c r="S60" s="12">
        <f>300</f>
        <v>300</v>
      </c>
      <c r="T60" s="14" t="s">
        <v>174</v>
      </c>
      <c r="U60" s="12">
        <f>S60/((I60*10000)/H60)</f>
        <v>1.2151706700379266</v>
      </c>
      <c r="V60" s="17" t="s">
        <v>175</v>
      </c>
      <c r="W60" s="55" t="s">
        <v>67</v>
      </c>
      <c r="X60" s="309"/>
      <c r="Y60" s="126">
        <f>U60*O60</f>
        <v>3.4344269344862175</v>
      </c>
      <c r="Z60" s="317"/>
      <c r="AA60" s="314"/>
      <c r="AB60" s="314"/>
    </row>
    <row r="61" spans="1:31" s="127" customFormat="1" ht="17.5">
      <c r="A61" s="296"/>
      <c r="B61" s="14"/>
      <c r="C61" s="14"/>
      <c r="D61" s="37" t="s">
        <v>252</v>
      </c>
      <c r="E61" s="18" t="s">
        <v>141</v>
      </c>
      <c r="F61" s="195" t="s">
        <v>22</v>
      </c>
      <c r="G61" s="14"/>
      <c r="H61" s="12">
        <f>106.12</f>
        <v>106.12</v>
      </c>
      <c r="I61" s="12">
        <v>0.97</v>
      </c>
      <c r="J61" s="12">
        <f t="shared" si="23"/>
        <v>2.4984911821978373</v>
      </c>
      <c r="K61" s="176" t="s">
        <v>112</v>
      </c>
      <c r="L61" s="12">
        <f t="shared" si="24"/>
        <v>149.9188984003367</v>
      </c>
      <c r="M61" s="12">
        <f t="shared" si="25"/>
        <v>0.1499188984003367</v>
      </c>
      <c r="N61" s="12">
        <f>L61/I61</f>
        <v>154.55556536117186</v>
      </c>
      <c r="O61" s="12">
        <f t="shared" si="26"/>
        <v>1.4127299133088644</v>
      </c>
      <c r="P61" s="12"/>
      <c r="Q61" s="12"/>
      <c r="R61" s="12"/>
      <c r="S61" s="12">
        <f>930</f>
        <v>930</v>
      </c>
      <c r="T61" s="14" t="s">
        <v>28</v>
      </c>
      <c r="U61" s="19">
        <f>S61/((I61*20000)/H61)</f>
        <v>5.0871958762886598</v>
      </c>
      <c r="V61" s="14" t="s">
        <v>176</v>
      </c>
      <c r="W61" s="55" t="s">
        <v>68</v>
      </c>
      <c r="X61" s="309"/>
      <c r="Y61" s="126">
        <f t="shared" ref="Y61" si="28">U61*O61</f>
        <v>7.1868337892944911</v>
      </c>
      <c r="Z61" s="317"/>
      <c r="AA61" s="314"/>
      <c r="AB61" s="314"/>
    </row>
    <row r="62" spans="1:31" ht="17.5">
      <c r="A62" s="296"/>
      <c r="B62" s="14"/>
      <c r="C62" s="14"/>
      <c r="D62" s="163" t="s">
        <v>261</v>
      </c>
      <c r="E62" s="278" t="s">
        <v>262</v>
      </c>
      <c r="F62" s="157" t="s">
        <v>41</v>
      </c>
      <c r="G62" s="14"/>
      <c r="H62" s="12">
        <v>190.22</v>
      </c>
      <c r="I62" s="176" t="s">
        <v>112</v>
      </c>
      <c r="J62" s="12">
        <f t="shared" si="23"/>
        <v>4.9824039986881966E-2</v>
      </c>
      <c r="K62" s="14" t="s">
        <v>144</v>
      </c>
      <c r="L62" s="12">
        <f t="shared" si="24"/>
        <v>5.358909672097969</v>
      </c>
      <c r="M62" s="12">
        <f t="shared" si="25"/>
        <v>5.3589096720979687E-3</v>
      </c>
      <c r="N62" s="176" t="s">
        <v>112</v>
      </c>
      <c r="O62" s="19">
        <f t="shared" si="26"/>
        <v>2.8172167343591469E-2</v>
      </c>
      <c r="P62" s="12"/>
      <c r="Q62" s="12"/>
      <c r="R62" s="12"/>
      <c r="S62" s="12">
        <v>20</v>
      </c>
      <c r="T62" s="14" t="s">
        <v>215</v>
      </c>
      <c r="U62" s="12">
        <f xml:space="preserve"> S62/(1000/H62)</f>
        <v>3.8043999999999998</v>
      </c>
      <c r="V62" s="38" t="s">
        <v>112</v>
      </c>
      <c r="W62" s="61" t="s">
        <v>69</v>
      </c>
      <c r="X62" s="309"/>
      <c r="Y62" s="170">
        <f t="shared" ref="Y62" si="29">U62*O62</f>
        <v>0.10717819344195938</v>
      </c>
      <c r="Z62" s="317"/>
      <c r="AA62" s="314"/>
      <c r="AB62" s="314"/>
    </row>
    <row r="63" spans="1:31" ht="17.5">
      <c r="A63" s="296"/>
      <c r="B63" s="14"/>
      <c r="D63" s="14" t="s">
        <v>30</v>
      </c>
      <c r="E63" s="18" t="s">
        <v>31</v>
      </c>
      <c r="F63" s="42" t="s">
        <v>22</v>
      </c>
      <c r="G63" s="14"/>
      <c r="H63" s="12">
        <v>84.01</v>
      </c>
      <c r="I63" s="12">
        <v>2.2000000000000002</v>
      </c>
      <c r="J63" s="12">
        <f t="shared" si="23"/>
        <v>0.41655813973171596</v>
      </c>
      <c r="K63" s="176" t="s">
        <v>112</v>
      </c>
      <c r="L63" s="12">
        <f t="shared" si="24"/>
        <v>19.787363406656166</v>
      </c>
      <c r="M63" s="12">
        <f t="shared" si="25"/>
        <v>1.9787363406656166E-2</v>
      </c>
      <c r="N63" s="12">
        <f>L63/I63</f>
        <v>8.9942560939346201</v>
      </c>
      <c r="O63" s="12">
        <f t="shared" si="26"/>
        <v>0.23553581010184696</v>
      </c>
      <c r="P63" s="12"/>
      <c r="Q63" s="12"/>
      <c r="R63" s="12"/>
      <c r="S63" s="12">
        <v>447</v>
      </c>
      <c r="T63" s="14" t="s">
        <v>32</v>
      </c>
      <c r="U63" s="12">
        <f>S63/(50000/H63)</f>
        <v>0.75104939999999998</v>
      </c>
      <c r="V63" s="17" t="s">
        <v>33</v>
      </c>
      <c r="W63" s="61" t="s">
        <v>70</v>
      </c>
      <c r="X63" s="309"/>
      <c r="Y63" s="170">
        <f>U63*O63</f>
        <v>0.1768990288555061</v>
      </c>
      <c r="Z63" s="317"/>
      <c r="AA63" s="314"/>
      <c r="AB63" s="314"/>
    </row>
    <row r="64" spans="1:31" s="127" customFormat="1" ht="17.5">
      <c r="A64" s="296"/>
      <c r="B64" s="14"/>
      <c r="C64" s="14"/>
      <c r="D64" s="14" t="s">
        <v>202</v>
      </c>
      <c r="E64" s="18" t="s">
        <v>17</v>
      </c>
      <c r="F64" s="190" t="s">
        <v>18</v>
      </c>
      <c r="G64" s="14"/>
      <c r="H64" s="12">
        <v>92.14</v>
      </c>
      <c r="I64" s="12">
        <v>0.86499999999999999</v>
      </c>
      <c r="J64" s="12">
        <f t="shared" si="23"/>
        <v>1.695576776749105</v>
      </c>
      <c r="K64" s="179" t="s">
        <v>112</v>
      </c>
      <c r="L64" s="12">
        <f t="shared" si="24"/>
        <v>88.337883070041343</v>
      </c>
      <c r="M64" s="12">
        <f t="shared" si="25"/>
        <v>8.833788307004134E-2</v>
      </c>
      <c r="N64" s="12">
        <f>L64/I64</f>
        <v>102.12472031218653</v>
      </c>
      <c r="O64" s="12">
        <f t="shared" si="26"/>
        <v>0.95873543596745547</v>
      </c>
      <c r="P64" s="12"/>
      <c r="Q64" s="12"/>
      <c r="R64" s="12"/>
      <c r="S64" s="19">
        <f>1800</f>
        <v>1800</v>
      </c>
      <c r="T64" s="17" t="s">
        <v>213</v>
      </c>
      <c r="U64" s="12">
        <f>S64/((I64*200000)/H64)</f>
        <v>0.95868208092485552</v>
      </c>
      <c r="V64" s="191" t="s">
        <v>212</v>
      </c>
      <c r="W64" s="55" t="s">
        <v>63</v>
      </c>
      <c r="X64" s="309"/>
      <c r="Y64" s="126">
        <f t="shared" ref="Y64" si="30">U64*O64</f>
        <v>0.91912248280967879</v>
      </c>
      <c r="Z64" s="317"/>
      <c r="AA64" s="314"/>
      <c r="AB64" s="314"/>
    </row>
    <row r="65" spans="1:28" ht="17.5">
      <c r="A65" s="316"/>
      <c r="B65" s="65"/>
      <c r="C65" s="39">
        <v>6</v>
      </c>
      <c r="D65" s="65"/>
      <c r="E65" s="69" t="s">
        <v>142</v>
      </c>
      <c r="F65" s="70" t="s">
        <v>34</v>
      </c>
      <c r="G65" s="168" t="s">
        <v>71</v>
      </c>
      <c r="H65" s="66">
        <v>326.39</v>
      </c>
      <c r="I65" s="66"/>
      <c r="J65" s="66"/>
      <c r="K65" s="140">
        <v>0.58899999999999997</v>
      </c>
      <c r="L65" s="66"/>
      <c r="M65" s="66"/>
      <c r="N65" s="66"/>
      <c r="O65" s="66"/>
      <c r="P65" s="225">
        <f>R65*H65</f>
        <v>149.19163352572099</v>
      </c>
      <c r="Q65" s="225">
        <f>P65/1000</f>
        <v>0.14919163352572098</v>
      </c>
      <c r="R65" s="225">
        <f>O67</f>
        <v>0.45709621472998868</v>
      </c>
      <c r="S65" s="66" t="s">
        <v>112</v>
      </c>
      <c r="T65" s="65" t="s">
        <v>112</v>
      </c>
      <c r="U65" s="66" t="s">
        <v>112</v>
      </c>
      <c r="V65" s="65" t="s">
        <v>112</v>
      </c>
      <c r="W65" s="67" t="s">
        <v>112</v>
      </c>
      <c r="X65" s="310"/>
      <c r="Y65" s="68"/>
      <c r="Z65" s="317"/>
      <c r="AA65" s="319"/>
      <c r="AB65" s="319"/>
    </row>
    <row r="66" spans="1:28">
      <c r="A66" s="320" t="s">
        <v>270</v>
      </c>
      <c r="B66" s="31"/>
      <c r="C66" s="31"/>
      <c r="D66" s="31"/>
      <c r="E66" s="31"/>
      <c r="F66" s="31"/>
      <c r="G66" s="9"/>
      <c r="H66" s="32"/>
      <c r="I66" s="32"/>
      <c r="J66" s="33"/>
      <c r="K66" s="32"/>
      <c r="L66" s="32"/>
      <c r="M66" s="32"/>
      <c r="N66" s="32"/>
      <c r="O66" s="32"/>
      <c r="P66" s="32"/>
      <c r="Q66" s="32"/>
      <c r="R66" s="32"/>
      <c r="S66" s="32"/>
      <c r="T66" s="31"/>
      <c r="U66" s="33"/>
      <c r="V66" s="31"/>
      <c r="W66" s="57"/>
      <c r="X66" s="308">
        <f>99%</f>
        <v>0.99</v>
      </c>
      <c r="Y66" s="169"/>
      <c r="Z66" s="312" t="s">
        <v>163</v>
      </c>
      <c r="AA66" s="312">
        <v>1</v>
      </c>
      <c r="AB66" s="322">
        <v>15.5</v>
      </c>
    </row>
    <row r="67" spans="1:28" ht="17.5">
      <c r="A67" s="321"/>
      <c r="B67" s="13">
        <v>6</v>
      </c>
      <c r="C67" s="41"/>
      <c r="D67" s="70" t="s">
        <v>71</v>
      </c>
      <c r="E67" s="69" t="s">
        <v>142</v>
      </c>
      <c r="F67" s="70" t="s">
        <v>34</v>
      </c>
      <c r="G67" s="41"/>
      <c r="H67" s="19">
        <v>326.39</v>
      </c>
      <c r="I67" s="178" t="s">
        <v>112</v>
      </c>
      <c r="J67" s="19">
        <f t="shared" ref="J67:J73" si="31">O67/O$67</f>
        <v>1</v>
      </c>
      <c r="K67" s="140">
        <v>0.58899999999999997</v>
      </c>
      <c r="L67" s="72">
        <f t="shared" ref="L67:L73" si="32">O67*H67</f>
        <v>149.19163352572099</v>
      </c>
      <c r="M67" s="72">
        <f t="shared" ref="M67:M73" si="33">L67/1000</f>
        <v>0.14919163352572098</v>
      </c>
      <c r="N67" s="178" t="s">
        <v>112</v>
      </c>
      <c r="O67" s="72">
        <f>R74/X66</f>
        <v>0.45709621472998868</v>
      </c>
      <c r="P67" s="71"/>
      <c r="Q67" s="71"/>
      <c r="R67" s="71"/>
      <c r="S67" s="12" t="s">
        <v>112</v>
      </c>
      <c r="T67" s="14" t="s">
        <v>112</v>
      </c>
      <c r="U67" s="12" t="s">
        <v>112</v>
      </c>
      <c r="V67" s="17" t="s">
        <v>112</v>
      </c>
      <c r="W67" s="61" t="s">
        <v>112</v>
      </c>
      <c r="X67" s="309"/>
      <c r="Y67" s="68"/>
      <c r="Z67" s="314"/>
      <c r="AA67" s="314"/>
      <c r="AB67" s="323"/>
    </row>
    <row r="68" spans="1:28" s="127" customFormat="1" ht="17.5">
      <c r="A68" s="321"/>
      <c r="B68" s="14"/>
      <c r="C68" s="14"/>
      <c r="D68" s="14" t="s">
        <v>202</v>
      </c>
      <c r="E68" s="17" t="s">
        <v>17</v>
      </c>
      <c r="F68" s="190" t="s">
        <v>18</v>
      </c>
      <c r="G68" s="14"/>
      <c r="H68" s="12">
        <v>92.14</v>
      </c>
      <c r="I68" s="12">
        <v>0.86499999999999999</v>
      </c>
      <c r="J68" s="12">
        <f t="shared" si="31"/>
        <v>8.167916135084841</v>
      </c>
      <c r="K68" s="175" t="s">
        <v>112</v>
      </c>
      <c r="L68" s="12">
        <f t="shared" si="32"/>
        <v>344.00685967395481</v>
      </c>
      <c r="M68" s="12">
        <f t="shared" si="33"/>
        <v>0.34400685967395483</v>
      </c>
      <c r="N68" s="12">
        <f t="shared" ref="N68:N73" si="34">L68/I68</f>
        <v>397.69579153058362</v>
      </c>
      <c r="O68" s="12">
        <f t="shared" ref="O68:O73" si="35">O$67*J24</f>
        <v>3.7335235475792796</v>
      </c>
      <c r="P68" s="12"/>
      <c r="Q68" s="12"/>
      <c r="R68" s="12"/>
      <c r="S68" s="19">
        <v>1800</v>
      </c>
      <c r="T68" s="17" t="s">
        <v>213</v>
      </c>
      <c r="U68" s="12">
        <f>S68/((I68*200000)/H68)</f>
        <v>0.95868208092485552</v>
      </c>
      <c r="V68" s="191" t="s">
        <v>212</v>
      </c>
      <c r="W68" s="81" t="s">
        <v>63</v>
      </c>
      <c r="X68" s="309"/>
      <c r="Y68" s="126">
        <f t="shared" ref="Y68:Y70" si="36">U68*O68</f>
        <v>3.5792621237752527</v>
      </c>
      <c r="Z68" s="314"/>
      <c r="AA68" s="314"/>
      <c r="AB68" s="323"/>
    </row>
    <row r="69" spans="1:28" ht="17.5">
      <c r="A69" s="321"/>
      <c r="B69" s="14"/>
      <c r="C69" s="14"/>
      <c r="D69" s="14" t="s">
        <v>203</v>
      </c>
      <c r="E69" s="17" t="s">
        <v>27</v>
      </c>
      <c r="F69" s="190" t="s">
        <v>18</v>
      </c>
      <c r="G69" s="14"/>
      <c r="H69" s="12">
        <v>32.04</v>
      </c>
      <c r="I69" s="12">
        <v>0.79100000000000004</v>
      </c>
      <c r="J69" s="12">
        <f t="shared" si="31"/>
        <v>2.1234256316524633</v>
      </c>
      <c r="K69" s="179" t="s">
        <v>112</v>
      </c>
      <c r="L69" s="12">
        <f t="shared" si="32"/>
        <v>31.098338584386799</v>
      </c>
      <c r="M69" s="12">
        <f t="shared" si="33"/>
        <v>3.1098338584386799E-2</v>
      </c>
      <c r="N69" s="12">
        <f t="shared" si="34"/>
        <v>39.315219449287987</v>
      </c>
      <c r="O69" s="12">
        <f t="shared" si="35"/>
        <v>0.97060981848897621</v>
      </c>
      <c r="P69" s="12"/>
      <c r="Q69" s="12"/>
      <c r="R69" s="12"/>
      <c r="S69" s="12">
        <f>300</f>
        <v>300</v>
      </c>
      <c r="T69" s="14" t="s">
        <v>174</v>
      </c>
      <c r="U69" s="12">
        <f>S69/((I69*10000)/H69)</f>
        <v>1.2151706700379266</v>
      </c>
      <c r="V69" s="17" t="s">
        <v>175</v>
      </c>
      <c r="W69" s="81" t="s">
        <v>67</v>
      </c>
      <c r="X69" s="309"/>
      <c r="Y69" s="126">
        <f t="shared" si="36"/>
        <v>1.1794565834786395</v>
      </c>
      <c r="Z69" s="314"/>
      <c r="AA69" s="314"/>
      <c r="AB69" s="323"/>
    </row>
    <row r="70" spans="1:28" ht="17.5">
      <c r="A70" s="321"/>
      <c r="B70" s="14"/>
      <c r="C70" s="14"/>
      <c r="D70" s="43" t="s">
        <v>143</v>
      </c>
      <c r="E70" s="41" t="s">
        <v>204</v>
      </c>
      <c r="F70" s="42" t="s">
        <v>22</v>
      </c>
      <c r="G70" s="14"/>
      <c r="H70" s="12">
        <v>37.83</v>
      </c>
      <c r="I70" s="12">
        <v>1.07</v>
      </c>
      <c r="J70" s="12">
        <f t="shared" si="31"/>
        <v>1.5012255007512116</v>
      </c>
      <c r="K70" s="176" t="s">
        <v>112</v>
      </c>
      <c r="L70" s="12">
        <f t="shared" si="32"/>
        <v>25.959116002326986</v>
      </c>
      <c r="M70" s="12">
        <f t="shared" si="33"/>
        <v>2.5959116002326987E-2</v>
      </c>
      <c r="N70" s="12">
        <f t="shared" si="34"/>
        <v>24.260856076941106</v>
      </c>
      <c r="O70" s="12">
        <f t="shared" si="35"/>
        <v>0.68620449384951065</v>
      </c>
      <c r="P70" s="12"/>
      <c r="Q70" s="12"/>
      <c r="R70" s="12"/>
      <c r="S70" s="12">
        <f>4970</f>
        <v>4970</v>
      </c>
      <c r="T70" s="14" t="s">
        <v>214</v>
      </c>
      <c r="U70" s="12">
        <f>S70/(40000/H70)</f>
        <v>4.7003774999999992</v>
      </c>
      <c r="V70" s="189">
        <v>8063739040</v>
      </c>
      <c r="W70" s="133" t="s">
        <v>72</v>
      </c>
      <c r="X70" s="309"/>
      <c r="Y70" s="170">
        <f t="shared" si="36"/>
        <v>3.2254201632891277</v>
      </c>
      <c r="Z70" s="314"/>
      <c r="AA70" s="314"/>
      <c r="AB70" s="323"/>
    </row>
    <row r="71" spans="1:28">
      <c r="A71" s="321"/>
      <c r="B71" s="14"/>
      <c r="C71" s="14"/>
      <c r="D71" s="14" t="s">
        <v>178</v>
      </c>
      <c r="E71" s="14" t="s">
        <v>26</v>
      </c>
      <c r="F71" s="195" t="s">
        <v>22</v>
      </c>
      <c r="G71" s="14"/>
      <c r="H71" s="12">
        <v>58.44</v>
      </c>
      <c r="I71" s="12">
        <v>2.16</v>
      </c>
      <c r="J71" s="12">
        <f t="shared" si="31"/>
        <v>0.55437043478166392</v>
      </c>
      <c r="K71" s="14" t="s">
        <v>144</v>
      </c>
      <c r="L71" s="12">
        <f t="shared" si="32"/>
        <v>14.808732659231808</v>
      </c>
      <c r="M71" s="12">
        <f t="shared" si="33"/>
        <v>1.4808732659231808E-2</v>
      </c>
      <c r="N71" s="12">
        <f t="shared" si="34"/>
        <v>6.8558947496443547</v>
      </c>
      <c r="O71" s="12">
        <f t="shared" si="35"/>
        <v>0.25340062729691665</v>
      </c>
      <c r="P71" s="12"/>
      <c r="Q71" s="12"/>
      <c r="R71" s="12"/>
      <c r="S71" s="183">
        <v>528</v>
      </c>
      <c r="T71" s="191" t="s">
        <v>32</v>
      </c>
      <c r="U71" s="12">
        <f>S71/(50000/H71)</f>
        <v>0.61712639999999996</v>
      </c>
      <c r="V71" s="17" t="s">
        <v>173</v>
      </c>
      <c r="W71" s="81" t="s">
        <v>66</v>
      </c>
      <c r="X71" s="309"/>
      <c r="Y71" s="126">
        <f t="shared" ref="Y71:Y72" si="37">U71*O71</f>
        <v>0.1563802168814879</v>
      </c>
      <c r="Z71" s="314"/>
      <c r="AA71" s="314"/>
      <c r="AB71" s="323"/>
    </row>
    <row r="72" spans="1:28" ht="17.5">
      <c r="A72" s="321"/>
      <c r="B72" s="14"/>
      <c r="C72" s="14"/>
      <c r="D72" s="21" t="s">
        <v>19</v>
      </c>
      <c r="E72" s="21" t="s">
        <v>20</v>
      </c>
      <c r="F72" s="156" t="s">
        <v>19</v>
      </c>
      <c r="G72" s="14"/>
      <c r="H72" s="22">
        <v>18.02</v>
      </c>
      <c r="I72" s="22">
        <v>1</v>
      </c>
      <c r="J72" s="22">
        <f t="shared" si="31"/>
        <v>43.148601387756408</v>
      </c>
      <c r="K72" s="179" t="s">
        <v>112</v>
      </c>
      <c r="L72" s="22">
        <f t="shared" si="32"/>
        <v>355.40958382156333</v>
      </c>
      <c r="M72" s="12">
        <f t="shared" si="33"/>
        <v>0.35540958382156335</v>
      </c>
      <c r="N72" s="22">
        <f t="shared" si="34"/>
        <v>355.40958382156333</v>
      </c>
      <c r="O72" s="22">
        <f t="shared" si="35"/>
        <v>19.72306236523659</v>
      </c>
      <c r="P72" s="12"/>
      <c r="Q72" s="12"/>
      <c r="R72" s="12"/>
      <c r="S72" s="22">
        <f>285</f>
        <v>285</v>
      </c>
      <c r="T72" s="21" t="s">
        <v>108</v>
      </c>
      <c r="U72" s="22">
        <f>S72/((I72*16000)/H72)</f>
        <v>0.32098125</v>
      </c>
      <c r="V72" s="21" t="s">
        <v>172</v>
      </c>
      <c r="W72" s="194" t="s">
        <v>61</v>
      </c>
      <c r="X72" s="309"/>
      <c r="Y72" s="126">
        <f t="shared" si="37"/>
        <v>6.3307332118215971</v>
      </c>
      <c r="Z72" s="314"/>
      <c r="AA72" s="314"/>
      <c r="AB72" s="323"/>
    </row>
    <row r="73" spans="1:28" ht="17.5">
      <c r="A73" s="321"/>
      <c r="B73" s="14"/>
      <c r="C73" s="14"/>
      <c r="D73" s="14" t="s">
        <v>35</v>
      </c>
      <c r="E73" s="41" t="s">
        <v>36</v>
      </c>
      <c r="F73" s="116" t="s">
        <v>18</v>
      </c>
      <c r="G73" s="14"/>
      <c r="H73" s="12">
        <v>60.05</v>
      </c>
      <c r="I73" s="12">
        <v>1.0489999999999999</v>
      </c>
      <c r="J73" s="12">
        <f t="shared" si="31"/>
        <v>1.348768035330576</v>
      </c>
      <c r="K73" s="179" t="s">
        <v>112</v>
      </c>
      <c r="L73" s="12">
        <f t="shared" si="32"/>
        <v>37.021831648079512</v>
      </c>
      <c r="M73" s="12">
        <f t="shared" si="33"/>
        <v>3.7021831648079512E-2</v>
      </c>
      <c r="N73" s="12">
        <f t="shared" si="34"/>
        <v>35.292499187873702</v>
      </c>
      <c r="O73" s="12">
        <f t="shared" si="35"/>
        <v>0.61651676349840989</v>
      </c>
      <c r="P73" s="12"/>
      <c r="Q73" s="12"/>
      <c r="R73" s="12"/>
      <c r="S73" s="12">
        <f>2020</f>
        <v>2020</v>
      </c>
      <c r="T73" s="14" t="s">
        <v>217</v>
      </c>
      <c r="U73" s="12">
        <f>S73/(211000/H73)</f>
        <v>0.57488625592417053</v>
      </c>
      <c r="V73" s="189" t="s">
        <v>218</v>
      </c>
      <c r="W73" s="81" t="s">
        <v>50</v>
      </c>
      <c r="X73" s="309"/>
      <c r="Y73" s="170">
        <f>U73*O73</f>
        <v>0.35442701388208819</v>
      </c>
      <c r="Z73" s="314"/>
      <c r="AA73" s="314"/>
      <c r="AB73" s="323"/>
    </row>
    <row r="74" spans="1:28" ht="17.5">
      <c r="A74" s="321"/>
      <c r="B74" s="65"/>
      <c r="C74" s="39">
        <v>7</v>
      </c>
      <c r="D74" s="65"/>
      <c r="E74" s="74" t="s">
        <v>73</v>
      </c>
      <c r="F74" s="75" t="s">
        <v>34</v>
      </c>
      <c r="G74" s="180" t="s">
        <v>37</v>
      </c>
      <c r="H74" s="66">
        <v>284.35000000000002</v>
      </c>
      <c r="I74" s="66"/>
      <c r="J74" s="66"/>
      <c r="K74" s="139">
        <v>0.224</v>
      </c>
      <c r="L74" s="66"/>
      <c r="M74" s="66"/>
      <c r="N74" s="66"/>
      <c r="O74" s="66"/>
      <c r="P74" s="225">
        <f>R74*H74</f>
        <v>128.67555557188757</v>
      </c>
      <c r="Q74" s="225">
        <f>P74/1000</f>
        <v>0.12867555557188756</v>
      </c>
      <c r="R74" s="225">
        <f>O76</f>
        <v>0.45252525258268878</v>
      </c>
      <c r="S74" s="66" t="s">
        <v>112</v>
      </c>
      <c r="T74" s="65" t="s">
        <v>112</v>
      </c>
      <c r="U74" s="66" t="s">
        <v>112</v>
      </c>
      <c r="V74" s="65" t="s">
        <v>112</v>
      </c>
      <c r="W74" s="67" t="s">
        <v>112</v>
      </c>
      <c r="X74" s="310"/>
      <c r="Y74" s="138"/>
      <c r="Z74" s="319"/>
      <c r="AA74" s="319"/>
      <c r="AB74" s="324"/>
    </row>
    <row r="75" spans="1:28">
      <c r="A75" s="332" t="s">
        <v>271</v>
      </c>
      <c r="B75" s="31"/>
      <c r="C75" s="31"/>
      <c r="D75" s="31"/>
      <c r="E75" s="31"/>
      <c r="F75" s="31"/>
      <c r="G75" s="9"/>
      <c r="H75" s="32"/>
      <c r="I75" s="32"/>
      <c r="J75" s="33"/>
      <c r="K75" s="32"/>
      <c r="L75" s="32"/>
      <c r="M75" s="32"/>
      <c r="N75" s="32"/>
      <c r="O75" s="32"/>
      <c r="P75" s="32"/>
      <c r="Q75" s="32"/>
      <c r="R75" s="32"/>
      <c r="S75" s="32"/>
      <c r="T75" s="31"/>
      <c r="U75" s="32"/>
      <c r="V75" s="31"/>
      <c r="W75" s="57"/>
      <c r="X75" s="308">
        <v>0.99</v>
      </c>
      <c r="Y75" s="170"/>
      <c r="Z75" s="317">
        <v>25</v>
      </c>
      <c r="AA75" s="312" t="s">
        <v>139</v>
      </c>
      <c r="AB75" s="312">
        <v>6</v>
      </c>
    </row>
    <row r="76" spans="1:28" ht="17.5">
      <c r="A76" s="333"/>
      <c r="B76" s="13">
        <v>7</v>
      </c>
      <c r="C76" s="14"/>
      <c r="D76" s="73" t="s">
        <v>37</v>
      </c>
      <c r="E76" s="74" t="s">
        <v>73</v>
      </c>
      <c r="F76" s="75" t="s">
        <v>34</v>
      </c>
      <c r="G76" s="14"/>
      <c r="H76" s="12">
        <v>284.35000000000002</v>
      </c>
      <c r="I76" s="176" t="s">
        <v>112</v>
      </c>
      <c r="J76" s="12">
        <f>O76/O$76</f>
        <v>1</v>
      </c>
      <c r="K76" s="139">
        <v>0.224</v>
      </c>
      <c r="L76" s="76">
        <f>O76*H76</f>
        <v>128.67555557188757</v>
      </c>
      <c r="M76" s="76">
        <f>L76/1000</f>
        <v>0.12867555557188756</v>
      </c>
      <c r="N76" s="176" t="s">
        <v>112</v>
      </c>
      <c r="O76" s="76">
        <f>R83/X75</f>
        <v>0.45252525258268878</v>
      </c>
      <c r="P76" s="12"/>
      <c r="Q76" s="12"/>
      <c r="R76" s="12"/>
      <c r="S76" s="12"/>
      <c r="T76" s="14"/>
      <c r="U76" s="12"/>
      <c r="V76" s="14"/>
      <c r="W76" s="56"/>
      <c r="X76" s="309"/>
      <c r="Y76" s="170"/>
      <c r="Z76" s="317"/>
      <c r="AA76" s="314"/>
      <c r="AB76" s="314"/>
    </row>
    <row r="77" spans="1:28" s="127" customFormat="1" ht="17.5">
      <c r="A77" s="333"/>
      <c r="B77" s="14"/>
      <c r="C77" s="14"/>
      <c r="D77" s="14" t="s">
        <v>202</v>
      </c>
      <c r="E77" s="17" t="s">
        <v>17</v>
      </c>
      <c r="F77" s="190" t="s">
        <v>18</v>
      </c>
      <c r="G77" s="14"/>
      <c r="H77" s="12">
        <v>92.14</v>
      </c>
      <c r="I77" s="12">
        <v>0.86499999999999999</v>
      </c>
      <c r="J77" s="12">
        <f>O77/O$76</f>
        <v>0.49932281917517179</v>
      </c>
      <c r="K77" s="175" t="s">
        <v>112</v>
      </c>
      <c r="L77" s="12">
        <f t="shared" ref="L77:L82" si="38">O77*H77</f>
        <v>20.819602873695583</v>
      </c>
      <c r="M77" s="12">
        <f>L77/1000</f>
        <v>2.0819602873695584E-2</v>
      </c>
      <c r="N77" s="12">
        <f t="shared" ref="N77:N79" si="39">L77/I77</f>
        <v>24.068905056295471</v>
      </c>
      <c r="O77" s="12">
        <f t="shared" ref="O77:O82" si="40">O$76*J33</f>
        <v>0.22595618486754485</v>
      </c>
      <c r="P77" s="12"/>
      <c r="Q77" s="12"/>
      <c r="R77" s="12"/>
      <c r="S77" s="19">
        <f>1800</f>
        <v>1800</v>
      </c>
      <c r="T77" s="17" t="s">
        <v>213</v>
      </c>
      <c r="U77" s="12">
        <f>S77/((I77*200000)/H77)</f>
        <v>0.95868208092485552</v>
      </c>
      <c r="V77" s="191" t="s">
        <v>212</v>
      </c>
      <c r="W77" s="55" t="s">
        <v>63</v>
      </c>
      <c r="X77" s="309"/>
      <c r="Y77" s="126">
        <f t="shared" ref="Y77:Y80" si="41">U77*O77</f>
        <v>0.21662014550665923</v>
      </c>
      <c r="Z77" s="317"/>
      <c r="AA77" s="314"/>
      <c r="AB77" s="314"/>
    </row>
    <row r="78" spans="1:28" ht="17.5">
      <c r="A78" s="333"/>
      <c r="B78" s="14"/>
      <c r="C78" s="14"/>
      <c r="D78" s="14" t="s">
        <v>38</v>
      </c>
      <c r="E78" s="41" t="s">
        <v>147</v>
      </c>
      <c r="F78" s="116" t="s">
        <v>18</v>
      </c>
      <c r="G78" s="14"/>
      <c r="H78" s="12">
        <v>60.1</v>
      </c>
      <c r="I78" s="12">
        <v>0.78500000000000003</v>
      </c>
      <c r="J78" s="12">
        <f t="shared" ref="J78:J82" si="42">O78/O$76</f>
        <v>10.679286106524245</v>
      </c>
      <c r="K78" s="175" t="s">
        <v>112</v>
      </c>
      <c r="L78" s="12">
        <f t="shared" si="38"/>
        <v>290.44206322973673</v>
      </c>
      <c r="M78" s="12">
        <f t="shared" ref="M78:M80" si="43">L78/1000</f>
        <v>0.29044206322973676</v>
      </c>
      <c r="N78" s="12">
        <f t="shared" si="39"/>
        <v>369.98988946463277</v>
      </c>
      <c r="O78" s="12">
        <f t="shared" si="40"/>
        <v>4.8326466427576831</v>
      </c>
      <c r="P78" s="12"/>
      <c r="Q78" s="12"/>
      <c r="R78" s="12"/>
      <c r="S78" s="12">
        <f>391</f>
        <v>391</v>
      </c>
      <c r="T78" s="14" t="s">
        <v>53</v>
      </c>
      <c r="U78" s="12">
        <f>S78/((I78*18000)/H78)</f>
        <v>1.6630644019815994</v>
      </c>
      <c r="V78" s="189" t="s">
        <v>211</v>
      </c>
      <c r="W78" s="61" t="s">
        <v>74</v>
      </c>
      <c r="X78" s="309"/>
      <c r="Y78" s="170">
        <f t="shared" si="41"/>
        <v>8.0370025989261897</v>
      </c>
      <c r="Z78" s="317"/>
      <c r="AA78" s="314"/>
      <c r="AB78" s="314"/>
    </row>
    <row r="79" spans="1:28" ht="17.5">
      <c r="A79" s="333"/>
      <c r="B79" s="14"/>
      <c r="C79" s="14"/>
      <c r="D79" s="14" t="s">
        <v>148</v>
      </c>
      <c r="E79" s="17" t="s">
        <v>39</v>
      </c>
      <c r="F79" s="195" t="s">
        <v>22</v>
      </c>
      <c r="G79" s="14"/>
      <c r="H79" s="12">
        <v>98.07</v>
      </c>
      <c r="I79" s="12">
        <v>1.84</v>
      </c>
      <c r="J79" s="12">
        <f t="shared" si="42"/>
        <v>0.18416270521418887</v>
      </c>
      <c r="K79" s="176" t="s">
        <v>112</v>
      </c>
      <c r="L79" s="12">
        <f t="shared" si="38"/>
        <v>8.1729845991780188</v>
      </c>
      <c r="M79" s="12">
        <f t="shared" si="43"/>
        <v>8.1729845991780192E-3</v>
      </c>
      <c r="N79" s="12">
        <f t="shared" si="39"/>
        <v>4.4418394560750096</v>
      </c>
      <c r="O79" s="12">
        <f t="shared" si="40"/>
        <v>8.333827469336208E-2</v>
      </c>
      <c r="P79" s="12"/>
      <c r="Q79" s="12"/>
      <c r="R79" s="12"/>
      <c r="S79" s="12">
        <f>671</f>
        <v>671</v>
      </c>
      <c r="T79" s="14" t="s">
        <v>181</v>
      </c>
      <c r="U79" s="12">
        <f>S79/((I79*56000)/H79)</f>
        <v>0.63863519021739124</v>
      </c>
      <c r="V79" s="14" t="s">
        <v>182</v>
      </c>
      <c r="W79" s="55" t="s">
        <v>75</v>
      </c>
      <c r="X79" s="309"/>
      <c r="Y79" s="126">
        <f t="shared" si="41"/>
        <v>5.3222754911184493E-2</v>
      </c>
      <c r="Z79" s="317"/>
      <c r="AA79" s="314"/>
      <c r="AB79" s="314"/>
    </row>
    <row r="80" spans="1:28">
      <c r="A80" s="333"/>
      <c r="B80" s="16"/>
      <c r="C80" s="16"/>
      <c r="D80" s="16" t="s">
        <v>149</v>
      </c>
      <c r="E80" s="45" t="s">
        <v>40</v>
      </c>
      <c r="F80" s="157" t="s">
        <v>41</v>
      </c>
      <c r="G80" s="16"/>
      <c r="H80" s="15">
        <v>106.42</v>
      </c>
      <c r="I80" s="172" t="s">
        <v>112</v>
      </c>
      <c r="J80" s="15">
        <f t="shared" si="42"/>
        <v>6.7170540995792921E-2</v>
      </c>
      <c r="K80" s="15" t="s">
        <v>42</v>
      </c>
      <c r="L80" s="15">
        <f t="shared" si="38"/>
        <v>3.234781272937826</v>
      </c>
      <c r="M80" s="12">
        <f t="shared" si="43"/>
        <v>3.2347812729378259E-3</v>
      </c>
      <c r="N80" s="172" t="s">
        <v>112</v>
      </c>
      <c r="O80" s="15">
        <f t="shared" si="40"/>
        <v>3.0396366030237043E-2</v>
      </c>
      <c r="P80" s="15"/>
      <c r="Q80" s="15"/>
      <c r="R80" s="15"/>
      <c r="S80" s="15">
        <v>2</v>
      </c>
      <c r="T80" s="16" t="s">
        <v>210</v>
      </c>
      <c r="U80" s="15">
        <f>S80/(2/H80)</f>
        <v>106.42</v>
      </c>
      <c r="V80" s="141" t="s">
        <v>112</v>
      </c>
      <c r="W80" s="196" t="s">
        <v>183</v>
      </c>
      <c r="X80" s="309"/>
      <c r="Y80" s="51">
        <f t="shared" si="41"/>
        <v>3.234781272937826</v>
      </c>
      <c r="Z80" s="317"/>
      <c r="AA80" s="314"/>
      <c r="AB80" s="314"/>
    </row>
    <row r="81" spans="1:28" ht="17.5">
      <c r="A81" s="333"/>
      <c r="B81" s="17"/>
      <c r="C81" s="17"/>
      <c r="D81" s="17" t="s">
        <v>43</v>
      </c>
      <c r="E81" s="17" t="s">
        <v>76</v>
      </c>
      <c r="F81" s="42" t="s">
        <v>22</v>
      </c>
      <c r="G81" s="17"/>
      <c r="H81" s="19">
        <f>1.008*2</f>
        <v>2.016</v>
      </c>
      <c r="I81" s="19">
        <v>4.0450000000000002E-4</v>
      </c>
      <c r="J81" s="12">
        <f t="shared" si="42"/>
        <v>0.29045204898232529</v>
      </c>
      <c r="K81" s="19" t="s">
        <v>145</v>
      </c>
      <c r="L81" s="19">
        <f t="shared" si="38"/>
        <v>0.26497676384703467</v>
      </c>
      <c r="M81" s="12">
        <f>L81/1000</f>
        <v>2.6497676384703466E-4</v>
      </c>
      <c r="N81" s="19">
        <f>L81/I81</f>
        <v>655.07234572814502</v>
      </c>
      <c r="O81" s="12">
        <f t="shared" si="40"/>
        <v>0.13143688682888624</v>
      </c>
      <c r="P81" s="19"/>
      <c r="Q81" s="19"/>
      <c r="R81" s="19"/>
      <c r="S81" s="19">
        <f>243</f>
        <v>243</v>
      </c>
      <c r="T81" s="17" t="s">
        <v>181</v>
      </c>
      <c r="U81" s="19">
        <f>S81/((I81*56000)/H81)</f>
        <v>21.626699629171817</v>
      </c>
      <c r="V81" s="17" t="s">
        <v>184</v>
      </c>
      <c r="W81" s="55" t="s">
        <v>77</v>
      </c>
      <c r="X81" s="309"/>
      <c r="Y81" s="132"/>
      <c r="Z81" s="317"/>
      <c r="AA81" s="314"/>
      <c r="AB81" s="314"/>
    </row>
    <row r="82" spans="1:28" ht="17.5">
      <c r="A82" s="333"/>
      <c r="B82" s="14"/>
      <c r="C82" s="14"/>
      <c r="D82" s="24" t="s">
        <v>179</v>
      </c>
      <c r="E82" s="17" t="s">
        <v>44</v>
      </c>
      <c r="F82" s="195" t="s">
        <v>22</v>
      </c>
      <c r="G82" s="14"/>
      <c r="H82" s="12">
        <v>193.33</v>
      </c>
      <c r="I82" s="176">
        <v>0.94499999999999995</v>
      </c>
      <c r="J82" s="12">
        <f t="shared" si="42"/>
        <v>0.39924642725115944</v>
      </c>
      <c r="K82" s="197" t="s">
        <v>186</v>
      </c>
      <c r="L82" s="12">
        <f t="shared" si="38"/>
        <v>34.928755234381846</v>
      </c>
      <c r="M82" s="12">
        <f t="shared" ref="M82" si="44">L82/1000</f>
        <v>3.4928755234381846E-2</v>
      </c>
      <c r="N82" s="176">
        <f>L82/I82</f>
        <v>36.961645750668623</v>
      </c>
      <c r="O82" s="12">
        <f t="shared" si="40"/>
        <v>0.18066909033456702</v>
      </c>
      <c r="P82" s="12"/>
      <c r="Q82" s="12"/>
      <c r="R82" s="12"/>
      <c r="S82" s="12">
        <f>379</f>
        <v>379</v>
      </c>
      <c r="T82" s="14" t="s">
        <v>53</v>
      </c>
      <c r="U82" s="19">
        <f>S82/((I82*18000)/H82)</f>
        <v>4.3075878894767783</v>
      </c>
      <c r="V82" s="14" t="s">
        <v>185</v>
      </c>
      <c r="W82" s="55" t="s">
        <v>78</v>
      </c>
      <c r="X82" s="309"/>
      <c r="Y82" s="126">
        <f>U82*O82</f>
        <v>0.77824798552796692</v>
      </c>
      <c r="Z82" s="317"/>
      <c r="AA82" s="314"/>
      <c r="AB82" s="314"/>
    </row>
    <row r="83" spans="1:28" ht="18" thickBot="1">
      <c r="A83" s="333"/>
      <c r="B83" s="17"/>
      <c r="C83" s="13" t="s">
        <v>272</v>
      </c>
      <c r="D83" s="26" t="s">
        <v>137</v>
      </c>
      <c r="E83" s="234" t="s">
        <v>79</v>
      </c>
      <c r="F83" s="239" t="s">
        <v>34</v>
      </c>
      <c r="G83" s="240" t="s">
        <v>136</v>
      </c>
      <c r="H83" s="27">
        <v>130.13999999999999</v>
      </c>
      <c r="I83" s="27"/>
      <c r="J83" s="27"/>
      <c r="K83" s="235">
        <v>0.45800000000000002</v>
      </c>
      <c r="L83" s="27"/>
      <c r="M83" s="27"/>
      <c r="N83" s="27"/>
      <c r="O83" s="27"/>
      <c r="P83" s="236">
        <f>R83*H83</f>
        <v>58.302720007399998</v>
      </c>
      <c r="Q83" s="236">
        <f>P83/1000</f>
        <v>5.83027200074E-2</v>
      </c>
      <c r="R83" s="236">
        <f>O85</f>
        <v>0.44800000005686186</v>
      </c>
      <c r="S83" s="27"/>
      <c r="T83" s="26" t="s">
        <v>112</v>
      </c>
      <c r="U83" s="27" t="s">
        <v>112</v>
      </c>
      <c r="V83" s="26" t="s">
        <v>112</v>
      </c>
      <c r="W83" s="242" t="s">
        <v>112</v>
      </c>
      <c r="X83" s="327"/>
      <c r="Y83" s="241"/>
      <c r="Z83" s="328"/>
      <c r="AA83" s="315"/>
      <c r="AB83" s="315"/>
    </row>
    <row r="84" spans="1:28">
      <c r="A84" s="333"/>
      <c r="B84" s="232"/>
      <c r="C84" s="233"/>
      <c r="D84" s="123"/>
      <c r="E84" s="123"/>
      <c r="F84" s="123"/>
      <c r="G84" s="123"/>
      <c r="H84" s="123"/>
      <c r="I84" s="123"/>
      <c r="J84" s="123"/>
      <c r="K84" s="123"/>
      <c r="L84" s="123"/>
      <c r="M84" s="123"/>
      <c r="N84" s="123"/>
      <c r="O84" s="123"/>
      <c r="P84" s="123"/>
      <c r="Q84" s="123"/>
      <c r="R84" s="123"/>
      <c r="S84" s="123"/>
      <c r="T84" s="123"/>
      <c r="U84" s="123"/>
      <c r="V84" s="123"/>
      <c r="W84" s="227"/>
      <c r="X84" s="325">
        <f>R87/O85</f>
        <v>0.96431864573152071</v>
      </c>
      <c r="Y84" s="170"/>
      <c r="Z84" s="314" t="s">
        <v>138</v>
      </c>
      <c r="AA84" s="314" t="s">
        <v>140</v>
      </c>
      <c r="AB84" s="314">
        <v>4.5</v>
      </c>
    </row>
    <row r="85" spans="1:28" ht="17.5">
      <c r="A85" s="333"/>
      <c r="B85" s="123"/>
      <c r="C85" s="123"/>
      <c r="D85" s="75" t="s">
        <v>137</v>
      </c>
      <c r="E85" s="83" t="s">
        <v>79</v>
      </c>
      <c r="F85" s="78" t="s">
        <v>34</v>
      </c>
      <c r="G85" s="123"/>
      <c r="H85" s="46">
        <v>130.13999999999999</v>
      </c>
      <c r="I85" s="123"/>
      <c r="J85" s="46">
        <f>O85/O$85</f>
        <v>1</v>
      </c>
      <c r="K85" s="140">
        <v>0.45800000000000002</v>
      </c>
      <c r="L85" s="79">
        <f>O85*H85</f>
        <v>58.302720007399998</v>
      </c>
      <c r="M85" s="79">
        <f>L85/1000</f>
        <v>5.83027200074E-2</v>
      </c>
      <c r="N85" s="181" t="s">
        <v>112</v>
      </c>
      <c r="O85" s="79">
        <v>0.44800000005686186</v>
      </c>
      <c r="P85" s="123"/>
      <c r="Q85" s="123"/>
      <c r="R85" s="123"/>
      <c r="S85" s="12" t="s">
        <v>112</v>
      </c>
      <c r="T85" s="14" t="s">
        <v>112</v>
      </c>
      <c r="U85" s="12" t="s">
        <v>112</v>
      </c>
      <c r="V85" s="17" t="s">
        <v>112</v>
      </c>
      <c r="W85" s="61" t="s">
        <v>112</v>
      </c>
      <c r="X85" s="325"/>
      <c r="Y85" s="170"/>
      <c r="Z85" s="314"/>
      <c r="AA85" s="314"/>
      <c r="AB85" s="314"/>
    </row>
    <row r="86" spans="1:28" ht="17.5">
      <c r="A86" s="333"/>
      <c r="B86" s="123"/>
      <c r="C86" s="123"/>
      <c r="D86" s="123" t="s">
        <v>207</v>
      </c>
      <c r="E86" s="59" t="s">
        <v>81</v>
      </c>
      <c r="F86" s="116" t="s">
        <v>18</v>
      </c>
      <c r="G86" s="123"/>
      <c r="H86" s="46">
        <v>400</v>
      </c>
      <c r="I86" s="46">
        <v>1.1279999999999999</v>
      </c>
      <c r="J86" s="46">
        <f>O86/O$85</f>
        <v>0.32756696424413828</v>
      </c>
      <c r="K86" s="123" t="s">
        <v>45</v>
      </c>
      <c r="L86" s="46">
        <f>O86*H86</f>
        <v>58.70000000000001</v>
      </c>
      <c r="M86" s="46">
        <f>L86/1000</f>
        <v>5.8700000000000009E-2</v>
      </c>
      <c r="N86" s="46">
        <f>L86/I86</f>
        <v>52.039007092198595</v>
      </c>
      <c r="O86" s="84">
        <f>O85*J42</f>
        <v>0.14675000000000002</v>
      </c>
      <c r="P86" s="123"/>
      <c r="Q86" s="123"/>
      <c r="R86" s="123"/>
      <c r="S86" s="123">
        <f>10</f>
        <v>10</v>
      </c>
      <c r="T86" s="123" t="s">
        <v>120</v>
      </c>
      <c r="U86" s="46">
        <f>S86/(1000/H86)</f>
        <v>4</v>
      </c>
      <c r="V86" s="123" t="s">
        <v>112</v>
      </c>
      <c r="W86" s="61" t="s">
        <v>80</v>
      </c>
      <c r="X86" s="325"/>
      <c r="Y86" s="170">
        <f>U86*O86</f>
        <v>0.58700000000000008</v>
      </c>
      <c r="Z86" s="314"/>
      <c r="AA86" s="314"/>
      <c r="AB86" s="314"/>
    </row>
    <row r="87" spans="1:28" ht="17.5">
      <c r="A87" s="334"/>
      <c r="B87" s="124"/>
      <c r="C87" s="52" t="s">
        <v>272</v>
      </c>
      <c r="D87" s="124"/>
      <c r="E87" s="47" t="s">
        <v>79</v>
      </c>
      <c r="F87" s="52" t="s">
        <v>195</v>
      </c>
      <c r="G87" s="124" t="s">
        <v>46</v>
      </c>
      <c r="H87" s="40">
        <v>130.13999999999999</v>
      </c>
      <c r="I87" s="124"/>
      <c r="J87" s="142">
        <f>R87/O$85</f>
        <v>0.96431864573152071</v>
      </c>
      <c r="K87" s="48">
        <v>0.88400000000000001</v>
      </c>
      <c r="L87" s="124"/>
      <c r="M87" s="124"/>
      <c r="N87" s="124"/>
      <c r="O87" s="124"/>
      <c r="P87" s="258">
        <f>R87*H87</f>
        <v>56.2224</v>
      </c>
      <c r="Q87" s="259">
        <f>P87/1000</f>
        <v>5.6222399999999999E-2</v>
      </c>
      <c r="R87" s="258">
        <v>0.43201475334255424</v>
      </c>
      <c r="S87" s="40" t="s">
        <v>112</v>
      </c>
      <c r="T87" s="134" t="s">
        <v>112</v>
      </c>
      <c r="U87" s="40" t="s">
        <v>112</v>
      </c>
      <c r="V87" s="65" t="s">
        <v>112</v>
      </c>
      <c r="W87" s="135" t="s">
        <v>112</v>
      </c>
      <c r="X87" s="326"/>
      <c r="Y87" s="182" t="s">
        <v>112</v>
      </c>
      <c r="Z87" s="319"/>
      <c r="AA87" s="319"/>
      <c r="AB87" s="319"/>
    </row>
    <row r="88" spans="1:28">
      <c r="A88" s="82"/>
      <c r="B88" s="82"/>
      <c r="C88" s="82"/>
      <c r="D88" s="82"/>
      <c r="E88" s="82"/>
      <c r="F88" s="82"/>
      <c r="G88" s="82"/>
      <c r="H88" s="82"/>
      <c r="I88" s="82"/>
      <c r="J88" s="82"/>
      <c r="K88" s="82"/>
      <c r="L88" s="82"/>
      <c r="M88" s="82"/>
      <c r="N88" s="82"/>
      <c r="O88" s="82"/>
      <c r="P88" s="82"/>
      <c r="Q88" s="82"/>
      <c r="R88" s="82"/>
      <c r="S88" s="82"/>
      <c r="T88" s="82"/>
      <c r="U88" s="82"/>
      <c r="V88" s="82"/>
      <c r="W88" s="82"/>
      <c r="X88" s="82"/>
      <c r="Y88" s="82"/>
      <c r="Z88" s="82"/>
      <c r="AA88" s="82"/>
      <c r="AB88" s="82"/>
    </row>
    <row r="89" spans="1:28" ht="16" thickBot="1">
      <c r="A89" s="82"/>
      <c r="B89" s="82"/>
      <c r="C89" s="82"/>
      <c r="D89" s="82"/>
      <c r="E89" s="82"/>
      <c r="F89" s="82"/>
      <c r="G89" s="82"/>
      <c r="H89" s="82"/>
      <c r="I89" s="82"/>
      <c r="J89" s="82"/>
      <c r="K89" s="82"/>
      <c r="L89" s="82"/>
      <c r="M89" s="82"/>
      <c r="N89" s="187"/>
      <c r="O89" s="186"/>
      <c r="P89" s="185"/>
      <c r="Q89" s="185"/>
      <c r="R89" s="185"/>
      <c r="S89" s="82"/>
      <c r="T89" s="82"/>
      <c r="U89" s="82"/>
      <c r="V89" s="82"/>
      <c r="W89" s="82"/>
      <c r="X89" s="82"/>
      <c r="Y89" s="82"/>
      <c r="Z89" s="82"/>
      <c r="AA89" s="82"/>
      <c r="AB89" s="82"/>
    </row>
    <row r="90" spans="1:28" ht="16" thickBot="1">
      <c r="A90" s="329" t="s">
        <v>161</v>
      </c>
      <c r="B90" s="330"/>
      <c r="C90" s="330"/>
      <c r="D90" s="330"/>
      <c r="E90" s="330"/>
      <c r="F90" s="330"/>
      <c r="G90" s="330"/>
      <c r="H90" s="330"/>
      <c r="I90" s="330"/>
      <c r="J90" s="330"/>
      <c r="K90" s="330"/>
      <c r="L90" s="330"/>
      <c r="M90" s="330"/>
      <c r="N90" s="330"/>
      <c r="O90" s="330"/>
      <c r="P90" s="330"/>
      <c r="Q90" s="330"/>
      <c r="R90" s="330"/>
      <c r="S90" s="330"/>
      <c r="T90" s="330"/>
      <c r="U90" s="330"/>
      <c r="V90" s="330"/>
      <c r="W90" s="330"/>
      <c r="X90" s="330"/>
      <c r="Y90" s="330"/>
      <c r="Z90" s="330"/>
      <c r="AA90" s="330"/>
      <c r="AB90" s="331"/>
    </row>
    <row r="91" spans="1:28">
      <c r="A91" s="1" t="s">
        <v>0</v>
      </c>
      <c r="B91" s="2" t="s">
        <v>1</v>
      </c>
      <c r="C91" s="3" t="s">
        <v>2</v>
      </c>
      <c r="D91" s="4" t="s">
        <v>3</v>
      </c>
      <c r="E91" s="5" t="s">
        <v>156</v>
      </c>
      <c r="F91" s="5" t="s">
        <v>4</v>
      </c>
      <c r="G91" s="5" t="s">
        <v>5</v>
      </c>
      <c r="H91" s="6" t="s">
        <v>157</v>
      </c>
      <c r="I91" s="1" t="s">
        <v>158</v>
      </c>
      <c r="J91" s="7" t="s">
        <v>6</v>
      </c>
      <c r="K91" s="1" t="s">
        <v>7</v>
      </c>
      <c r="L91" s="6" t="s">
        <v>8</v>
      </c>
      <c r="M91" s="80" t="s">
        <v>60</v>
      </c>
      <c r="N91" s="1" t="s">
        <v>9</v>
      </c>
      <c r="O91" s="6" t="s">
        <v>10</v>
      </c>
      <c r="P91" s="6" t="s">
        <v>11</v>
      </c>
      <c r="Q91" s="80" t="s">
        <v>82</v>
      </c>
      <c r="R91" s="1" t="s">
        <v>12</v>
      </c>
      <c r="S91" s="1" t="s">
        <v>171</v>
      </c>
      <c r="T91" s="1" t="s">
        <v>13</v>
      </c>
      <c r="U91" s="1" t="s">
        <v>170</v>
      </c>
      <c r="V91" s="53" t="s">
        <v>155</v>
      </c>
      <c r="W91" s="1" t="s">
        <v>154</v>
      </c>
      <c r="X91" s="1" t="s">
        <v>14</v>
      </c>
      <c r="Y91" s="1" t="s">
        <v>162</v>
      </c>
      <c r="Z91" s="147" t="s">
        <v>152</v>
      </c>
      <c r="AA91" s="7" t="s">
        <v>151</v>
      </c>
      <c r="AB91" s="171" t="s">
        <v>153</v>
      </c>
    </row>
    <row r="92" spans="1:28" ht="18" customHeight="1">
      <c r="A92" s="305" t="s">
        <v>268</v>
      </c>
      <c r="B92" s="8">
        <v>2</v>
      </c>
      <c r="C92" s="9"/>
      <c r="D92" s="188" t="s">
        <v>103</v>
      </c>
      <c r="E92" s="10" t="s">
        <v>48</v>
      </c>
      <c r="F92" s="107" t="s">
        <v>104</v>
      </c>
      <c r="G92" s="9"/>
      <c r="H92" s="11">
        <v>178.23</v>
      </c>
      <c r="I92" s="173" t="s">
        <v>112</v>
      </c>
      <c r="J92" s="12">
        <f>O92/O$92</f>
        <v>1</v>
      </c>
      <c r="K92" s="173" t="s">
        <v>112</v>
      </c>
      <c r="L92" s="245">
        <f>O92*H92</f>
        <v>1800.5371132644734</v>
      </c>
      <c r="M92" s="246">
        <f t="shared" ref="M92:M98" si="45">L92/1000</f>
        <v>1.8005371132644734</v>
      </c>
      <c r="N92" s="178" t="s">
        <v>112</v>
      </c>
      <c r="O92" s="291">
        <f>R109/X92</f>
        <v>10.102323476768634</v>
      </c>
      <c r="P92" s="11"/>
      <c r="Q92" s="11"/>
      <c r="R92" s="11"/>
      <c r="S92" s="11" t="s">
        <v>112</v>
      </c>
      <c r="T92" s="9" t="s">
        <v>112</v>
      </c>
      <c r="U92" s="9" t="s">
        <v>112</v>
      </c>
      <c r="V92" s="9" t="s">
        <v>112</v>
      </c>
      <c r="W92" s="57" t="s">
        <v>112</v>
      </c>
      <c r="X92" s="308">
        <f>80.84%</f>
        <v>0.80840000000000001</v>
      </c>
      <c r="Y92" s="205">
        <f>'Advanced Starting Material'!Y110</f>
        <v>240.18499035898577</v>
      </c>
      <c r="Z92" s="311">
        <v>20</v>
      </c>
      <c r="AA92" s="312">
        <v>1</v>
      </c>
      <c r="AB92" s="311">
        <v>24</v>
      </c>
    </row>
    <row r="93" spans="1:28" s="127" customFormat="1" ht="17.5">
      <c r="A93" s="306"/>
      <c r="B93" s="13">
        <v>3</v>
      </c>
      <c r="C93" s="14"/>
      <c r="D93" s="14" t="s">
        <v>15</v>
      </c>
      <c r="E93" s="18" t="s">
        <v>49</v>
      </c>
      <c r="F93" s="195" t="s">
        <v>22</v>
      </c>
      <c r="G93" s="14"/>
      <c r="H93" s="12">
        <v>102.09</v>
      </c>
      <c r="I93" s="12">
        <v>1.03</v>
      </c>
      <c r="J93" s="12">
        <f>O93/O$92</f>
        <v>1.199796592113221</v>
      </c>
      <c r="K93" s="12" t="s">
        <v>133</v>
      </c>
      <c r="L93" s="19">
        <f t="shared" ref="L93:L98" si="46">O93*H93</f>
        <v>1237.4056605401308</v>
      </c>
      <c r="M93" s="19">
        <f t="shared" si="45"/>
        <v>1.2374056605401309</v>
      </c>
      <c r="N93" s="19">
        <f>L93/I93</f>
        <v>1201.3647189710007</v>
      </c>
      <c r="O93" s="19">
        <f t="shared" ref="O93:O98" si="47">O$92*J49</f>
        <v>12.120733279852393</v>
      </c>
      <c r="P93" s="12"/>
      <c r="Q93" s="12"/>
      <c r="R93" s="12"/>
      <c r="S93" s="19">
        <v>100</v>
      </c>
      <c r="T93" s="17" t="s">
        <v>120</v>
      </c>
      <c r="U93" s="19">
        <f>S93/(1000/H93)</f>
        <v>10.209000000000001</v>
      </c>
      <c r="V93" s="18" t="s">
        <v>112</v>
      </c>
      <c r="W93" s="55" t="s">
        <v>62</v>
      </c>
      <c r="X93" s="309"/>
      <c r="Y93" s="126">
        <f>U93*O93</f>
        <v>123.7405660540131</v>
      </c>
      <c r="Z93" s="311"/>
      <c r="AA93" s="314"/>
      <c r="AB93" s="311"/>
    </row>
    <row r="94" spans="1:28" s="127" customFormat="1" ht="17.5">
      <c r="A94" s="306"/>
      <c r="B94" s="17"/>
      <c r="C94" s="17"/>
      <c r="D94" s="17" t="s">
        <v>202</v>
      </c>
      <c r="E94" s="18" t="s">
        <v>17</v>
      </c>
      <c r="F94" s="190" t="s">
        <v>18</v>
      </c>
      <c r="G94" s="17"/>
      <c r="H94" s="19">
        <v>92.14</v>
      </c>
      <c r="I94" s="19">
        <v>0.86499999999999999</v>
      </c>
      <c r="J94" s="12">
        <f t="shared" ref="J94:J98" si="48">O94/O$92</f>
        <v>1.2874904324749883</v>
      </c>
      <c r="K94" s="179" t="s">
        <v>112</v>
      </c>
      <c r="L94" s="19">
        <f t="shared" si="46"/>
        <v>1198.432253908946</v>
      </c>
      <c r="M94" s="19">
        <f t="shared" si="45"/>
        <v>1.198432253908946</v>
      </c>
      <c r="N94" s="19">
        <f>L94/I94</f>
        <v>1385.4708137675677</v>
      </c>
      <c r="O94" s="19">
        <f t="shared" si="47"/>
        <v>13.006644822107075</v>
      </c>
      <c r="P94" s="150"/>
      <c r="Q94" s="19"/>
      <c r="R94" s="19"/>
      <c r="S94" s="19">
        <f>1800</f>
        <v>1800</v>
      </c>
      <c r="T94" s="17" t="s">
        <v>213</v>
      </c>
      <c r="U94" s="19">
        <f>S94/((I94*200000)/H94)</f>
        <v>0.95868208092485552</v>
      </c>
      <c r="V94" s="191" t="s">
        <v>212</v>
      </c>
      <c r="W94" s="55" t="s">
        <v>63</v>
      </c>
      <c r="X94" s="309"/>
      <c r="Y94" s="126">
        <f>U94*O94</f>
        <v>12.469237323908109</v>
      </c>
      <c r="Z94" s="311"/>
      <c r="AA94" s="314"/>
      <c r="AB94" s="311"/>
    </row>
    <row r="95" spans="1:28" s="127" customFormat="1" ht="17.5">
      <c r="A95" s="306"/>
      <c r="B95" s="17"/>
      <c r="C95" s="17"/>
      <c r="D95" s="17" t="s">
        <v>177</v>
      </c>
      <c r="E95" s="18" t="s">
        <v>130</v>
      </c>
      <c r="F95" s="195" t="s">
        <v>22</v>
      </c>
      <c r="G95" s="17"/>
      <c r="H95" s="19">
        <v>74.040000000000006</v>
      </c>
      <c r="I95" s="19">
        <v>1.3420000000000001</v>
      </c>
      <c r="J95" s="12">
        <f t="shared" si="48"/>
        <v>0.17134786994527476</v>
      </c>
      <c r="K95" s="19" t="s">
        <v>134</v>
      </c>
      <c r="L95" s="19">
        <f t="shared" si="46"/>
        <v>128.16409954831084</v>
      </c>
      <c r="M95" s="19">
        <f t="shared" si="45"/>
        <v>0.12816409954831084</v>
      </c>
      <c r="N95" s="19">
        <f>L95/I95</f>
        <v>95.502309648517766</v>
      </c>
      <c r="O95" s="19">
        <f t="shared" si="47"/>
        <v>1.7310116092424477</v>
      </c>
      <c r="P95" s="19"/>
      <c r="Q95" s="19"/>
      <c r="R95" s="19"/>
      <c r="S95" s="19">
        <v>117</v>
      </c>
      <c r="T95" s="17" t="s">
        <v>120</v>
      </c>
      <c r="U95" s="19">
        <f>S95/(1000/H95)</f>
        <v>8.6626799999999999</v>
      </c>
      <c r="V95" s="128" t="s">
        <v>132</v>
      </c>
      <c r="W95" s="18" t="s">
        <v>131</v>
      </c>
      <c r="X95" s="309"/>
      <c r="Y95" s="126">
        <f t="shared" ref="Y95:Y98" si="49">U95*O95</f>
        <v>14.995199647152367</v>
      </c>
      <c r="Z95" s="311"/>
      <c r="AA95" s="314"/>
      <c r="AB95" s="311"/>
    </row>
    <row r="96" spans="1:28" ht="17.5">
      <c r="A96" s="306"/>
      <c r="B96" s="20"/>
      <c r="C96" s="20"/>
      <c r="D96" s="21" t="s">
        <v>19</v>
      </c>
      <c r="E96" s="192" t="s">
        <v>20</v>
      </c>
      <c r="F96" s="156" t="s">
        <v>19</v>
      </c>
      <c r="G96" s="20"/>
      <c r="H96" s="22">
        <v>18.02</v>
      </c>
      <c r="I96" s="22">
        <v>1</v>
      </c>
      <c r="J96" s="22">
        <f t="shared" si="48"/>
        <v>5.7034231164058751</v>
      </c>
      <c r="K96" s="175" t="s">
        <v>112</v>
      </c>
      <c r="L96" s="22">
        <f t="shared" si="46"/>
        <v>1038.2732109475521</v>
      </c>
      <c r="M96" s="22">
        <f>L96/1000</f>
        <v>1.0382732109475521</v>
      </c>
      <c r="N96" s="22">
        <f>L96/I96</f>
        <v>1038.2732109475521</v>
      </c>
      <c r="O96" s="22">
        <f t="shared" si="47"/>
        <v>57.617825246811996</v>
      </c>
      <c r="P96" s="22"/>
      <c r="Q96" s="22"/>
      <c r="R96" s="22"/>
      <c r="S96" s="22">
        <f>285</f>
        <v>285</v>
      </c>
      <c r="T96" s="21" t="s">
        <v>108</v>
      </c>
      <c r="U96" s="22">
        <f>S96/((I96*16000)/H96)</f>
        <v>0.32098125</v>
      </c>
      <c r="V96" s="21" t="s">
        <v>172</v>
      </c>
      <c r="W96" s="193" t="s">
        <v>61</v>
      </c>
      <c r="X96" s="309"/>
      <c r="Y96" s="126">
        <f t="shared" si="49"/>
        <v>18.494241570003272</v>
      </c>
      <c r="Z96" s="311"/>
      <c r="AA96" s="314"/>
      <c r="AB96" s="311"/>
    </row>
    <row r="97" spans="1:28" s="127" customFormat="1" ht="17.5">
      <c r="A97" s="306"/>
      <c r="B97" s="14"/>
      <c r="C97" s="14"/>
      <c r="D97" s="14" t="s">
        <v>166</v>
      </c>
      <c r="E97" s="23" t="s">
        <v>21</v>
      </c>
      <c r="F97" s="190" t="s">
        <v>18</v>
      </c>
      <c r="G97" s="14"/>
      <c r="H97" s="12">
        <v>72.11</v>
      </c>
      <c r="I97" s="12">
        <v>0.88900000000000001</v>
      </c>
      <c r="J97" s="12">
        <f t="shared" si="48"/>
        <v>3.0887278493521872</v>
      </c>
      <c r="K97" s="176" t="s">
        <v>112</v>
      </c>
      <c r="L97" s="12">
        <f t="shared" si="46"/>
        <v>2250.0719724071423</v>
      </c>
      <c r="M97" s="19">
        <f t="shared" si="45"/>
        <v>2.2500719724071425</v>
      </c>
      <c r="N97" s="12">
        <f>L97/I97</f>
        <v>2531.0145921340181</v>
      </c>
      <c r="O97" s="19">
        <f t="shared" si="47"/>
        <v>31.203327865859691</v>
      </c>
      <c r="P97" s="12"/>
      <c r="Q97" s="12"/>
      <c r="R97" s="12"/>
      <c r="S97" s="12">
        <v>6860</v>
      </c>
      <c r="T97" s="14" t="s">
        <v>213</v>
      </c>
      <c r="U97" s="12">
        <f>S97/((I97*200000)/H97)</f>
        <v>2.7821968503937007</v>
      </c>
      <c r="V97" s="191" t="s">
        <v>216</v>
      </c>
      <c r="W97" s="55" t="s">
        <v>65</v>
      </c>
      <c r="X97" s="309"/>
      <c r="Y97" s="126">
        <f t="shared" si="49"/>
        <v>86.813800510196828</v>
      </c>
      <c r="Z97" s="311"/>
      <c r="AA97" s="314"/>
      <c r="AB97" s="311"/>
    </row>
    <row r="98" spans="1:28" s="127" customFormat="1" ht="17.5">
      <c r="A98" s="306"/>
      <c r="B98" s="16"/>
      <c r="C98" s="281">
        <v>4</v>
      </c>
      <c r="D98" s="16" t="s">
        <v>169</v>
      </c>
      <c r="E98" s="16" t="s">
        <v>47</v>
      </c>
      <c r="F98" s="157" t="s">
        <v>41</v>
      </c>
      <c r="G98" s="16"/>
      <c r="H98" s="15">
        <f>253.35</f>
        <v>253.35</v>
      </c>
      <c r="I98" s="172" t="s">
        <v>112</v>
      </c>
      <c r="J98" s="15">
        <f t="shared" si="48"/>
        <v>2.9890779121308872E-2</v>
      </c>
      <c r="K98" s="15" t="s">
        <v>129</v>
      </c>
      <c r="L98" s="15">
        <f t="shared" si="46"/>
        <v>76.503167084874022</v>
      </c>
      <c r="M98" s="15">
        <f t="shared" si="45"/>
        <v>7.6503167084874021E-2</v>
      </c>
      <c r="N98" s="172" t="s">
        <v>112</v>
      </c>
      <c r="O98" s="15">
        <f t="shared" si="47"/>
        <v>0.30196631965610432</v>
      </c>
      <c r="P98" s="15"/>
      <c r="Q98" s="15"/>
      <c r="R98" s="15"/>
      <c r="S98" s="15">
        <v>9.9499999999999993</v>
      </c>
      <c r="T98" s="16" t="s">
        <v>23</v>
      </c>
      <c r="U98" s="15">
        <f>S98/(5/H98)</f>
        <v>504.16649999999998</v>
      </c>
      <c r="V98" s="50" t="s">
        <v>24</v>
      </c>
      <c r="W98" s="63" t="s">
        <v>64</v>
      </c>
      <c r="X98" s="309"/>
      <c r="Y98" s="270">
        <f t="shared" si="49"/>
        <v>152.2413024988993</v>
      </c>
      <c r="Z98" s="311"/>
      <c r="AA98" s="314"/>
      <c r="AB98" s="311"/>
    </row>
    <row r="99" spans="1:28" ht="17.5">
      <c r="A99" s="306"/>
      <c r="B99" s="17"/>
      <c r="C99" s="13">
        <v>5</v>
      </c>
      <c r="D99" s="17"/>
      <c r="E99" s="18" t="s">
        <v>205</v>
      </c>
      <c r="F99" s="17" t="s">
        <v>180</v>
      </c>
      <c r="G99" s="17"/>
      <c r="H99" s="174">
        <v>280.32</v>
      </c>
      <c r="I99" s="174" t="s">
        <v>112</v>
      </c>
      <c r="J99" s="174" t="s">
        <v>112</v>
      </c>
      <c r="K99" s="174" t="s">
        <v>112</v>
      </c>
      <c r="L99" s="174" t="s">
        <v>112</v>
      </c>
      <c r="M99" s="174" t="s">
        <v>112</v>
      </c>
      <c r="N99" s="174" t="s">
        <v>112</v>
      </c>
      <c r="O99" s="174"/>
      <c r="P99" s="174" t="s">
        <v>112</v>
      </c>
      <c r="Q99" s="174" t="s">
        <v>112</v>
      </c>
      <c r="R99" s="174" t="s">
        <v>112</v>
      </c>
      <c r="S99" s="174" t="s">
        <v>112</v>
      </c>
      <c r="T99" s="174" t="s">
        <v>112</v>
      </c>
      <c r="U99" s="174" t="s">
        <v>112</v>
      </c>
      <c r="V99" s="198" t="s">
        <v>112</v>
      </c>
      <c r="W99" s="174" t="s">
        <v>112</v>
      </c>
      <c r="X99" s="309"/>
      <c r="Y99" s="174" t="s">
        <v>112</v>
      </c>
      <c r="Z99" s="312"/>
      <c r="AA99" s="314"/>
      <c r="AB99" s="312"/>
    </row>
    <row r="100" spans="1:28" ht="16" thickBot="1">
      <c r="A100" s="307"/>
      <c r="B100" s="25"/>
      <c r="C100" s="25"/>
      <c r="D100" s="25"/>
      <c r="E100" s="26"/>
      <c r="F100" s="25"/>
      <c r="G100" s="25"/>
      <c r="H100" s="27"/>
      <c r="I100" s="28"/>
      <c r="J100" s="28"/>
      <c r="K100" s="28"/>
      <c r="L100" s="28"/>
      <c r="M100" s="28"/>
      <c r="N100" s="28"/>
      <c r="O100" s="29"/>
      <c r="P100" s="28"/>
      <c r="Q100" s="28"/>
      <c r="R100" s="28"/>
      <c r="S100" s="27"/>
      <c r="T100" s="25"/>
      <c r="U100" s="30"/>
      <c r="V100" s="54"/>
      <c r="W100" s="62"/>
      <c r="X100" s="309"/>
      <c r="Y100" s="137"/>
      <c r="Z100" s="313"/>
      <c r="AA100" s="315"/>
      <c r="AB100" s="313"/>
    </row>
    <row r="101" spans="1:28" ht="16" customHeight="1">
      <c r="A101" s="295" t="s">
        <v>269</v>
      </c>
      <c r="B101" s="31"/>
      <c r="C101" s="31"/>
      <c r="D101" s="31"/>
      <c r="E101" s="31"/>
      <c r="F101" s="31"/>
      <c r="G101" s="31"/>
      <c r="H101" s="32"/>
      <c r="I101" s="32"/>
      <c r="J101" s="33"/>
      <c r="K101" s="32"/>
      <c r="L101" s="32"/>
      <c r="M101" s="32"/>
      <c r="N101" s="32"/>
      <c r="O101" s="32"/>
      <c r="P101" s="32"/>
      <c r="Q101" s="32"/>
      <c r="R101" s="32"/>
      <c r="S101" s="32"/>
      <c r="T101" s="31"/>
      <c r="U101" s="32"/>
      <c r="V101" s="34"/>
      <c r="W101" s="64"/>
      <c r="X101" s="309"/>
      <c r="Y101" s="170"/>
      <c r="Z101" s="317">
        <v>20</v>
      </c>
      <c r="AA101" s="318">
        <v>1</v>
      </c>
      <c r="AB101" s="314">
        <v>9</v>
      </c>
    </row>
    <row r="102" spans="1:28" s="127" customFormat="1">
      <c r="A102" s="296"/>
      <c r="B102" s="14"/>
      <c r="C102" s="14"/>
      <c r="D102" s="35" t="s">
        <v>178</v>
      </c>
      <c r="E102" s="17" t="s">
        <v>26</v>
      </c>
      <c r="F102" s="195" t="s">
        <v>22</v>
      </c>
      <c r="G102" s="35"/>
      <c r="H102" s="36">
        <v>58.44</v>
      </c>
      <c r="I102" s="12">
        <v>2.16</v>
      </c>
      <c r="J102" s="12">
        <f t="shared" ref="J102:J108" si="50">O102/O$92</f>
        <v>1.53058917096272</v>
      </c>
      <c r="K102" s="179" t="s">
        <v>112</v>
      </c>
      <c r="L102" s="12">
        <f t="shared" ref="L102:L108" si="51">O102*H102</f>
        <v>903.62890411870842</v>
      </c>
      <c r="M102" s="12">
        <f t="shared" ref="M102:M108" si="52">L102/1000</f>
        <v>0.90362890411870844</v>
      </c>
      <c r="N102" s="12">
        <f>L102/I102</f>
        <v>418.34671486977237</v>
      </c>
      <c r="O102" s="12">
        <f t="shared" ref="O102:O108" si="53">O$92*J58</f>
        <v>15.462506915104525</v>
      </c>
      <c r="P102" s="12"/>
      <c r="Q102" s="12"/>
      <c r="R102" s="12"/>
      <c r="S102" s="12">
        <v>528</v>
      </c>
      <c r="T102" s="14" t="s">
        <v>32</v>
      </c>
      <c r="U102" s="12">
        <f>S102/(50000/H102)</f>
        <v>0.61712639999999996</v>
      </c>
      <c r="V102" s="17" t="s">
        <v>173</v>
      </c>
      <c r="W102" s="55" t="s">
        <v>66</v>
      </c>
      <c r="X102" s="309"/>
      <c r="Y102" s="126">
        <f t="shared" ref="Y102" si="54">U102*O102</f>
        <v>9.5423212274935612</v>
      </c>
      <c r="Z102" s="317"/>
      <c r="AA102" s="314"/>
      <c r="AB102" s="314"/>
    </row>
    <row r="103" spans="1:28" ht="17.5">
      <c r="A103" s="296"/>
      <c r="B103" s="14"/>
      <c r="C103" s="14"/>
      <c r="D103" s="21" t="s">
        <v>19</v>
      </c>
      <c r="E103" s="192" t="s">
        <v>20</v>
      </c>
      <c r="F103" s="156" t="s">
        <v>19</v>
      </c>
      <c r="G103" s="35"/>
      <c r="H103" s="22">
        <v>18.02</v>
      </c>
      <c r="I103" s="22">
        <v>1</v>
      </c>
      <c r="J103" s="22">
        <f t="shared" si="50"/>
        <v>36.546206376969678</v>
      </c>
      <c r="K103" s="177" t="s">
        <v>112</v>
      </c>
      <c r="L103" s="22">
        <f t="shared" si="51"/>
        <v>6653.0128080134391</v>
      </c>
      <c r="M103" s="22">
        <f t="shared" si="52"/>
        <v>6.6530128080134388</v>
      </c>
      <c r="N103" s="22">
        <f>L103/I103</f>
        <v>6653.0128080134391</v>
      </c>
      <c r="O103" s="22">
        <f t="shared" si="53"/>
        <v>369.2015986688923</v>
      </c>
      <c r="P103" s="12"/>
      <c r="Q103" s="12"/>
      <c r="R103" s="12"/>
      <c r="S103" s="22">
        <f>285</f>
        <v>285</v>
      </c>
      <c r="T103" s="21" t="s">
        <v>108</v>
      </c>
      <c r="U103" s="22">
        <f>S103/((I103*16000)/H103)</f>
        <v>0.32098125</v>
      </c>
      <c r="V103" s="21" t="s">
        <v>172</v>
      </c>
      <c r="W103" s="193" t="s">
        <v>61</v>
      </c>
      <c r="X103" s="309"/>
      <c r="Y103" s="126">
        <f>U103*O103</f>
        <v>118.50679064273939</v>
      </c>
      <c r="Z103" s="317"/>
      <c r="AA103" s="314"/>
      <c r="AB103" s="314"/>
    </row>
    <row r="104" spans="1:28" s="127" customFormat="1" ht="17.5">
      <c r="A104" s="296"/>
      <c r="B104" s="14"/>
      <c r="C104" s="14"/>
      <c r="D104" s="14" t="s">
        <v>203</v>
      </c>
      <c r="E104" s="18" t="s">
        <v>27</v>
      </c>
      <c r="F104" s="190" t="s">
        <v>18</v>
      </c>
      <c r="G104" s="14"/>
      <c r="H104" s="12">
        <v>32.04</v>
      </c>
      <c r="I104" s="12">
        <v>0.79100000000000004</v>
      </c>
      <c r="J104" s="12">
        <f t="shared" si="50"/>
        <v>4.9984538051647309</v>
      </c>
      <c r="K104" s="14" t="s">
        <v>146</v>
      </c>
      <c r="L104" s="12">
        <f t="shared" si="51"/>
        <v>1617.8917510396318</v>
      </c>
      <c r="M104" s="12">
        <f t="shared" si="52"/>
        <v>1.6178917510396318</v>
      </c>
      <c r="N104" s="12">
        <f>L104/I104</f>
        <v>2045.3751593421387</v>
      </c>
      <c r="O104" s="12">
        <f t="shared" si="53"/>
        <v>50.49599722345917</v>
      </c>
      <c r="P104" s="12"/>
      <c r="Q104" s="12"/>
      <c r="R104" s="12"/>
      <c r="S104" s="12">
        <f>300</f>
        <v>300</v>
      </c>
      <c r="T104" s="14" t="s">
        <v>174</v>
      </c>
      <c r="U104" s="12">
        <f>S104/((I104*10000)/H104)</f>
        <v>1.2151706700379266</v>
      </c>
      <c r="V104" s="17" t="s">
        <v>175</v>
      </c>
      <c r="W104" s="55" t="s">
        <v>67</v>
      </c>
      <c r="X104" s="309"/>
      <c r="Y104" s="126">
        <f>U104*O104</f>
        <v>61.361254780264161</v>
      </c>
      <c r="Z104" s="317"/>
      <c r="AA104" s="314"/>
      <c r="AB104" s="314"/>
    </row>
    <row r="105" spans="1:28" s="127" customFormat="1" ht="17.5">
      <c r="A105" s="296"/>
      <c r="B105" s="14"/>
      <c r="C105" s="14"/>
      <c r="D105" s="37" t="s">
        <v>252</v>
      </c>
      <c r="E105" s="18" t="s">
        <v>141</v>
      </c>
      <c r="F105" s="195" t="s">
        <v>22</v>
      </c>
      <c r="G105" s="14"/>
      <c r="H105" s="12">
        <f>106.12</f>
        <v>106.12</v>
      </c>
      <c r="I105" s="12">
        <v>0.97</v>
      </c>
      <c r="J105" s="12">
        <f t="shared" si="50"/>
        <v>2.4984911821978373</v>
      </c>
      <c r="K105" s="176" t="s">
        <v>112</v>
      </c>
      <c r="L105" s="12">
        <f t="shared" si="51"/>
        <v>2678.5288773353327</v>
      </c>
      <c r="M105" s="12">
        <f t="shared" si="52"/>
        <v>2.6785288773353328</v>
      </c>
      <c r="N105" s="12">
        <f>L105/I105</f>
        <v>2761.3699766343639</v>
      </c>
      <c r="O105" s="12">
        <f t="shared" si="53"/>
        <v>25.240566126416628</v>
      </c>
      <c r="P105" s="12"/>
      <c r="Q105" s="12"/>
      <c r="R105" s="12"/>
      <c r="S105" s="12">
        <f>930</f>
        <v>930</v>
      </c>
      <c r="T105" s="14" t="s">
        <v>28</v>
      </c>
      <c r="U105" s="19">
        <f>S105/((I105*20000)/H105)</f>
        <v>5.0871958762886598</v>
      </c>
      <c r="V105" s="14" t="s">
        <v>176</v>
      </c>
      <c r="W105" s="55" t="s">
        <v>68</v>
      </c>
      <c r="X105" s="309"/>
      <c r="Y105" s="126">
        <f t="shared" ref="Y105" si="55">U105*O105</f>
        <v>128.40370391349791</v>
      </c>
      <c r="Z105" s="317"/>
      <c r="AA105" s="314"/>
      <c r="AB105" s="314"/>
    </row>
    <row r="106" spans="1:28" s="127" customFormat="1" ht="17.5">
      <c r="A106" s="296"/>
      <c r="B106" s="14"/>
      <c r="C106" s="14"/>
      <c r="D106" s="274" t="s">
        <v>261</v>
      </c>
      <c r="E106" s="275" t="s">
        <v>262</v>
      </c>
      <c r="F106" s="157" t="s">
        <v>41</v>
      </c>
      <c r="G106" s="14"/>
      <c r="H106" s="15">
        <v>190.22</v>
      </c>
      <c r="I106" s="172" t="s">
        <v>112</v>
      </c>
      <c r="J106" s="15">
        <f t="shared" si="50"/>
        <v>4.9824039986881966E-2</v>
      </c>
      <c r="K106" s="274" t="s">
        <v>144</v>
      </c>
      <c r="L106" s="15">
        <f t="shared" si="51"/>
        <v>95.745062569868722</v>
      </c>
      <c r="M106" s="15">
        <f t="shared" si="52"/>
        <v>9.5745062569868727E-2</v>
      </c>
      <c r="N106" s="172" t="s">
        <v>112</v>
      </c>
      <c r="O106" s="15">
        <f t="shared" si="53"/>
        <v>0.50333856886693684</v>
      </c>
      <c r="P106" s="15"/>
      <c r="Q106" s="15"/>
      <c r="R106" s="15"/>
      <c r="S106" s="15">
        <v>20</v>
      </c>
      <c r="T106" s="16" t="s">
        <v>215</v>
      </c>
      <c r="U106" s="15">
        <f xml:space="preserve"> S106/(1000/H106)</f>
        <v>3.8043999999999998</v>
      </c>
      <c r="V106" s="276" t="s">
        <v>112</v>
      </c>
      <c r="W106" s="277" t="s">
        <v>69</v>
      </c>
      <c r="X106" s="309"/>
      <c r="Y106" s="270">
        <f t="shared" ref="Y106" si="56">U106*O106</f>
        <v>1.9149012513973744</v>
      </c>
      <c r="Z106" s="317"/>
      <c r="AA106" s="314"/>
      <c r="AB106" s="314"/>
    </row>
    <row r="107" spans="1:28" s="127" customFormat="1" ht="17.5">
      <c r="A107" s="296"/>
      <c r="B107" s="14"/>
      <c r="C107"/>
      <c r="D107" s="14" t="s">
        <v>30</v>
      </c>
      <c r="E107" s="18" t="s">
        <v>31</v>
      </c>
      <c r="F107" s="195" t="s">
        <v>22</v>
      </c>
      <c r="G107" s="14"/>
      <c r="H107" s="12">
        <v>84.01</v>
      </c>
      <c r="I107" s="12">
        <v>2.2000000000000002</v>
      </c>
      <c r="J107" s="12">
        <f t="shared" si="50"/>
        <v>0.41655813973171596</v>
      </c>
      <c r="K107" s="176" t="s">
        <v>112</v>
      </c>
      <c r="L107" s="12">
        <f t="shared" si="51"/>
        <v>353.53130830461026</v>
      </c>
      <c r="M107" s="12">
        <f t="shared" si="52"/>
        <v>0.35353130830461027</v>
      </c>
      <c r="N107" s="12">
        <f>L107/I107</f>
        <v>160.6960492293683</v>
      </c>
      <c r="O107" s="12">
        <f t="shared" si="53"/>
        <v>4.2082050744507828</v>
      </c>
      <c r="P107" s="12"/>
      <c r="Q107" s="12"/>
      <c r="R107" s="12"/>
      <c r="S107" s="12">
        <v>447</v>
      </c>
      <c r="T107" s="14" t="s">
        <v>32</v>
      </c>
      <c r="U107" s="12">
        <f>S107/(50000/H107)</f>
        <v>0.75104939999999998</v>
      </c>
      <c r="V107" s="17" t="s">
        <v>33</v>
      </c>
      <c r="W107" s="55" t="s">
        <v>70</v>
      </c>
      <c r="X107" s="309"/>
      <c r="Y107" s="126">
        <f>U107*O107</f>
        <v>3.1605698962432158</v>
      </c>
      <c r="Z107" s="317"/>
      <c r="AA107" s="314"/>
      <c r="AB107" s="314"/>
    </row>
    <row r="108" spans="1:28" s="127" customFormat="1" ht="17.5">
      <c r="A108" s="296"/>
      <c r="B108" s="14"/>
      <c r="C108" s="14"/>
      <c r="D108" s="14" t="s">
        <v>202</v>
      </c>
      <c r="E108" s="18" t="s">
        <v>17</v>
      </c>
      <c r="F108" s="190" t="s">
        <v>18</v>
      </c>
      <c r="G108" s="14"/>
      <c r="H108" s="12">
        <v>92.14</v>
      </c>
      <c r="I108" s="12">
        <v>0.86499999999999999</v>
      </c>
      <c r="J108" s="12">
        <f t="shared" si="50"/>
        <v>1.695576776749105</v>
      </c>
      <c r="K108" s="179" t="s">
        <v>112</v>
      </c>
      <c r="L108" s="12">
        <f t="shared" si="51"/>
        <v>1578.2904843252661</v>
      </c>
      <c r="M108" s="12">
        <f t="shared" si="52"/>
        <v>1.5782904843252661</v>
      </c>
      <c r="N108" s="12">
        <f>L108/I108</f>
        <v>1824.6132766766082</v>
      </c>
      <c r="O108" s="12">
        <f t="shared" si="53"/>
        <v>17.129265078416172</v>
      </c>
      <c r="P108" s="12"/>
      <c r="Q108" s="12"/>
      <c r="R108" s="12"/>
      <c r="S108" s="19">
        <f>1800</f>
        <v>1800</v>
      </c>
      <c r="T108" s="17" t="s">
        <v>213</v>
      </c>
      <c r="U108" s="12">
        <f>S108/((I108*200000)/H108)</f>
        <v>0.95868208092485552</v>
      </c>
      <c r="V108" s="191" t="s">
        <v>212</v>
      </c>
      <c r="W108" s="55" t="s">
        <v>63</v>
      </c>
      <c r="X108" s="309"/>
      <c r="Y108" s="126">
        <f t="shared" ref="Y108" si="57">U108*O108</f>
        <v>16.421519490089473</v>
      </c>
      <c r="Z108" s="317"/>
      <c r="AA108" s="314"/>
      <c r="AB108" s="314"/>
    </row>
    <row r="109" spans="1:28" ht="17.5">
      <c r="A109" s="316"/>
      <c r="B109" s="65"/>
      <c r="C109" s="39">
        <v>6</v>
      </c>
      <c r="D109" s="65"/>
      <c r="E109" s="69" t="s">
        <v>142</v>
      </c>
      <c r="F109" s="70" t="s">
        <v>34</v>
      </c>
      <c r="G109" s="168" t="s">
        <v>71</v>
      </c>
      <c r="H109" s="66">
        <v>326.39</v>
      </c>
      <c r="I109" s="66"/>
      <c r="J109" s="66"/>
      <c r="K109" s="140">
        <v>0.58899999999999997</v>
      </c>
      <c r="L109" s="66"/>
      <c r="M109" s="66"/>
      <c r="N109" s="66"/>
      <c r="O109" s="66"/>
      <c r="P109" s="225">
        <f>R109*H109</f>
        <v>2665.5351854865044</v>
      </c>
      <c r="Q109" s="225">
        <f>P109/1000</f>
        <v>2.6655351854865041</v>
      </c>
      <c r="R109" s="225">
        <f>O111</f>
        <v>8.1667182986197631</v>
      </c>
      <c r="S109" s="66" t="s">
        <v>112</v>
      </c>
      <c r="T109" s="65" t="s">
        <v>112</v>
      </c>
      <c r="U109" s="66" t="s">
        <v>112</v>
      </c>
      <c r="V109" s="65" t="s">
        <v>112</v>
      </c>
      <c r="W109" s="67" t="s">
        <v>112</v>
      </c>
      <c r="X109" s="310"/>
      <c r="Y109" s="68"/>
      <c r="Z109" s="317"/>
      <c r="AA109" s="319"/>
      <c r="AB109" s="319"/>
    </row>
    <row r="110" spans="1:28">
      <c r="A110" s="320" t="s">
        <v>270</v>
      </c>
      <c r="B110" s="31"/>
      <c r="C110" s="31"/>
      <c r="D110" s="31"/>
      <c r="E110" s="31"/>
      <c r="F110" s="31"/>
      <c r="G110" s="9"/>
      <c r="H110" s="32"/>
      <c r="I110" s="32"/>
      <c r="J110" s="33"/>
      <c r="K110" s="32"/>
      <c r="L110" s="32"/>
      <c r="M110" s="32"/>
      <c r="N110" s="32"/>
      <c r="O110" s="32"/>
      <c r="P110" s="32"/>
      <c r="Q110" s="32"/>
      <c r="R110" s="32"/>
      <c r="S110" s="32"/>
      <c r="T110" s="31"/>
      <c r="U110" s="33"/>
      <c r="V110" s="31"/>
      <c r="W110" s="57"/>
      <c r="X110" s="308">
        <f>99%</f>
        <v>0.99</v>
      </c>
      <c r="Y110" s="169"/>
      <c r="Z110" s="312" t="s">
        <v>163</v>
      </c>
      <c r="AA110" s="312">
        <v>1</v>
      </c>
      <c r="AB110" s="322">
        <v>15.5</v>
      </c>
    </row>
    <row r="111" spans="1:28" ht="17.5">
      <c r="A111" s="321"/>
      <c r="B111" s="13">
        <v>6</v>
      </c>
      <c r="C111" s="41"/>
      <c r="D111" s="70" t="s">
        <v>71</v>
      </c>
      <c r="E111" s="69" t="s">
        <v>142</v>
      </c>
      <c r="F111" s="70" t="s">
        <v>34</v>
      </c>
      <c r="G111" s="41"/>
      <c r="H111" s="19">
        <v>326.39</v>
      </c>
      <c r="I111" s="178" t="s">
        <v>112</v>
      </c>
      <c r="J111" s="19">
        <f>O111/O$111</f>
        <v>1</v>
      </c>
      <c r="K111" s="140">
        <v>0.58899999999999997</v>
      </c>
      <c r="L111" s="72">
        <f t="shared" ref="L111:L117" si="58">O111*H111</f>
        <v>2665.5351854865044</v>
      </c>
      <c r="M111" s="72">
        <f t="shared" ref="M111:M117" si="59">L111/1000</f>
        <v>2.6655351854865041</v>
      </c>
      <c r="N111" s="178" t="s">
        <v>112</v>
      </c>
      <c r="O111" s="72">
        <f>R118/X110</f>
        <v>8.1667182986197631</v>
      </c>
      <c r="P111" s="71"/>
      <c r="Q111" s="71"/>
      <c r="R111" s="71"/>
      <c r="S111" s="12" t="s">
        <v>112</v>
      </c>
      <c r="T111" s="14" t="s">
        <v>112</v>
      </c>
      <c r="U111" s="12" t="s">
        <v>112</v>
      </c>
      <c r="V111" s="17" t="s">
        <v>112</v>
      </c>
      <c r="W111" s="61" t="s">
        <v>112</v>
      </c>
      <c r="X111" s="309"/>
      <c r="Y111" s="68"/>
      <c r="Z111" s="314"/>
      <c r="AA111" s="314"/>
      <c r="AB111" s="323"/>
    </row>
    <row r="112" spans="1:28" s="127" customFormat="1" ht="17.5">
      <c r="A112" s="321"/>
      <c r="B112" s="14"/>
      <c r="C112" s="14"/>
      <c r="D112" s="14" t="s">
        <v>202</v>
      </c>
      <c r="E112" s="17" t="s">
        <v>17</v>
      </c>
      <c r="F112" s="190" t="s">
        <v>18</v>
      </c>
      <c r="G112" s="14"/>
      <c r="H112" s="12">
        <v>92.14</v>
      </c>
      <c r="I112" s="12">
        <v>0.86499999999999999</v>
      </c>
      <c r="J112" s="12">
        <f>O112/O$111</f>
        <v>8.167916135084841</v>
      </c>
      <c r="K112" s="175" t="s">
        <v>112</v>
      </c>
      <c r="L112" s="12">
        <f t="shared" si="58"/>
        <v>6146.2051647256649</v>
      </c>
      <c r="M112" s="12">
        <f t="shared" si="59"/>
        <v>6.1462051647256652</v>
      </c>
      <c r="N112" s="12">
        <f t="shared" ref="N112:N117" si="60">L112/I112</f>
        <v>7105.4394967926764</v>
      </c>
      <c r="O112" s="12">
        <f t="shared" ref="O112:O117" si="61">O$111*J68</f>
        <v>66.705070161988985</v>
      </c>
      <c r="P112" s="12"/>
      <c r="Q112" s="12"/>
      <c r="R112" s="12"/>
      <c r="S112" s="19">
        <f>1800</f>
        <v>1800</v>
      </c>
      <c r="T112" s="17" t="s">
        <v>213</v>
      </c>
      <c r="U112" s="12">
        <f>S112/((I112*200000)/H112)</f>
        <v>0.95868208092485552</v>
      </c>
      <c r="V112" s="191" t="s">
        <v>212</v>
      </c>
      <c r="W112" s="81" t="s">
        <v>63</v>
      </c>
      <c r="X112" s="309"/>
      <c r="Y112" s="126">
        <f t="shared" ref="Y112:Y114" si="62">U112*O112</f>
        <v>63.948955471134092</v>
      </c>
      <c r="Z112" s="314"/>
      <c r="AA112" s="314"/>
      <c r="AB112" s="323"/>
    </row>
    <row r="113" spans="1:28" s="127" customFormat="1" ht="17.5">
      <c r="A113" s="321"/>
      <c r="B113" s="14"/>
      <c r="C113" s="14"/>
      <c r="D113" s="14" t="s">
        <v>203</v>
      </c>
      <c r="E113" s="17" t="s">
        <v>27</v>
      </c>
      <c r="F113" s="190" t="s">
        <v>18</v>
      </c>
      <c r="G113" s="14"/>
      <c r="H113" s="12">
        <v>32.04</v>
      </c>
      <c r="I113" s="12">
        <v>0.79100000000000004</v>
      </c>
      <c r="J113" s="12">
        <f t="shared" ref="J113:J114" si="63">O113/O$111</f>
        <v>2.1234256316524633</v>
      </c>
      <c r="K113" s="179" t="s">
        <v>112</v>
      </c>
      <c r="L113" s="12">
        <f t="shared" si="58"/>
        <v>555.61906353525183</v>
      </c>
      <c r="M113" s="12">
        <f t="shared" si="59"/>
        <v>0.55561906353525181</v>
      </c>
      <c r="N113" s="12">
        <f t="shared" si="60"/>
        <v>702.42612330626014</v>
      </c>
      <c r="O113" s="12">
        <f t="shared" si="61"/>
        <v>17.341418961774401</v>
      </c>
      <c r="P113" s="12"/>
      <c r="Q113" s="12"/>
      <c r="R113" s="12"/>
      <c r="S113" s="12">
        <f>300</f>
        <v>300</v>
      </c>
      <c r="T113" s="14" t="s">
        <v>174</v>
      </c>
      <c r="U113" s="12">
        <f>S113/((I113*10000)/H113)</f>
        <v>1.2151706700379266</v>
      </c>
      <c r="V113" s="17" t="s">
        <v>175</v>
      </c>
      <c r="W113" s="81" t="s">
        <v>67</v>
      </c>
      <c r="X113" s="309"/>
      <c r="Y113" s="126">
        <f t="shared" si="62"/>
        <v>21.072783699187806</v>
      </c>
      <c r="Z113" s="314"/>
      <c r="AA113" s="314"/>
      <c r="AB113" s="323"/>
    </row>
    <row r="114" spans="1:28" s="127" customFormat="1" ht="17.5">
      <c r="A114" s="321"/>
      <c r="B114" s="14"/>
      <c r="C114" s="14"/>
      <c r="D114" s="271" t="s">
        <v>143</v>
      </c>
      <c r="E114" s="17" t="s">
        <v>204</v>
      </c>
      <c r="F114" s="195" t="s">
        <v>22</v>
      </c>
      <c r="G114" s="14"/>
      <c r="H114" s="12">
        <v>37.83</v>
      </c>
      <c r="I114" s="12">
        <v>1.07</v>
      </c>
      <c r="J114" s="12">
        <f t="shared" si="63"/>
        <v>1.5012255007512116</v>
      </c>
      <c r="K114" s="176" t="s">
        <v>112</v>
      </c>
      <c r="L114" s="12">
        <f t="shared" si="58"/>
        <v>463.7990445784547</v>
      </c>
      <c r="M114" s="12">
        <f t="shared" si="59"/>
        <v>0.46379904457845472</v>
      </c>
      <c r="N114" s="12">
        <f t="shared" si="60"/>
        <v>433.45705100790155</v>
      </c>
      <c r="O114" s="12">
        <f t="shared" si="61"/>
        <v>12.260085767339538</v>
      </c>
      <c r="P114" s="12"/>
      <c r="Q114" s="12"/>
      <c r="R114" s="12"/>
      <c r="S114" s="12">
        <f>4970</f>
        <v>4970</v>
      </c>
      <c r="T114" s="14" t="s">
        <v>214</v>
      </c>
      <c r="U114" s="12">
        <f>S114/(40000/H114)</f>
        <v>4.7003774999999992</v>
      </c>
      <c r="V114" s="191">
        <v>8063739040</v>
      </c>
      <c r="W114" s="81" t="s">
        <v>72</v>
      </c>
      <c r="X114" s="309"/>
      <c r="Y114" s="126">
        <f t="shared" si="62"/>
        <v>57.627031288872992</v>
      </c>
      <c r="Z114" s="314"/>
      <c r="AA114" s="314"/>
      <c r="AB114" s="323"/>
    </row>
    <row r="115" spans="1:28" s="127" customFormat="1">
      <c r="A115" s="321"/>
      <c r="B115" s="14"/>
      <c r="C115" s="14"/>
      <c r="D115" s="14" t="s">
        <v>178</v>
      </c>
      <c r="E115" s="14" t="s">
        <v>26</v>
      </c>
      <c r="F115" s="195" t="s">
        <v>22</v>
      </c>
      <c r="G115" s="14"/>
      <c r="H115" s="12">
        <v>58.44</v>
      </c>
      <c r="I115" s="12">
        <v>2.16</v>
      </c>
      <c r="J115" s="12">
        <f>O115/O$111</f>
        <v>0.55437043478166392</v>
      </c>
      <c r="K115" s="14" t="s">
        <v>144</v>
      </c>
      <c r="L115" s="12">
        <f t="shared" si="58"/>
        <v>264.58050644535797</v>
      </c>
      <c r="M115" s="12">
        <f t="shared" si="59"/>
        <v>0.26458050644535797</v>
      </c>
      <c r="N115" s="12">
        <f t="shared" si="60"/>
        <v>122.49097520618423</v>
      </c>
      <c r="O115" s="12">
        <f t="shared" si="61"/>
        <v>4.5273871739452085</v>
      </c>
      <c r="P115" s="12"/>
      <c r="Q115" s="12"/>
      <c r="R115" s="12"/>
      <c r="S115" s="183">
        <v>528</v>
      </c>
      <c r="T115" s="191" t="s">
        <v>32</v>
      </c>
      <c r="U115" s="12">
        <f>S115/(50000/H115)</f>
        <v>0.61712639999999996</v>
      </c>
      <c r="V115" s="17" t="s">
        <v>173</v>
      </c>
      <c r="W115" s="81" t="s">
        <v>66</v>
      </c>
      <c r="X115" s="309"/>
      <c r="Y115" s="126">
        <f t="shared" ref="Y115:Y116" si="64">U115*O115</f>
        <v>2.7939701480629799</v>
      </c>
      <c r="Z115" s="314"/>
      <c r="AA115" s="314"/>
      <c r="AB115" s="323"/>
    </row>
    <row r="116" spans="1:28" ht="17.5">
      <c r="A116" s="321"/>
      <c r="B116" s="14"/>
      <c r="C116" s="14"/>
      <c r="D116" s="21" t="s">
        <v>19</v>
      </c>
      <c r="E116" s="21" t="s">
        <v>20</v>
      </c>
      <c r="F116" s="156" t="s">
        <v>19</v>
      </c>
      <c r="G116" s="14"/>
      <c r="H116" s="22">
        <v>18.02</v>
      </c>
      <c r="I116" s="22">
        <v>1</v>
      </c>
      <c r="J116" s="22">
        <f>O116/O$111</f>
        <v>43.148601387756408</v>
      </c>
      <c r="K116" s="179" t="s">
        <v>112</v>
      </c>
      <c r="L116" s="22">
        <f t="shared" si="58"/>
        <v>6349.9321546885913</v>
      </c>
      <c r="M116" s="12">
        <f t="shared" si="59"/>
        <v>6.3499321546885916</v>
      </c>
      <c r="N116" s="22">
        <f t="shared" si="60"/>
        <v>6349.9321546885913</v>
      </c>
      <c r="O116" s="22">
        <f t="shared" si="61"/>
        <v>352.38247251324037</v>
      </c>
      <c r="P116" s="12"/>
      <c r="Q116" s="12"/>
      <c r="R116" s="12"/>
      <c r="S116" s="22">
        <f>285</f>
        <v>285</v>
      </c>
      <c r="T116" s="21" t="s">
        <v>108</v>
      </c>
      <c r="U116" s="22">
        <f>S116/((I116*16000)/H116)</f>
        <v>0.32098125</v>
      </c>
      <c r="V116" s="21" t="s">
        <v>172</v>
      </c>
      <c r="W116" s="194" t="s">
        <v>61</v>
      </c>
      <c r="X116" s="309"/>
      <c r="Y116" s="126">
        <f t="shared" si="64"/>
        <v>113.10816650539053</v>
      </c>
      <c r="Z116" s="314"/>
      <c r="AA116" s="314"/>
      <c r="AB116" s="323"/>
    </row>
    <row r="117" spans="1:28" s="127" customFormat="1" ht="17.5">
      <c r="A117" s="321"/>
      <c r="B117" s="14"/>
      <c r="C117" s="14"/>
      <c r="D117" s="14" t="s">
        <v>35</v>
      </c>
      <c r="E117" s="17" t="s">
        <v>36</v>
      </c>
      <c r="F117" s="190" t="s">
        <v>18</v>
      </c>
      <c r="G117" s="14"/>
      <c r="H117" s="12">
        <v>60.05</v>
      </c>
      <c r="I117" s="12">
        <v>1.0489999999999999</v>
      </c>
      <c r="J117" s="12">
        <f>O117/O$111</f>
        <v>1.348768035330576</v>
      </c>
      <c r="K117" s="179" t="s">
        <v>112</v>
      </c>
      <c r="L117" s="12">
        <f t="shared" si="58"/>
        <v>661.45126611339481</v>
      </c>
      <c r="M117" s="12">
        <f t="shared" si="59"/>
        <v>0.66145126611339478</v>
      </c>
      <c r="N117" s="12">
        <f t="shared" si="60"/>
        <v>630.5541145027596</v>
      </c>
      <c r="O117" s="12">
        <f t="shared" si="61"/>
        <v>11.015008594727641</v>
      </c>
      <c r="P117" s="12"/>
      <c r="Q117" s="12"/>
      <c r="R117" s="12"/>
      <c r="S117" s="12">
        <f>2020</f>
        <v>2020</v>
      </c>
      <c r="T117" s="14" t="s">
        <v>217</v>
      </c>
      <c r="U117" s="12">
        <f>S117/(211000/H117)</f>
        <v>0.57488625592417053</v>
      </c>
      <c r="V117" s="191" t="s">
        <v>218</v>
      </c>
      <c r="W117" s="81" t="s">
        <v>50</v>
      </c>
      <c r="X117" s="309"/>
      <c r="Y117" s="126">
        <f>U117*O117</f>
        <v>6.3323770499955332</v>
      </c>
      <c r="Z117" s="314"/>
      <c r="AA117" s="314"/>
      <c r="AB117" s="323"/>
    </row>
    <row r="118" spans="1:28" ht="17.5">
      <c r="A118" s="321"/>
      <c r="B118" s="65"/>
      <c r="C118" s="39">
        <v>7</v>
      </c>
      <c r="D118" s="65"/>
      <c r="E118" s="74" t="s">
        <v>73</v>
      </c>
      <c r="F118" s="75" t="s">
        <v>34</v>
      </c>
      <c r="G118" s="180" t="s">
        <v>37</v>
      </c>
      <c r="H118" s="66">
        <v>284.35000000000002</v>
      </c>
      <c r="I118" s="66"/>
      <c r="J118" s="66"/>
      <c r="K118" s="139">
        <v>0.224</v>
      </c>
      <c r="L118" s="66"/>
      <c r="M118" s="66"/>
      <c r="N118" s="66"/>
      <c r="O118" s="66"/>
      <c r="P118" s="225">
        <f>R118*H118</f>
        <v>2298.9842847304044</v>
      </c>
      <c r="Q118" s="225">
        <f>P118/1000</f>
        <v>2.2989842847304045</v>
      </c>
      <c r="R118" s="225">
        <f>O120</f>
        <v>8.0850511156335649</v>
      </c>
      <c r="S118" s="66" t="s">
        <v>112</v>
      </c>
      <c r="T118" s="65" t="s">
        <v>112</v>
      </c>
      <c r="U118" s="66" t="s">
        <v>112</v>
      </c>
      <c r="V118" s="65" t="s">
        <v>112</v>
      </c>
      <c r="W118" s="67" t="s">
        <v>112</v>
      </c>
      <c r="X118" s="310"/>
      <c r="Y118" s="138"/>
      <c r="Z118" s="319"/>
      <c r="AA118" s="319"/>
      <c r="AB118" s="324"/>
    </row>
    <row r="119" spans="1:28">
      <c r="A119" s="332" t="s">
        <v>271</v>
      </c>
      <c r="B119" s="31"/>
      <c r="C119" s="31"/>
      <c r="D119" s="31"/>
      <c r="E119" s="31"/>
      <c r="F119" s="31"/>
      <c r="G119" s="9"/>
      <c r="H119" s="32"/>
      <c r="I119" s="32"/>
      <c r="J119" s="33"/>
      <c r="K119" s="32"/>
      <c r="L119" s="32"/>
      <c r="M119" s="32"/>
      <c r="N119" s="32"/>
      <c r="O119" s="32"/>
      <c r="P119" s="32"/>
      <c r="Q119" s="32"/>
      <c r="R119" s="32"/>
      <c r="S119" s="32"/>
      <c r="T119" s="31"/>
      <c r="U119" s="32"/>
      <c r="V119" s="31"/>
      <c r="W119" s="57"/>
      <c r="X119" s="308">
        <v>0.99</v>
      </c>
      <c r="Y119" s="170"/>
      <c r="Z119" s="317">
        <v>25</v>
      </c>
      <c r="AA119" s="312" t="s">
        <v>139</v>
      </c>
      <c r="AB119" s="312">
        <v>6</v>
      </c>
    </row>
    <row r="120" spans="1:28" ht="17.5">
      <c r="A120" s="333"/>
      <c r="B120" s="13">
        <v>7</v>
      </c>
      <c r="C120" s="14"/>
      <c r="D120" s="73" t="s">
        <v>37</v>
      </c>
      <c r="E120" s="74" t="s">
        <v>73</v>
      </c>
      <c r="F120" s="75" t="s">
        <v>34</v>
      </c>
      <c r="G120" s="14"/>
      <c r="H120" s="12">
        <v>284.35000000000002</v>
      </c>
      <c r="I120" s="176" t="s">
        <v>112</v>
      </c>
      <c r="J120" s="12">
        <f>O120/O$120</f>
        <v>1</v>
      </c>
      <c r="K120" s="139">
        <v>0.224</v>
      </c>
      <c r="L120" s="76">
        <f>O120*H120</f>
        <v>2298.9842847304044</v>
      </c>
      <c r="M120" s="76">
        <f>L120/1000</f>
        <v>2.2989842847304045</v>
      </c>
      <c r="N120" s="176" t="s">
        <v>112</v>
      </c>
      <c r="O120" s="76">
        <f>R127/X119</f>
        <v>8.0850511156335649</v>
      </c>
      <c r="P120" s="12"/>
      <c r="Q120" s="12"/>
      <c r="R120" s="12"/>
      <c r="S120" s="12"/>
      <c r="T120" s="14"/>
      <c r="U120" s="12"/>
      <c r="V120" s="14"/>
      <c r="W120" s="56"/>
      <c r="X120" s="309"/>
      <c r="Y120" s="170"/>
      <c r="Z120" s="317"/>
      <c r="AA120" s="314"/>
      <c r="AB120" s="314"/>
    </row>
    <row r="121" spans="1:28" s="127" customFormat="1" ht="17.5">
      <c r="A121" s="333"/>
      <c r="B121" s="14"/>
      <c r="C121" s="14"/>
      <c r="D121" s="14" t="s">
        <v>202</v>
      </c>
      <c r="E121" s="17" t="s">
        <v>17</v>
      </c>
      <c r="F121" s="190" t="s">
        <v>18</v>
      </c>
      <c r="G121" s="14"/>
      <c r="H121" s="12">
        <v>92.14</v>
      </c>
      <c r="I121" s="12">
        <v>0.86499999999999999</v>
      </c>
      <c r="J121" s="12">
        <f t="shared" ref="J121:J126" si="65">O121/O$120</f>
        <v>0.49932281917517179</v>
      </c>
      <c r="K121" s="175" t="s">
        <v>112</v>
      </c>
      <c r="L121" s="12">
        <f t="shared" ref="L121:L126" si="66">O121*H121</f>
        <v>371.97383456575653</v>
      </c>
      <c r="M121" s="12">
        <f>L121/1000</f>
        <v>0.37197383456575656</v>
      </c>
      <c r="N121" s="12">
        <f t="shared" ref="N121:N123" si="67">L121/I121</f>
        <v>430.02755441127925</v>
      </c>
      <c r="O121" s="12">
        <f t="shared" ref="O121:O126" si="68">O$120*J77</f>
        <v>4.0370505162335197</v>
      </c>
      <c r="P121" s="12"/>
      <c r="Q121" s="12"/>
      <c r="R121" s="12"/>
      <c r="S121" s="19">
        <f>1800</f>
        <v>1800</v>
      </c>
      <c r="T121" s="17" t="s">
        <v>213</v>
      </c>
      <c r="U121" s="12">
        <f>S121/((I121*200000)/H121)</f>
        <v>0.95868208092485552</v>
      </c>
      <c r="V121" s="191" t="s">
        <v>212</v>
      </c>
      <c r="W121" s="55" t="s">
        <v>63</v>
      </c>
      <c r="X121" s="309"/>
      <c r="Y121" s="126">
        <f t="shared" ref="Y121:Y125" si="69">U121*O121</f>
        <v>3.8702479897015127</v>
      </c>
      <c r="Z121" s="317"/>
      <c r="AA121" s="314"/>
      <c r="AB121" s="314"/>
    </row>
    <row r="122" spans="1:28" s="127" customFormat="1" ht="17.5">
      <c r="A122" s="333"/>
      <c r="B122" s="14"/>
      <c r="C122" s="14"/>
      <c r="D122" s="14" t="s">
        <v>38</v>
      </c>
      <c r="E122" s="17" t="s">
        <v>147</v>
      </c>
      <c r="F122" s="190" t="s">
        <v>18</v>
      </c>
      <c r="G122" s="14"/>
      <c r="H122" s="12">
        <v>60.1</v>
      </c>
      <c r="I122" s="12">
        <v>0.78500000000000003</v>
      </c>
      <c r="J122" s="12">
        <f t="shared" si="65"/>
        <v>10.679286106524245</v>
      </c>
      <c r="K122" s="175" t="s">
        <v>112</v>
      </c>
      <c r="L122" s="12">
        <f t="shared" si="66"/>
        <v>5189.1887003884049</v>
      </c>
      <c r="M122" s="12">
        <f t="shared" ref="M122:M124" si="70">L122/1000</f>
        <v>5.1891887003884047</v>
      </c>
      <c r="N122" s="12">
        <f t="shared" si="67"/>
        <v>6610.4314654629361</v>
      </c>
      <c r="O122" s="12">
        <f t="shared" si="68"/>
        <v>86.342574049723879</v>
      </c>
      <c r="P122" s="12"/>
      <c r="Q122" s="12"/>
      <c r="R122" s="12"/>
      <c r="S122" s="12">
        <f>391</f>
        <v>391</v>
      </c>
      <c r="T122" s="14" t="s">
        <v>53</v>
      </c>
      <c r="U122" s="12">
        <f>S122/((I122*18000)/H122)</f>
        <v>1.6630644019815994</v>
      </c>
      <c r="V122" s="191" t="s">
        <v>211</v>
      </c>
      <c r="W122" s="55" t="s">
        <v>74</v>
      </c>
      <c r="X122" s="309"/>
      <c r="Y122" s="126">
        <f t="shared" si="69"/>
        <v>143.593261277556</v>
      </c>
      <c r="Z122" s="317"/>
      <c r="AA122" s="314"/>
      <c r="AB122" s="314"/>
    </row>
    <row r="123" spans="1:28" s="127" customFormat="1" ht="17.5">
      <c r="A123" s="333"/>
      <c r="B123" s="14"/>
      <c r="C123" s="14"/>
      <c r="D123" s="14" t="s">
        <v>148</v>
      </c>
      <c r="E123" s="17" t="s">
        <v>39</v>
      </c>
      <c r="F123" s="195" t="s">
        <v>22</v>
      </c>
      <c r="G123" s="14"/>
      <c r="H123" s="12">
        <v>98.07</v>
      </c>
      <c r="I123" s="12">
        <v>1.84</v>
      </c>
      <c r="J123" s="12">
        <f t="shared" si="65"/>
        <v>0.18416270521418887</v>
      </c>
      <c r="K123" s="176" t="s">
        <v>112</v>
      </c>
      <c r="L123" s="12">
        <f t="shared" si="66"/>
        <v>146.02278629647464</v>
      </c>
      <c r="M123" s="12">
        <f t="shared" si="70"/>
        <v>0.14602278629647464</v>
      </c>
      <c r="N123" s="12">
        <f t="shared" si="67"/>
        <v>79.360209943736209</v>
      </c>
      <c r="O123" s="12">
        <f t="shared" si="68"/>
        <v>1.488964885250073</v>
      </c>
      <c r="P123" s="12"/>
      <c r="Q123" s="12"/>
      <c r="R123" s="12"/>
      <c r="S123" s="12">
        <f>671</f>
        <v>671</v>
      </c>
      <c r="T123" s="14" t="s">
        <v>181</v>
      </c>
      <c r="U123" s="12">
        <f>S123/((I123*56000)/H123)</f>
        <v>0.63863519021739124</v>
      </c>
      <c r="V123" s="14" t="s">
        <v>182</v>
      </c>
      <c r="W123" s="55" t="s">
        <v>75</v>
      </c>
      <c r="X123" s="309"/>
      <c r="Y123" s="126">
        <f t="shared" si="69"/>
        <v>0.95090537271869646</v>
      </c>
      <c r="Z123" s="317"/>
      <c r="AA123" s="314"/>
      <c r="AB123" s="314"/>
    </row>
    <row r="124" spans="1:28">
      <c r="A124" s="333"/>
      <c r="B124" s="16"/>
      <c r="C124" s="16"/>
      <c r="D124" s="16" t="s">
        <v>149</v>
      </c>
      <c r="E124" s="45" t="s">
        <v>40</v>
      </c>
      <c r="F124" s="157" t="s">
        <v>41</v>
      </c>
      <c r="G124" s="16"/>
      <c r="H124" s="15">
        <v>106.42</v>
      </c>
      <c r="I124" s="172" t="s">
        <v>112</v>
      </c>
      <c r="J124" s="15">
        <f t="shared" si="65"/>
        <v>6.7170540995792921E-2</v>
      </c>
      <c r="K124" s="15" t="s">
        <v>42</v>
      </c>
      <c r="L124" s="15">
        <f t="shared" si="66"/>
        <v>57.794281734183649</v>
      </c>
      <c r="M124" s="15">
        <f t="shared" si="70"/>
        <v>5.7794281734183647E-2</v>
      </c>
      <c r="N124" s="172" t="s">
        <v>112</v>
      </c>
      <c r="O124" s="15">
        <f t="shared" si="68"/>
        <v>0.54307725741574564</v>
      </c>
      <c r="P124" s="15"/>
      <c r="Q124" s="15"/>
      <c r="R124" s="15"/>
      <c r="S124" s="15">
        <v>2</v>
      </c>
      <c r="T124" s="16" t="s">
        <v>209</v>
      </c>
      <c r="U124" s="15">
        <f>S124/(2/H124)</f>
        <v>106.42</v>
      </c>
      <c r="V124" s="141" t="s">
        <v>112</v>
      </c>
      <c r="W124" s="196" t="s">
        <v>183</v>
      </c>
      <c r="X124" s="309"/>
      <c r="Y124" s="51">
        <f t="shared" si="69"/>
        <v>57.794281734183649</v>
      </c>
      <c r="Z124" s="317"/>
      <c r="AA124" s="314"/>
      <c r="AB124" s="314"/>
    </row>
    <row r="125" spans="1:28" s="127" customFormat="1" ht="17.5">
      <c r="A125" s="333"/>
      <c r="B125" s="17"/>
      <c r="C125" s="17"/>
      <c r="D125" s="17" t="s">
        <v>43</v>
      </c>
      <c r="E125" s="17" t="s">
        <v>76</v>
      </c>
      <c r="F125" s="195" t="s">
        <v>22</v>
      </c>
      <c r="G125" s="17"/>
      <c r="H125" s="19">
        <f>1.008*2</f>
        <v>2.016</v>
      </c>
      <c r="I125" s="19">
        <v>4.0450000000000002E-4</v>
      </c>
      <c r="J125" s="12">
        <f t="shared" si="65"/>
        <v>0.29045204898232529</v>
      </c>
      <c r="K125" s="19" t="s">
        <v>145</v>
      </c>
      <c r="L125" s="19">
        <f t="shared" si="66"/>
        <v>4.7342124399278092</v>
      </c>
      <c r="M125" s="12">
        <f>L125/1000</f>
        <v>4.7342124399278093E-3</v>
      </c>
      <c r="N125" s="19">
        <f>L125/I125</f>
        <v>11703.862645062569</v>
      </c>
      <c r="O125" s="12">
        <f t="shared" si="68"/>
        <v>2.3483196626626039</v>
      </c>
      <c r="P125" s="19"/>
      <c r="Q125" s="19"/>
      <c r="R125" s="19"/>
      <c r="S125" s="19">
        <f>243</f>
        <v>243</v>
      </c>
      <c r="T125" s="17" t="s">
        <v>181</v>
      </c>
      <c r="U125" s="19">
        <f>S125/((I125*56000)/H125)</f>
        <v>21.626699629171817</v>
      </c>
      <c r="V125" s="17" t="s">
        <v>184</v>
      </c>
      <c r="W125" s="55" t="s">
        <v>77</v>
      </c>
      <c r="X125" s="309"/>
      <c r="Y125" s="132">
        <f t="shared" si="69"/>
        <v>50.786403977682227</v>
      </c>
      <c r="Z125" s="317"/>
      <c r="AA125" s="314"/>
      <c r="AB125" s="314"/>
    </row>
    <row r="126" spans="1:28" s="127" customFormat="1" ht="17.5">
      <c r="A126" s="333"/>
      <c r="B126" s="14"/>
      <c r="C126" s="14"/>
      <c r="D126" s="24" t="s">
        <v>179</v>
      </c>
      <c r="E126" s="17" t="s">
        <v>44</v>
      </c>
      <c r="F126" s="195" t="s">
        <v>22</v>
      </c>
      <c r="G126" s="14"/>
      <c r="H126" s="12">
        <v>193.33</v>
      </c>
      <c r="I126" s="176">
        <v>0.94499999999999995</v>
      </c>
      <c r="J126" s="12">
        <f t="shared" si="65"/>
        <v>0.39924642725115944</v>
      </c>
      <c r="K126" s="197" t="s">
        <v>186</v>
      </c>
      <c r="L126" s="12">
        <f t="shared" si="66"/>
        <v>624.05527617230223</v>
      </c>
      <c r="M126" s="12">
        <f t="shared" ref="M126" si="71">L126/1000</f>
        <v>0.62405527617230228</v>
      </c>
      <c r="N126" s="176">
        <f>L126/I126</f>
        <v>660.37595362148386</v>
      </c>
      <c r="O126" s="12">
        <f t="shared" si="68"/>
        <v>3.2279277720597017</v>
      </c>
      <c r="P126" s="12"/>
      <c r="Q126" s="12"/>
      <c r="R126" s="12"/>
      <c r="S126" s="12">
        <f>379</f>
        <v>379</v>
      </c>
      <c r="T126" s="14" t="s">
        <v>53</v>
      </c>
      <c r="U126" s="19">
        <f>S126/((I126*18000)/H126)</f>
        <v>4.3075878894767783</v>
      </c>
      <c r="V126" s="14" t="s">
        <v>185</v>
      </c>
      <c r="W126" s="55" t="s">
        <v>78</v>
      </c>
      <c r="X126" s="309"/>
      <c r="Y126" s="126">
        <f>U126*O126</f>
        <v>13.90458257903013</v>
      </c>
      <c r="Z126" s="317"/>
      <c r="AA126" s="314"/>
      <c r="AB126" s="314"/>
    </row>
    <row r="127" spans="1:28" ht="18" thickBot="1">
      <c r="A127" s="333"/>
      <c r="B127" s="17"/>
      <c r="C127" s="13" t="s">
        <v>272</v>
      </c>
      <c r="D127" s="17" t="s">
        <v>137</v>
      </c>
      <c r="E127" s="234" t="s">
        <v>79</v>
      </c>
      <c r="F127" s="78" t="s">
        <v>34</v>
      </c>
      <c r="G127" s="158" t="s">
        <v>136</v>
      </c>
      <c r="H127" s="27">
        <v>130.13999999999999</v>
      </c>
      <c r="I127" s="27"/>
      <c r="J127" s="27"/>
      <c r="K127" s="235">
        <v>0.45800000000000002</v>
      </c>
      <c r="L127" s="27"/>
      <c r="M127" s="27"/>
      <c r="N127" s="27"/>
      <c r="O127" s="27"/>
      <c r="P127" s="236">
        <f>R127*H127</f>
        <v>1041.6666666666665</v>
      </c>
      <c r="Q127" s="236">
        <f>P127/1000</f>
        <v>1.0416666666666665</v>
      </c>
      <c r="R127" s="236">
        <f>O129</f>
        <v>8.00420060447723</v>
      </c>
      <c r="S127" s="27"/>
      <c r="T127" s="26" t="s">
        <v>112</v>
      </c>
      <c r="U127" s="27" t="s">
        <v>112</v>
      </c>
      <c r="V127" s="237" t="s">
        <v>112</v>
      </c>
      <c r="W127" s="55" t="s">
        <v>112</v>
      </c>
      <c r="X127" s="309"/>
      <c r="Y127" s="68"/>
      <c r="Z127" s="317"/>
      <c r="AA127" s="315"/>
      <c r="AB127" s="314"/>
    </row>
    <row r="128" spans="1:28">
      <c r="A128" s="333"/>
      <c r="B128" s="232"/>
      <c r="C128" s="233"/>
      <c r="D128" s="233"/>
      <c r="E128" s="123"/>
      <c r="F128" s="233"/>
      <c r="G128" s="233"/>
      <c r="H128" s="123"/>
      <c r="I128" s="123"/>
      <c r="J128" s="123"/>
      <c r="K128" s="123"/>
      <c r="L128" s="123"/>
      <c r="M128" s="123"/>
      <c r="N128" s="123"/>
      <c r="O128" s="123"/>
      <c r="P128" s="123"/>
      <c r="Q128" s="123"/>
      <c r="R128" s="123"/>
      <c r="S128" s="123"/>
      <c r="T128" s="123"/>
      <c r="U128" s="123"/>
      <c r="V128" s="123"/>
      <c r="W128" s="228"/>
      <c r="X128" s="335">
        <f>96%</f>
        <v>0.96</v>
      </c>
      <c r="Y128" s="238"/>
      <c r="Z128" s="318" t="s">
        <v>138</v>
      </c>
      <c r="AA128" s="314" t="s">
        <v>140</v>
      </c>
      <c r="AB128" s="318">
        <v>4.5</v>
      </c>
    </row>
    <row r="129" spans="1:28" ht="17.5">
      <c r="A129" s="333"/>
      <c r="B129" s="123"/>
      <c r="C129" s="123"/>
      <c r="D129" s="75" t="s">
        <v>137</v>
      </c>
      <c r="E129" s="83" t="s">
        <v>79</v>
      </c>
      <c r="F129" s="78" t="s">
        <v>34</v>
      </c>
      <c r="G129" s="123"/>
      <c r="H129" s="46">
        <v>130.13999999999999</v>
      </c>
      <c r="I129" s="123"/>
      <c r="J129" s="46">
        <f>O129/O$129</f>
        <v>1</v>
      </c>
      <c r="K129" s="140">
        <v>0.45800000000000002</v>
      </c>
      <c r="L129" s="79">
        <f>O129*H129</f>
        <v>1041.6666666666665</v>
      </c>
      <c r="M129" s="79">
        <f>L129/1000</f>
        <v>1.0416666666666665</v>
      </c>
      <c r="N129" s="181" t="s">
        <v>112</v>
      </c>
      <c r="O129" s="79">
        <f>R131/X128</f>
        <v>8.00420060447723</v>
      </c>
      <c r="P129" s="123"/>
      <c r="Q129" s="123"/>
      <c r="R129" s="123"/>
      <c r="S129" s="12" t="s">
        <v>112</v>
      </c>
      <c r="T129" s="14" t="s">
        <v>112</v>
      </c>
      <c r="U129" s="12" t="s">
        <v>112</v>
      </c>
      <c r="V129" s="17" t="s">
        <v>112</v>
      </c>
      <c r="W129" s="61" t="s">
        <v>112</v>
      </c>
      <c r="X129" s="325"/>
      <c r="Y129" s="170"/>
      <c r="Z129" s="314"/>
      <c r="AA129" s="314"/>
      <c r="AB129" s="314"/>
    </row>
    <row r="130" spans="1:28" s="127" customFormat="1" ht="17.5">
      <c r="A130" s="333"/>
      <c r="B130" s="123"/>
      <c r="C130" s="123"/>
      <c r="D130" s="184" t="s">
        <v>207</v>
      </c>
      <c r="E130" s="18" t="s">
        <v>81</v>
      </c>
      <c r="F130" s="190" t="s">
        <v>18</v>
      </c>
      <c r="G130" s="184"/>
      <c r="H130" s="84">
        <v>400</v>
      </c>
      <c r="I130" s="84">
        <v>1.1279999999999999</v>
      </c>
      <c r="J130" s="84">
        <f>O130/O$129</f>
        <v>0.32756696424413828</v>
      </c>
      <c r="K130" s="184" t="s">
        <v>45</v>
      </c>
      <c r="L130" s="84">
        <f>O130*H130</f>
        <v>1048.7646772838812</v>
      </c>
      <c r="M130" s="84">
        <f>L130/1000</f>
        <v>1.0487646772838812</v>
      </c>
      <c r="N130" s="84">
        <f>L130/I130</f>
        <v>929.75591957790891</v>
      </c>
      <c r="O130" s="84">
        <f>O129*J86</f>
        <v>2.6219116932097029</v>
      </c>
      <c r="P130" s="184"/>
      <c r="Q130" s="184"/>
      <c r="R130" s="184"/>
      <c r="S130" s="184">
        <f>10</f>
        <v>10</v>
      </c>
      <c r="T130" s="184" t="s">
        <v>120</v>
      </c>
      <c r="U130" s="84">
        <f>S130/(1000/H130)</f>
        <v>4</v>
      </c>
      <c r="V130" s="184" t="s">
        <v>112</v>
      </c>
      <c r="W130" s="55" t="s">
        <v>80</v>
      </c>
      <c r="X130" s="325"/>
      <c r="Y130" s="126">
        <f>U130*O130</f>
        <v>10.487646772838811</v>
      </c>
      <c r="Z130" s="314"/>
      <c r="AA130" s="314"/>
      <c r="AB130" s="314"/>
    </row>
    <row r="131" spans="1:28" ht="17.5">
      <c r="A131" s="334"/>
      <c r="B131" s="124"/>
      <c r="C131" s="52" t="s">
        <v>273</v>
      </c>
      <c r="D131" s="124"/>
      <c r="E131" s="47" t="s">
        <v>79</v>
      </c>
      <c r="F131" s="52" t="s">
        <v>200</v>
      </c>
      <c r="G131" s="124" t="s">
        <v>46</v>
      </c>
      <c r="H131" s="40">
        <v>130.13999999999999</v>
      </c>
      <c r="I131" s="124"/>
      <c r="J131" s="142">
        <f>R131/O$129</f>
        <v>0.96000000000000008</v>
      </c>
      <c r="K131" s="48">
        <v>0.88400000000000001</v>
      </c>
      <c r="L131" s="124"/>
      <c r="M131" s="124"/>
      <c r="N131" s="124"/>
      <c r="O131" s="124"/>
      <c r="P131" s="258">
        <v>1000</v>
      </c>
      <c r="Q131" s="259">
        <f>P131/1000</f>
        <v>1</v>
      </c>
      <c r="R131" s="258">
        <f>P131/H131</f>
        <v>7.6840325802981413</v>
      </c>
      <c r="S131" s="40" t="s">
        <v>112</v>
      </c>
      <c r="T131" s="134" t="s">
        <v>112</v>
      </c>
      <c r="U131" s="40" t="s">
        <v>112</v>
      </c>
      <c r="V131" s="65" t="s">
        <v>112</v>
      </c>
      <c r="W131" s="135" t="s">
        <v>112</v>
      </c>
      <c r="X131" s="326"/>
      <c r="Y131" s="182" t="s">
        <v>112</v>
      </c>
      <c r="Z131" s="319"/>
      <c r="AA131" s="319"/>
      <c r="AB131" s="319"/>
    </row>
    <row r="132" spans="1:28">
      <c r="X132" s="253">
        <f>X92*X110*X119*X128</f>
        <v>0.76062032639999999</v>
      </c>
      <c r="Y132" s="280">
        <f>(Y92+Y93+Y94+Y95+Y96+Y97+Y98+Y102+Y103+Y104+Y105+Y106+Y107+Y108+Y112+Y113+Y114+Y115+Y116+Y117+Y121+Y122+Y123+Y124+Y125+Y126+Y130-Y98-Y106-Y124)</f>
        <v>1322.5705275467585</v>
      </c>
      <c r="AB132" s="59">
        <f>SUM(AB92:AB131)</f>
        <v>59</v>
      </c>
    </row>
    <row r="133" spans="1:28">
      <c r="Y133" s="130"/>
    </row>
    <row r="134" spans="1:28">
      <c r="A134" s="338" t="s">
        <v>187</v>
      </c>
      <c r="B134" s="339"/>
      <c r="C134" s="339"/>
      <c r="D134" s="340"/>
      <c r="X134" s="58" t="s">
        <v>264</v>
      </c>
      <c r="Y134" s="60">
        <f>(Y94+Y97+Y104+Y108+Y112+Y113+Y117+Y130+Y121+Y122)</f>
        <v>426.37108436487233</v>
      </c>
      <c r="Z134" s="58">
        <f>10%*Y134</f>
        <v>42.637108436487239</v>
      </c>
      <c r="AA134" s="244">
        <f>Y134-Z134</f>
        <v>383.73397592838512</v>
      </c>
      <c r="AB134" s="127"/>
    </row>
    <row r="135" spans="1:28">
      <c r="A135" s="171" t="s">
        <v>150</v>
      </c>
      <c r="B135" s="171" t="s">
        <v>233</v>
      </c>
      <c r="C135" s="171" t="s">
        <v>231</v>
      </c>
      <c r="D135" s="171" t="s">
        <v>232</v>
      </c>
      <c r="X135" s="60" t="s">
        <v>19</v>
      </c>
      <c r="Y135" s="60">
        <f>Y96+Y116+Y116</f>
        <v>244.71057458078434</v>
      </c>
    </row>
    <row r="136" spans="1:28" ht="16" customHeight="1">
      <c r="A136" s="295" t="s">
        <v>267</v>
      </c>
      <c r="B136" s="86" t="s">
        <v>104</v>
      </c>
      <c r="C136" s="88">
        <f>M92</f>
        <v>1.8005371132644734</v>
      </c>
      <c r="D136" s="57"/>
      <c r="X136" s="244" t="s">
        <v>265</v>
      </c>
      <c r="Y136" s="279">
        <f>Y133-Y135-AA134</f>
        <v>-628.4445505091694</v>
      </c>
      <c r="Z136" s="244"/>
    </row>
    <row r="137" spans="1:28">
      <c r="A137" s="296"/>
      <c r="B137" s="87" t="s">
        <v>18</v>
      </c>
      <c r="C137" s="89">
        <f>M94+M97+M104+M108</f>
        <v>6.644686461680986</v>
      </c>
      <c r="D137" s="143"/>
      <c r="X137" s="244" t="s">
        <v>266</v>
      </c>
      <c r="Y137" s="279">
        <f>Y133-Y134-Y135</f>
        <v>-671.08165894565673</v>
      </c>
      <c r="Z137" s="244"/>
    </row>
    <row r="138" spans="1:28">
      <c r="A138" s="297"/>
      <c r="B138" s="248" t="s">
        <v>22</v>
      </c>
      <c r="C138" s="145">
        <f>M95+M102+M107+M93+M105</f>
        <v>5.3012588498470929</v>
      </c>
      <c r="D138" s="143"/>
      <c r="L138" s="210"/>
      <c r="M138" s="210"/>
      <c r="N138" s="210"/>
      <c r="X138" s="130"/>
      <c r="Y138" s="130"/>
      <c r="Z138" s="130"/>
    </row>
    <row r="139" spans="1:28">
      <c r="A139" s="296"/>
      <c r="B139" s="136" t="s">
        <v>19</v>
      </c>
      <c r="C139" s="89">
        <f>M96+M103</f>
        <v>7.6912860189609908</v>
      </c>
      <c r="D139" s="89"/>
      <c r="F139" s="337"/>
      <c r="G139" s="337"/>
      <c r="L139" s="8"/>
      <c r="M139" s="8"/>
      <c r="N139" s="8"/>
    </row>
    <row r="140" spans="1:28">
      <c r="A140" s="298"/>
      <c r="B140" s="219" t="s">
        <v>86</v>
      </c>
      <c r="C140" s="90" t="s">
        <v>112</v>
      </c>
      <c r="D140" s="90">
        <f>Q109</f>
        <v>2.6655351854865041</v>
      </c>
      <c r="E140" s="58"/>
      <c r="F140" s="243"/>
      <c r="G140" s="243"/>
    </row>
    <row r="141" spans="1:28">
      <c r="A141" s="292" t="s">
        <v>270</v>
      </c>
      <c r="B141" s="144" t="s">
        <v>86</v>
      </c>
      <c r="C141" s="89">
        <f>M111</f>
        <v>2.6655351854865041</v>
      </c>
      <c r="D141" s="44"/>
      <c r="E141" s="58"/>
      <c r="F141" s="255"/>
      <c r="G141" s="256"/>
      <c r="L141" s="9"/>
      <c r="M141" s="11"/>
      <c r="N141" s="11"/>
    </row>
    <row r="142" spans="1:28">
      <c r="A142" s="293"/>
      <c r="B142" s="87" t="s">
        <v>18</v>
      </c>
      <c r="C142" s="89">
        <f>M112+M113+M117</f>
        <v>7.3632754943743119</v>
      </c>
      <c r="D142" s="44"/>
      <c r="E142" s="58"/>
      <c r="F142" s="255"/>
      <c r="G142" s="256"/>
      <c r="L142" s="9"/>
      <c r="M142" s="19"/>
      <c r="N142" s="11"/>
    </row>
    <row r="143" spans="1:28">
      <c r="A143" s="293"/>
      <c r="B143" s="248" t="s">
        <v>22</v>
      </c>
      <c r="C143" s="89">
        <f>M114+M115</f>
        <v>0.72837955102381269</v>
      </c>
      <c r="D143" s="44"/>
      <c r="E143" s="58"/>
      <c r="F143" s="255"/>
      <c r="G143" s="256"/>
    </row>
    <row r="144" spans="1:28">
      <c r="A144" s="293"/>
      <c r="B144" s="136" t="s">
        <v>19</v>
      </c>
      <c r="C144" s="89">
        <f>M116</f>
        <v>6.3499321546885916</v>
      </c>
      <c r="D144" s="44"/>
      <c r="E144" s="58"/>
    </row>
    <row r="145" spans="1:6">
      <c r="A145" s="294"/>
      <c r="B145" s="219" t="s">
        <v>86</v>
      </c>
      <c r="C145" s="90" t="s">
        <v>112</v>
      </c>
      <c r="D145" s="146">
        <f>Q118</f>
        <v>2.2989842847304045</v>
      </c>
      <c r="E145" s="58"/>
    </row>
    <row r="146" spans="1:6">
      <c r="A146" s="293" t="s">
        <v>271</v>
      </c>
      <c r="B146" s="158" t="s">
        <v>86</v>
      </c>
      <c r="C146" s="89">
        <f>M120</f>
        <v>2.2989842847304045</v>
      </c>
      <c r="D146" s="143"/>
      <c r="E146" s="58"/>
      <c r="F146" s="244"/>
    </row>
    <row r="147" spans="1:6">
      <c r="A147" s="293"/>
      <c r="B147" s="229" t="s">
        <v>18</v>
      </c>
      <c r="C147" s="167">
        <f>M130+M121+M122</f>
        <v>6.609927212238043</v>
      </c>
      <c r="D147" s="143"/>
      <c r="E147" s="60"/>
    </row>
    <row r="148" spans="1:6">
      <c r="A148" s="293"/>
      <c r="B148" s="249" t="s">
        <v>22</v>
      </c>
      <c r="C148" s="89">
        <f>M123+M125+M126</f>
        <v>0.77481227490870475</v>
      </c>
      <c r="D148" s="143"/>
      <c r="E148" s="60"/>
    </row>
    <row r="149" spans="1:6">
      <c r="A149" s="293"/>
      <c r="B149" s="230" t="s">
        <v>19</v>
      </c>
      <c r="C149" s="89">
        <f>0</f>
        <v>0</v>
      </c>
      <c r="D149" s="143"/>
      <c r="E149" s="58"/>
    </row>
    <row r="150" spans="1:6">
      <c r="A150" s="336"/>
      <c r="B150" s="231" t="s">
        <v>195</v>
      </c>
      <c r="C150" s="90" t="s">
        <v>112</v>
      </c>
      <c r="D150" s="90">
        <f>Q131</f>
        <v>1</v>
      </c>
      <c r="E150" s="60"/>
    </row>
    <row r="151" spans="1:6">
      <c r="E151" s="12"/>
    </row>
  </sheetData>
  <mergeCells count="78">
    <mergeCell ref="A146:A150"/>
    <mergeCell ref="A75:A87"/>
    <mergeCell ref="A31:A43"/>
    <mergeCell ref="F139:G139"/>
    <mergeCell ref="A134:D134"/>
    <mergeCell ref="A110:A118"/>
    <mergeCell ref="A90:AB90"/>
    <mergeCell ref="A92:A100"/>
    <mergeCell ref="X92:X109"/>
    <mergeCell ref="Z92:Z100"/>
    <mergeCell ref="AA92:AA100"/>
    <mergeCell ref="AB92:AB100"/>
    <mergeCell ref="A101:A109"/>
    <mergeCell ref="Z101:Z109"/>
    <mergeCell ref="AA101:AA109"/>
    <mergeCell ref="AB101:AB109"/>
    <mergeCell ref="Z110:Z118"/>
    <mergeCell ref="AA110:AA118"/>
    <mergeCell ref="X128:X131"/>
    <mergeCell ref="Z128:Z131"/>
    <mergeCell ref="AA128:AA131"/>
    <mergeCell ref="A119:A131"/>
    <mergeCell ref="X75:X83"/>
    <mergeCell ref="Z75:Z83"/>
    <mergeCell ref="AA75:AA83"/>
    <mergeCell ref="AB75:AB83"/>
    <mergeCell ref="X84:X87"/>
    <mergeCell ref="Z84:Z87"/>
    <mergeCell ref="AA84:AA87"/>
    <mergeCell ref="AB84:AB87"/>
    <mergeCell ref="AB128:AB131"/>
    <mergeCell ref="AB110:AB118"/>
    <mergeCell ref="X119:X127"/>
    <mergeCell ref="Z119:Z127"/>
    <mergeCell ref="AA119:AA127"/>
    <mergeCell ref="AB119:AB127"/>
    <mergeCell ref="X110:X118"/>
    <mergeCell ref="A66:A74"/>
    <mergeCell ref="X66:X74"/>
    <mergeCell ref="Z66:Z74"/>
    <mergeCell ref="AA66:AA74"/>
    <mergeCell ref="AB66:AB74"/>
    <mergeCell ref="A46:AB46"/>
    <mergeCell ref="A48:A56"/>
    <mergeCell ref="X48:X65"/>
    <mergeCell ref="Z48:Z56"/>
    <mergeCell ref="AA48:AA56"/>
    <mergeCell ref="AB48:AB56"/>
    <mergeCell ref="A57:A65"/>
    <mergeCell ref="Z57:Z65"/>
    <mergeCell ref="AA57:AA65"/>
    <mergeCell ref="AB57:AB65"/>
    <mergeCell ref="AA22:AA30"/>
    <mergeCell ref="AB22:AB30"/>
    <mergeCell ref="X40:X43"/>
    <mergeCell ref="Z40:Z43"/>
    <mergeCell ref="AA40:AA43"/>
    <mergeCell ref="AB40:AB43"/>
    <mergeCell ref="X31:X39"/>
    <mergeCell ref="Z31:Z39"/>
    <mergeCell ref="AA31:AA39"/>
    <mergeCell ref="AB31:AB39"/>
    <mergeCell ref="A141:A145"/>
    <mergeCell ref="A136:A140"/>
    <mergeCell ref="A1:AB1"/>
    <mergeCell ref="A2:AB2"/>
    <mergeCell ref="A4:A12"/>
    <mergeCell ref="X4:X21"/>
    <mergeCell ref="Z4:Z12"/>
    <mergeCell ref="AA4:AA12"/>
    <mergeCell ref="AB4:AB12"/>
    <mergeCell ref="A13:A21"/>
    <mergeCell ref="Z13:Z21"/>
    <mergeCell ref="AA13:AA21"/>
    <mergeCell ref="AB13:AB21"/>
    <mergeCell ref="A22:A30"/>
    <mergeCell ref="X22:X30"/>
    <mergeCell ref="Z22:Z30"/>
  </mergeCells>
  <hyperlinks>
    <hyperlink ref="V10" r:id="rId1" display="CAS Number 112068-01-6"/>
    <hyperlink ref="W36" r:id="rId2"/>
    <hyperlink ref="V54" r:id="rId3" display="CAS Number 112068-01-6"/>
    <hyperlink ref="W80" r:id="rId4"/>
    <hyperlink ref="V98" r:id="rId5" display="CAS Number 112068-01-6"/>
    <hyperlink ref="W124" r:id="rId6"/>
  </hyperlinks>
  <pageMargins left="0.7" right="0.7" top="0.75" bottom="0.75" header="0.3" footer="0.3"/>
  <pageSetup paperSize="9" orientation="portrait" horizontalDpi="300" verticalDpi="300" r:id="rId7"/>
  <drawing r:id="rId8"/>
  <legacyDrawing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3"/>
  <sheetViews>
    <sheetView topLeftCell="C1" workbookViewId="0">
      <selection activeCell="A7" sqref="A7"/>
    </sheetView>
  </sheetViews>
  <sheetFormatPr defaultColWidth="11" defaultRowHeight="15.5"/>
  <cols>
    <col min="1" max="1" width="31.33203125" customWidth="1"/>
    <col min="2" max="2" width="50.6640625" bestFit="1" customWidth="1"/>
    <col min="3" max="3" width="32.1640625" customWidth="1"/>
    <col min="4" max="4" width="21.83203125" customWidth="1"/>
    <col min="5" max="5" width="17.83203125" customWidth="1"/>
    <col min="6" max="6" width="19.33203125" customWidth="1"/>
    <col min="7" max="7" width="19.5" bestFit="1" customWidth="1"/>
    <col min="8" max="8" width="38.6640625" customWidth="1"/>
    <col min="9" max="9" width="20" customWidth="1"/>
    <col min="10" max="10" width="35.6640625" bestFit="1" customWidth="1"/>
    <col min="11" max="11" width="34.5" bestFit="1" customWidth="1"/>
    <col min="12" max="12" width="37.33203125" bestFit="1" customWidth="1"/>
    <col min="13" max="13" width="20.5" bestFit="1" customWidth="1"/>
  </cols>
  <sheetData>
    <row r="1" spans="1:27" ht="25.5" thickBot="1">
      <c r="A1" s="299" t="s">
        <v>223</v>
      </c>
      <c r="B1" s="342"/>
      <c r="C1" s="342"/>
      <c r="D1" s="342"/>
      <c r="E1" s="342"/>
      <c r="F1" s="342"/>
      <c r="G1" s="342"/>
      <c r="H1" s="342"/>
      <c r="I1" s="342"/>
      <c r="J1" s="342"/>
      <c r="K1" s="342"/>
      <c r="L1" s="342"/>
      <c r="M1" s="343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148"/>
      <c r="Y1" s="148"/>
      <c r="Z1" s="148"/>
      <c r="AA1" s="148"/>
    </row>
    <row r="2" spans="1:27">
      <c r="A2" s="341" t="s">
        <v>164</v>
      </c>
      <c r="B2" s="341"/>
      <c r="C2" s="341"/>
      <c r="D2" s="341"/>
      <c r="E2" s="341"/>
      <c r="F2" s="341"/>
      <c r="G2" s="341"/>
      <c r="H2" s="341"/>
      <c r="I2" s="341"/>
      <c r="J2" s="341"/>
      <c r="K2" s="341"/>
      <c r="L2" s="341"/>
      <c r="M2" s="341"/>
    </row>
    <row r="3" spans="1:27">
      <c r="A3" s="85" t="s">
        <v>83</v>
      </c>
      <c r="B3" s="92" t="s">
        <v>254</v>
      </c>
      <c r="C3" s="93" t="s">
        <v>247</v>
      </c>
      <c r="D3" s="251" t="s">
        <v>248</v>
      </c>
      <c r="E3" s="94" t="s">
        <v>249</v>
      </c>
      <c r="F3" s="95" t="s">
        <v>251</v>
      </c>
      <c r="G3" s="85" t="s">
        <v>235</v>
      </c>
      <c r="H3" s="85" t="s">
        <v>236</v>
      </c>
      <c r="I3" s="85" t="s">
        <v>237</v>
      </c>
      <c r="J3" s="85" t="s">
        <v>238</v>
      </c>
      <c r="K3" s="247" t="s">
        <v>239</v>
      </c>
      <c r="L3" s="85" t="s">
        <v>240</v>
      </c>
      <c r="M3" s="85" t="s">
        <v>84</v>
      </c>
    </row>
    <row r="4" spans="1:27" ht="17.5">
      <c r="A4" s="282" t="s">
        <v>267</v>
      </c>
      <c r="B4" s="11">
        <f>'Step-by-step procedure'!C136</f>
        <v>1.8005371132644734</v>
      </c>
      <c r="C4" s="11">
        <f>'Step-by-step procedure'!C137</f>
        <v>6.644686461680986</v>
      </c>
      <c r="D4" s="11">
        <f>'Step-by-step procedure'!C138</f>
        <v>5.3012588498470929</v>
      </c>
      <c r="E4" s="11">
        <f>'Step-by-step procedure'!C139</f>
        <v>7.6912860189609908</v>
      </c>
      <c r="F4" s="11">
        <f>'Step-by-step procedure'!D140</f>
        <v>2.6655351854865041</v>
      </c>
      <c r="G4" s="11">
        <f>(B4+D4-F4)/F4</f>
        <v>1.6643039648397555</v>
      </c>
      <c r="H4" s="11">
        <f>(B4+D4-F4)/F$7</f>
        <v>4.436260777625062</v>
      </c>
      <c r="I4" s="11">
        <f>(B4+C4+D4+E4-F4)/F4</f>
        <v>7.0425756750387052</v>
      </c>
      <c r="J4" s="11">
        <f>(B4+C4+D4+E4-F4)/F$7</f>
        <v>18.772233258267036</v>
      </c>
      <c r="K4" s="11">
        <f>((B4+D4+0.1*C4-F4))/F$7</f>
        <v>5.1007294237931617</v>
      </c>
      <c r="L4" s="11">
        <f>J4+1</f>
        <v>19.772233258267036</v>
      </c>
      <c r="M4" s="44">
        <v>1</v>
      </c>
    </row>
    <row r="5" spans="1:27">
      <c r="A5" s="283" t="s">
        <v>270</v>
      </c>
      <c r="B5" s="11">
        <f>'Step-by-step procedure'!C141</f>
        <v>2.6655351854865041</v>
      </c>
      <c r="C5" s="11">
        <f>'Step-by-step procedure'!C142</f>
        <v>7.3632754943743119</v>
      </c>
      <c r="D5" s="11">
        <f>'Step-by-step procedure'!C143</f>
        <v>0.72837955102381269</v>
      </c>
      <c r="E5" s="11">
        <f>'Step-by-step procedure'!C144</f>
        <v>6.3499321546885916</v>
      </c>
      <c r="F5" s="11">
        <f>'Step-by-step procedure'!D145</f>
        <v>2.2989842847304045</v>
      </c>
      <c r="G5" s="11">
        <f>(B5+D5-F5)/F5</f>
        <v>0.47626704499561717</v>
      </c>
      <c r="H5" s="11">
        <f>(B5+D5-F5)/F$7</f>
        <v>1.0949304517799123</v>
      </c>
      <c r="I5" s="11">
        <f>(B5+C5+D5+E5-F5)/F5</f>
        <v>6.4411654308369162</v>
      </c>
      <c r="J5" s="11">
        <f>(B5+C5+D5+E5-F5)/F$7</f>
        <v>14.808138100842815</v>
      </c>
      <c r="K5" s="11">
        <f>((B5+D5+0.1*C5-F5))/F$7</f>
        <v>1.8312580012173436</v>
      </c>
      <c r="L5" s="11">
        <f t="shared" ref="L5:L6" si="0">J5+1</f>
        <v>15.808138100842815</v>
      </c>
      <c r="M5" s="44">
        <v>1</v>
      </c>
    </row>
    <row r="6" spans="1:27">
      <c r="A6" s="284" t="s">
        <v>271</v>
      </c>
      <c r="B6" s="100">
        <f>'Step-by-step procedure'!C146</f>
        <v>2.2989842847304045</v>
      </c>
      <c r="C6" s="100">
        <f>'Step-by-step procedure'!C147</f>
        <v>6.609927212238043</v>
      </c>
      <c r="D6" s="100">
        <f>'Step-by-step procedure'!C148</f>
        <v>0.77481227490870475</v>
      </c>
      <c r="E6" s="100">
        <f>'Step-by-step procedure'!C149</f>
        <v>0</v>
      </c>
      <c r="F6" s="100">
        <f>'Step-by-step procedure'!D150</f>
        <v>1</v>
      </c>
      <c r="G6" s="11">
        <f>(B6+D6-F6)/F6</f>
        <v>2.073796559639109</v>
      </c>
      <c r="H6" s="11">
        <f>(B6+D6-F6)/F$7</f>
        <v>2.073796559639109</v>
      </c>
      <c r="I6" s="11">
        <f>(B6+C6+D6+E6-F6)/F6</f>
        <v>8.6837237718771512</v>
      </c>
      <c r="J6" s="11">
        <f>(B6+C6+D6+E6-F6)/F$7</f>
        <v>8.6837237718771512</v>
      </c>
      <c r="K6" s="11">
        <f>((B6+D6+0.1*C6-F6))/F$7</f>
        <v>2.7347892808629135</v>
      </c>
      <c r="L6" s="11">
        <f t="shared" si="0"/>
        <v>9.6837237718771512</v>
      </c>
      <c r="M6" s="91">
        <v>0</v>
      </c>
    </row>
    <row r="7" spans="1:27">
      <c r="A7" s="96" t="s">
        <v>85</v>
      </c>
      <c r="B7" s="97">
        <f>SUM(B4)</f>
        <v>1.8005371132644734</v>
      </c>
      <c r="C7" s="97">
        <f>SUM(C4:C6)</f>
        <v>20.617889168293338</v>
      </c>
      <c r="D7" s="97">
        <f>SUM(D4:D6)</f>
        <v>6.8044506757796102</v>
      </c>
      <c r="E7" s="97">
        <f>SUM(E4:E6)</f>
        <v>14.041218173649582</v>
      </c>
      <c r="F7" s="97">
        <v>1</v>
      </c>
      <c r="G7" s="98"/>
      <c r="H7" s="102">
        <f>(B7+D7-F7)/F$7</f>
        <v>7.6049877890440829</v>
      </c>
      <c r="I7" s="98"/>
      <c r="J7" s="102">
        <f>(B7+C7+D7+E7-F7)/F$7</f>
        <v>42.264095130987002</v>
      </c>
      <c r="K7" s="102">
        <f>((B7+D7+0.1*C7-F7))/F$7</f>
        <v>9.6667767058734171</v>
      </c>
      <c r="L7" s="97">
        <f>J7+1</f>
        <v>43.264095130987002</v>
      </c>
      <c r="M7" s="98">
        <v>3</v>
      </c>
    </row>
    <row r="9" spans="1:27">
      <c r="A9" s="338" t="s">
        <v>234</v>
      </c>
      <c r="B9" s="339"/>
      <c r="C9" s="340"/>
    </row>
    <row r="10" spans="1:27">
      <c r="A10" s="125" t="s">
        <v>87</v>
      </c>
      <c r="B10" s="125" t="s">
        <v>88</v>
      </c>
      <c r="C10" s="125" t="s">
        <v>89</v>
      </c>
    </row>
    <row r="11" spans="1:27">
      <c r="A11" s="103">
        <f>H7</f>
        <v>7.6049877890440829</v>
      </c>
      <c r="B11" s="103">
        <f>J7</f>
        <v>42.264095130987002</v>
      </c>
      <c r="C11" s="103">
        <f>K7</f>
        <v>9.6667767058734171</v>
      </c>
    </row>
    <row r="13" spans="1:27">
      <c r="A13" s="338" t="s">
        <v>228</v>
      </c>
      <c r="B13" s="339"/>
      <c r="C13" s="339"/>
      <c r="D13" s="339"/>
    </row>
    <row r="14" spans="1:27">
      <c r="A14" s="92" t="s">
        <v>104</v>
      </c>
      <c r="B14" s="93" t="s">
        <v>247</v>
      </c>
      <c r="C14" s="250" t="s">
        <v>248</v>
      </c>
      <c r="D14" s="94" t="s">
        <v>249</v>
      </c>
      <c r="E14" s="13"/>
    </row>
    <row r="15" spans="1:27">
      <c r="A15" s="206">
        <f>B7</f>
        <v>1.8005371132644734</v>
      </c>
      <c r="B15" s="206">
        <f>C7</f>
        <v>20.617889168293338</v>
      </c>
      <c r="C15" s="206">
        <f>D7</f>
        <v>6.8044506757796102</v>
      </c>
      <c r="D15" s="206">
        <f>E7</f>
        <v>14.041218173649582</v>
      </c>
    </row>
    <row r="18" spans="4:4">
      <c r="D18" s="13"/>
    </row>
    <row r="19" spans="4:4">
      <c r="D19" s="17"/>
    </row>
    <row r="20" spans="4:4">
      <c r="D20" s="17"/>
    </row>
    <row r="21" spans="4:4">
      <c r="D21" s="17"/>
    </row>
    <row r="22" spans="4:4">
      <c r="D22" s="17"/>
    </row>
    <row r="23" spans="4:4">
      <c r="D23" s="17"/>
    </row>
  </sheetData>
  <mergeCells count="4">
    <mergeCell ref="A2:M2"/>
    <mergeCell ref="A9:C9"/>
    <mergeCell ref="A1:M1"/>
    <mergeCell ref="A13:D1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13"/>
  <sheetViews>
    <sheetView topLeftCell="A39" zoomScale="83" workbookViewId="0">
      <selection activeCell="F85" sqref="F85"/>
    </sheetView>
  </sheetViews>
  <sheetFormatPr defaultColWidth="10.83203125" defaultRowHeight="15.5"/>
  <cols>
    <col min="1" max="1" width="10.83203125" style="58"/>
    <col min="2" max="2" width="38.83203125" style="58" bestFit="1" customWidth="1"/>
    <col min="3" max="3" width="40.5" style="58" bestFit="1" customWidth="1"/>
    <col min="4" max="4" width="34.5" style="58" bestFit="1" customWidth="1"/>
    <col min="5" max="5" width="30.5" style="58" bestFit="1" customWidth="1"/>
    <col min="6" max="6" width="39.5" style="58" bestFit="1" customWidth="1"/>
    <col min="7" max="7" width="39" style="58" bestFit="1" customWidth="1"/>
    <col min="8" max="8" width="26.83203125" style="58" bestFit="1" customWidth="1"/>
    <col min="9" max="9" width="14.83203125" style="58" bestFit="1" customWidth="1"/>
    <col min="10" max="10" width="19.5" style="58" bestFit="1" customWidth="1"/>
    <col min="11" max="11" width="15.1640625" style="58" customWidth="1"/>
    <col min="12" max="12" width="15.5" style="58" bestFit="1" customWidth="1"/>
    <col min="13" max="13" width="16.83203125" style="58" bestFit="1" customWidth="1"/>
    <col min="14" max="14" width="19.5" style="58" bestFit="1" customWidth="1"/>
    <col min="15" max="15" width="19.1640625" style="58" customWidth="1"/>
    <col min="16" max="16" width="17.5" style="58" bestFit="1" customWidth="1"/>
    <col min="17" max="17" width="18.5" style="58" bestFit="1" customWidth="1"/>
    <col min="18" max="18" width="20.83203125" style="58" bestFit="1" customWidth="1"/>
    <col min="19" max="19" width="57.83203125" style="58" bestFit="1" customWidth="1"/>
    <col min="20" max="20" width="10.83203125" style="58"/>
    <col min="21" max="21" width="19.5" style="58" bestFit="1" customWidth="1"/>
    <col min="22" max="22" width="30.5" style="58" bestFit="1" customWidth="1"/>
    <col min="23" max="23" width="34.83203125" style="58" bestFit="1" customWidth="1"/>
    <col min="24" max="24" width="8.1640625" style="58" bestFit="1" customWidth="1"/>
    <col min="25" max="25" width="33.1640625" style="58" bestFit="1" customWidth="1"/>
    <col min="26" max="26" width="23.1640625" style="58" bestFit="1" customWidth="1"/>
    <col min="27" max="27" width="23.1640625" style="58" customWidth="1"/>
    <col min="28" max="28" width="23.5" style="58" bestFit="1" customWidth="1"/>
    <col min="29" max="16384" width="10.83203125" style="58"/>
  </cols>
  <sheetData>
    <row r="1" spans="1:28" ht="26.5" thickBot="1">
      <c r="A1" s="344" t="s">
        <v>224</v>
      </c>
      <c r="B1" s="345"/>
      <c r="C1" s="345"/>
      <c r="D1" s="345"/>
      <c r="E1" s="345"/>
      <c r="F1" s="345"/>
      <c r="G1" s="345"/>
      <c r="H1" s="345"/>
      <c r="I1" s="345"/>
      <c r="J1" s="345"/>
      <c r="K1" s="345"/>
      <c r="L1" s="345"/>
      <c r="M1" s="345"/>
      <c r="N1" s="345"/>
      <c r="O1" s="345"/>
      <c r="P1" s="345"/>
      <c r="Q1" s="345"/>
      <c r="R1" s="345"/>
      <c r="S1" s="345"/>
      <c r="T1" s="345"/>
      <c r="U1" s="345"/>
      <c r="V1" s="345"/>
      <c r="W1" s="345"/>
      <c r="X1" s="345"/>
      <c r="Y1" s="345"/>
      <c r="Z1" s="345"/>
      <c r="AA1" s="345"/>
      <c r="AB1" s="346"/>
    </row>
    <row r="2" spans="1:28">
      <c r="A2" s="302" t="s">
        <v>230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W2" s="303"/>
      <c r="X2" s="303"/>
      <c r="Y2" s="303"/>
      <c r="Z2" s="303"/>
      <c r="AA2" s="303"/>
      <c r="AB2" s="304"/>
    </row>
    <row r="3" spans="1:28">
      <c r="A3" s="1" t="s">
        <v>0</v>
      </c>
      <c r="B3" s="2" t="s">
        <v>1</v>
      </c>
      <c r="C3" s="3" t="s">
        <v>2</v>
      </c>
      <c r="D3" s="4" t="s">
        <v>3</v>
      </c>
      <c r="E3" s="5" t="s">
        <v>156</v>
      </c>
      <c r="F3" s="5" t="s">
        <v>4</v>
      </c>
      <c r="G3" s="5" t="s">
        <v>5</v>
      </c>
      <c r="H3" s="6" t="s">
        <v>157</v>
      </c>
      <c r="I3" s="1" t="s">
        <v>158</v>
      </c>
      <c r="J3" s="7" t="s">
        <v>6</v>
      </c>
      <c r="K3" s="1" t="s">
        <v>7</v>
      </c>
      <c r="L3" s="6" t="s">
        <v>8</v>
      </c>
      <c r="M3" s="80" t="s">
        <v>60</v>
      </c>
      <c r="N3" s="1" t="s">
        <v>9</v>
      </c>
      <c r="O3" s="6" t="s">
        <v>10</v>
      </c>
      <c r="P3" s="6" t="s">
        <v>11</v>
      </c>
      <c r="Q3" s="80" t="s">
        <v>82</v>
      </c>
      <c r="R3" s="1" t="s">
        <v>12</v>
      </c>
      <c r="S3" s="1" t="s">
        <v>171</v>
      </c>
      <c r="T3" s="1" t="s">
        <v>13</v>
      </c>
      <c r="U3" s="1" t="s">
        <v>170</v>
      </c>
      <c r="V3" s="53" t="s">
        <v>155</v>
      </c>
      <c r="W3" s="1" t="s">
        <v>154</v>
      </c>
      <c r="X3" s="1" t="s">
        <v>14</v>
      </c>
      <c r="Y3" s="1" t="s">
        <v>162</v>
      </c>
      <c r="Z3" s="147" t="s">
        <v>152</v>
      </c>
      <c r="AA3" s="7" t="s">
        <v>151</v>
      </c>
      <c r="AB3" s="125" t="s">
        <v>153</v>
      </c>
    </row>
    <row r="4" spans="1:28" ht="17.5">
      <c r="A4" s="292" t="s">
        <v>274</v>
      </c>
      <c r="B4" s="105">
        <v>8</v>
      </c>
      <c r="C4" s="31"/>
      <c r="D4" s="165" t="s">
        <v>51</v>
      </c>
      <c r="E4" s="166" t="s">
        <v>199</v>
      </c>
      <c r="F4" s="107" t="s">
        <v>255</v>
      </c>
      <c r="G4" s="31"/>
      <c r="H4" s="32">
        <v>90.12</v>
      </c>
      <c r="I4" s="32">
        <v>1.0169999999999999</v>
      </c>
      <c r="J4" s="32">
        <v>1</v>
      </c>
      <c r="K4" s="31"/>
      <c r="L4" s="32">
        <f t="shared" ref="L4:L9" si="0">H4*O4</f>
        <v>44.5</v>
      </c>
      <c r="M4" s="11">
        <f>L4/1000</f>
        <v>4.4499999999999998E-2</v>
      </c>
      <c r="N4" s="11">
        <f t="shared" ref="N4:N8" si="1">L4/I4</f>
        <v>43.756145526057033</v>
      </c>
      <c r="O4" s="108">
        <v>0.49378606302707501</v>
      </c>
      <c r="P4" s="31"/>
      <c r="Q4" s="31"/>
      <c r="R4" s="31"/>
      <c r="S4" s="32">
        <v>306</v>
      </c>
      <c r="T4" s="31" t="s">
        <v>53</v>
      </c>
      <c r="U4" s="32">
        <f>S4/((18000*I4)/H4)</f>
        <v>1.5064306784660768</v>
      </c>
      <c r="V4" s="109" t="s">
        <v>52</v>
      </c>
      <c r="W4" s="109" t="s">
        <v>54</v>
      </c>
      <c r="X4" s="347">
        <f>R11/O4</f>
        <v>0.87</v>
      </c>
      <c r="Y4" s="88">
        <f>U4*O4</f>
        <v>0.74385447394296955</v>
      </c>
      <c r="Z4" s="312">
        <v>25</v>
      </c>
      <c r="AA4" s="312">
        <v>1</v>
      </c>
      <c r="AB4" s="312">
        <v>6</v>
      </c>
    </row>
    <row r="5" spans="1:28">
      <c r="A5" s="293"/>
      <c r="B5" s="9"/>
      <c r="C5" s="9"/>
      <c r="D5" s="9" t="s">
        <v>113</v>
      </c>
      <c r="E5" s="9" t="s">
        <v>114</v>
      </c>
      <c r="F5" s="42" t="s">
        <v>22</v>
      </c>
      <c r="G5" s="9"/>
      <c r="H5" s="11">
        <v>56.11</v>
      </c>
      <c r="I5" s="9">
        <v>2.12</v>
      </c>
      <c r="J5" s="11">
        <f>O5/O$4</f>
        <v>0.71860819137368614</v>
      </c>
      <c r="K5" s="117"/>
      <c r="L5" s="9">
        <f t="shared" si="0"/>
        <v>19.91</v>
      </c>
      <c r="M5" s="11">
        <f t="shared" ref="M5:M10" si="2">L5/1000</f>
        <v>1.9910000000000001E-2</v>
      </c>
      <c r="N5" s="11">
        <f t="shared" si="1"/>
        <v>9.3915094339622645</v>
      </c>
      <c r="O5" s="77">
        <v>0.35483870967741937</v>
      </c>
      <c r="P5" s="9"/>
      <c r="Q5" s="9"/>
      <c r="R5" s="9"/>
      <c r="S5" s="11">
        <v>191</v>
      </c>
      <c r="T5" s="9" t="s">
        <v>188</v>
      </c>
      <c r="U5" s="11">
        <f>S5/(5000/H5)</f>
        <v>2.143402</v>
      </c>
      <c r="V5" s="9" t="s">
        <v>189</v>
      </c>
      <c r="W5" s="9" t="s">
        <v>121</v>
      </c>
      <c r="X5" s="348"/>
      <c r="Y5" s="89">
        <f t="shared" ref="Y5:Y18" si="3">U5*O5</f>
        <v>0.76056200000000007</v>
      </c>
      <c r="Z5" s="314"/>
      <c r="AA5" s="314"/>
      <c r="AB5" s="314"/>
    </row>
    <row r="6" spans="1:28">
      <c r="A6" s="293"/>
      <c r="B6" s="9"/>
      <c r="C6" s="9"/>
      <c r="D6" s="9" t="s">
        <v>25</v>
      </c>
      <c r="E6" s="17" t="s">
        <v>115</v>
      </c>
      <c r="F6" s="42" t="s">
        <v>22</v>
      </c>
      <c r="G6" s="9"/>
      <c r="H6" s="11">
        <v>58.44</v>
      </c>
      <c r="I6" s="9">
        <v>2.16</v>
      </c>
      <c r="J6" s="11">
        <f t="shared" ref="J6:J10" si="4">O6/O$4</f>
        <v>0.6075505617977528</v>
      </c>
      <c r="K6" s="9" t="s">
        <v>118</v>
      </c>
      <c r="L6" s="11">
        <f>H6*O6</f>
        <v>17.532</v>
      </c>
      <c r="M6" s="11">
        <f t="shared" si="2"/>
        <v>1.7531999999999999E-2</v>
      </c>
      <c r="N6" s="11">
        <f t="shared" si="1"/>
        <v>8.1166666666666654</v>
      </c>
      <c r="O6" s="77">
        <v>0.3</v>
      </c>
      <c r="P6" s="9"/>
      <c r="Q6" s="9"/>
      <c r="R6" s="9"/>
      <c r="S6" s="11">
        <v>528</v>
      </c>
      <c r="T6" s="9" t="s">
        <v>32</v>
      </c>
      <c r="U6" s="11">
        <f>S6/(50000/H6)</f>
        <v>0.61712639999999996</v>
      </c>
      <c r="V6" s="189" t="s">
        <v>173</v>
      </c>
      <c r="W6" s="9" t="s">
        <v>66</v>
      </c>
      <c r="X6" s="348"/>
      <c r="Y6" s="89">
        <f>U6*O6</f>
        <v>0.18513791999999998</v>
      </c>
      <c r="Z6" s="314"/>
      <c r="AA6" s="314"/>
      <c r="AB6" s="314"/>
    </row>
    <row r="7" spans="1:28" s="35" customFormat="1" ht="17.5">
      <c r="A7" s="293"/>
      <c r="B7" s="14"/>
      <c r="C7" s="14"/>
      <c r="D7" s="14" t="s">
        <v>117</v>
      </c>
      <c r="E7" s="110" t="s">
        <v>116</v>
      </c>
      <c r="F7" s="156" t="s">
        <v>19</v>
      </c>
      <c r="G7" s="14"/>
      <c r="H7" s="22">
        <v>18.02</v>
      </c>
      <c r="I7" s="12">
        <v>1</v>
      </c>
      <c r="J7" s="12">
        <f t="shared" si="4"/>
        <v>2.8939006596914791</v>
      </c>
      <c r="K7" s="14" t="s">
        <v>119</v>
      </c>
      <c r="L7" s="14">
        <f t="shared" si="0"/>
        <v>25.75</v>
      </c>
      <c r="M7" s="12">
        <f t="shared" si="2"/>
        <v>2.5749999999999999E-2</v>
      </c>
      <c r="N7" s="14">
        <f t="shared" si="1"/>
        <v>25.75</v>
      </c>
      <c r="O7" s="120">
        <v>1.4289678135405106</v>
      </c>
      <c r="P7" s="14"/>
      <c r="Q7" s="14"/>
      <c r="R7" s="14"/>
      <c r="S7" s="22">
        <f>285</f>
        <v>285</v>
      </c>
      <c r="T7" s="21" t="s">
        <v>108</v>
      </c>
      <c r="U7" s="22">
        <f>S7/((I7*16000)/H7)</f>
        <v>0.32098125</v>
      </c>
      <c r="V7" s="21" t="s">
        <v>172</v>
      </c>
      <c r="W7" s="200" t="s">
        <v>61</v>
      </c>
      <c r="X7" s="348"/>
      <c r="Y7" s="199">
        <f>U7*O7</f>
        <v>0.45867187500000001</v>
      </c>
      <c r="Z7" s="314"/>
      <c r="AA7" s="314"/>
      <c r="AB7" s="314"/>
    </row>
    <row r="8" spans="1:28" ht="17.5">
      <c r="A8" s="293"/>
      <c r="B8" s="9"/>
      <c r="C8" s="9"/>
      <c r="D8" s="9" t="s">
        <v>168</v>
      </c>
      <c r="E8" s="17" t="s">
        <v>122</v>
      </c>
      <c r="F8" s="42" t="s">
        <v>22</v>
      </c>
      <c r="G8" s="9"/>
      <c r="H8" s="9">
        <v>126.58</v>
      </c>
      <c r="I8" s="11">
        <v>1.1000000000000001</v>
      </c>
      <c r="J8" s="11">
        <f t="shared" si="4"/>
        <v>0.39997798612060409</v>
      </c>
      <c r="K8" s="9"/>
      <c r="L8" s="11">
        <f t="shared" si="0"/>
        <v>25</v>
      </c>
      <c r="M8" s="11">
        <f t="shared" si="2"/>
        <v>2.5000000000000001E-2</v>
      </c>
      <c r="N8" s="11">
        <f t="shared" si="1"/>
        <v>22.727272727272727</v>
      </c>
      <c r="O8" s="77">
        <f>1250/6329</f>
        <v>0.19750355506399114</v>
      </c>
      <c r="P8" s="9"/>
      <c r="Q8" s="9"/>
      <c r="R8" s="9"/>
      <c r="S8" s="11">
        <v>159</v>
      </c>
      <c r="T8" s="9" t="s">
        <v>123</v>
      </c>
      <c r="U8" s="11">
        <f>S8/(4000/H8)</f>
        <v>5.031555</v>
      </c>
      <c r="V8" s="9" t="s">
        <v>124</v>
      </c>
      <c r="W8" s="9" t="s">
        <v>125</v>
      </c>
      <c r="X8" s="348"/>
      <c r="Y8" s="89">
        <f>U8*O8</f>
        <v>0.99374999999999991</v>
      </c>
      <c r="Z8" s="314"/>
      <c r="AA8" s="314"/>
      <c r="AB8" s="314"/>
    </row>
    <row r="9" spans="1:28" s="35" customFormat="1" ht="17.5">
      <c r="A9" s="293"/>
      <c r="B9" s="14"/>
      <c r="C9" s="14"/>
      <c r="D9" s="17" t="s">
        <v>167</v>
      </c>
      <c r="E9" s="17" t="s">
        <v>127</v>
      </c>
      <c r="F9" s="190" t="s">
        <v>18</v>
      </c>
      <c r="G9" s="14"/>
      <c r="H9" s="14">
        <v>74.12</v>
      </c>
      <c r="I9" s="14">
        <v>0.70599999999999996</v>
      </c>
      <c r="J9" s="12">
        <f t="shared" si="4"/>
        <v>2.8934882390993257</v>
      </c>
      <c r="K9" s="14"/>
      <c r="L9" s="12">
        <f t="shared" si="0"/>
        <v>105.89999998392</v>
      </c>
      <c r="M9" s="12">
        <f t="shared" si="2"/>
        <v>0.10589999998392</v>
      </c>
      <c r="N9" s="12">
        <f>L9/I9</f>
        <v>149.99999997722381</v>
      </c>
      <c r="O9" s="120">
        <f>1.428764166</f>
        <v>1.4287641659999999</v>
      </c>
      <c r="P9" s="14"/>
      <c r="Q9" s="14"/>
      <c r="R9" s="14"/>
      <c r="S9" s="12">
        <v>531</v>
      </c>
      <c r="T9" s="14" t="s">
        <v>29</v>
      </c>
      <c r="U9" s="12">
        <f>S9/((6000*I9)/H9)</f>
        <v>9.2912464589235135</v>
      </c>
      <c r="V9" s="191" t="s">
        <v>190</v>
      </c>
      <c r="W9" s="14" t="s">
        <v>128</v>
      </c>
      <c r="X9" s="348"/>
      <c r="Y9" s="199">
        <f t="shared" ref="Y9:Y10" si="5">U9*O9</f>
        <v>13.274999997984306</v>
      </c>
      <c r="Z9" s="314"/>
      <c r="AA9" s="314"/>
      <c r="AB9" s="314"/>
    </row>
    <row r="10" spans="1:28" s="35" customFormat="1" ht="17.5">
      <c r="A10" s="293"/>
      <c r="B10" s="14"/>
      <c r="C10" s="14"/>
      <c r="D10" s="21" t="s">
        <v>19</v>
      </c>
      <c r="E10" s="21" t="s">
        <v>20</v>
      </c>
      <c r="F10" s="156" t="s">
        <v>19</v>
      </c>
      <c r="G10" s="14"/>
      <c r="H10" s="22">
        <v>18.02</v>
      </c>
      <c r="I10" s="12">
        <v>1</v>
      </c>
      <c r="J10" s="12">
        <f t="shared" si="4"/>
        <v>17.981518662160646</v>
      </c>
      <c r="K10" s="14"/>
      <c r="L10" s="12">
        <f>O10*H10</f>
        <v>160</v>
      </c>
      <c r="M10" s="12">
        <f t="shared" si="2"/>
        <v>0.16</v>
      </c>
      <c r="N10" s="12">
        <f>L10/I10</f>
        <v>160</v>
      </c>
      <c r="O10" s="12">
        <v>8.8790233074361815</v>
      </c>
      <c r="P10" s="14"/>
      <c r="Q10" s="14"/>
      <c r="R10" s="14"/>
      <c r="S10" s="22">
        <f>285</f>
        <v>285</v>
      </c>
      <c r="T10" s="21" t="s">
        <v>108</v>
      </c>
      <c r="U10" s="22">
        <f>S10/((I10*16000)/H10)</f>
        <v>0.32098125</v>
      </c>
      <c r="V10" s="21" t="s">
        <v>172</v>
      </c>
      <c r="W10" s="200" t="s">
        <v>61</v>
      </c>
      <c r="X10" s="348"/>
      <c r="Y10" s="199">
        <f t="shared" si="5"/>
        <v>2.8499999999999996</v>
      </c>
      <c r="Z10" s="314"/>
      <c r="AA10" s="314"/>
      <c r="AB10" s="314"/>
    </row>
    <row r="11" spans="1:28" ht="17.5">
      <c r="A11" s="336"/>
      <c r="B11" s="99"/>
      <c r="C11" s="111">
        <v>9</v>
      </c>
      <c r="E11" s="211" t="s">
        <v>57</v>
      </c>
      <c r="F11" s="211" t="s">
        <v>34</v>
      </c>
      <c r="G11" s="212" t="s">
        <v>102</v>
      </c>
      <c r="H11" s="99">
        <v>180.25</v>
      </c>
      <c r="I11" s="99"/>
      <c r="J11" s="99"/>
      <c r="K11" s="99"/>
      <c r="L11" s="99"/>
      <c r="M11" s="99"/>
      <c r="N11" s="99"/>
      <c r="O11" s="99"/>
      <c r="P11" s="215">
        <f>H11*R11</f>
        <v>77.434295938748335</v>
      </c>
      <c r="Q11" s="215">
        <f>P11/1000</f>
        <v>7.7434295938748329E-2</v>
      </c>
      <c r="R11" s="216">
        <v>0.42959387483355527</v>
      </c>
      <c r="S11" s="99"/>
      <c r="T11" s="99"/>
      <c r="U11" s="100"/>
      <c r="V11" s="99"/>
      <c r="W11" s="99"/>
      <c r="X11" s="294"/>
      <c r="Y11" s="90"/>
      <c r="Z11" s="226" t="s">
        <v>201</v>
      </c>
      <c r="AA11" s="319"/>
      <c r="AB11" s="254" t="s">
        <v>208</v>
      </c>
    </row>
    <row r="12" spans="1:28">
      <c r="A12" s="292" t="s">
        <v>275</v>
      </c>
      <c r="B12" s="31"/>
      <c r="C12" s="105"/>
      <c r="D12" s="31"/>
      <c r="E12" s="106"/>
      <c r="F12" s="109"/>
      <c r="G12" s="31"/>
      <c r="H12" s="31"/>
      <c r="I12" s="31"/>
      <c r="J12" s="31"/>
      <c r="K12" s="31"/>
      <c r="L12" s="31"/>
      <c r="M12" s="31"/>
      <c r="N12" s="31"/>
      <c r="O12" s="31"/>
      <c r="P12" s="32"/>
      <c r="Q12" s="32"/>
      <c r="R12" s="108"/>
      <c r="S12" s="31"/>
      <c r="T12" s="31"/>
      <c r="U12" s="32"/>
      <c r="V12" s="31"/>
      <c r="W12" s="31"/>
      <c r="X12" s="349">
        <f>R20/O13</f>
        <v>0.76999998915000034</v>
      </c>
      <c r="Y12" s="32"/>
      <c r="Z12" s="312">
        <v>0</v>
      </c>
      <c r="AA12" s="312">
        <v>1</v>
      </c>
      <c r="AB12" s="352">
        <v>3.5</v>
      </c>
    </row>
    <row r="13" spans="1:28" ht="17.5">
      <c r="A13" s="293"/>
      <c r="B13" s="8">
        <v>9</v>
      </c>
      <c r="C13" s="9"/>
      <c r="D13" s="75" t="s">
        <v>102</v>
      </c>
      <c r="E13" s="158" t="s">
        <v>57</v>
      </c>
      <c r="F13" s="158" t="s">
        <v>34</v>
      </c>
      <c r="G13" s="9"/>
      <c r="H13" s="9">
        <v>180.25</v>
      </c>
      <c r="I13" s="9">
        <v>1.0249999999999999</v>
      </c>
      <c r="J13" s="11">
        <f>O13/O$13</f>
        <v>1</v>
      </c>
      <c r="K13" s="9" t="s">
        <v>97</v>
      </c>
      <c r="L13" s="213">
        <f t="shared" ref="L13:L19" si="6">O13*H13</f>
        <v>4.9999999999999982</v>
      </c>
      <c r="M13" s="213">
        <f>L13/1000</f>
        <v>4.9999999999999984E-3</v>
      </c>
      <c r="N13" s="11">
        <f t="shared" ref="N13:N18" si="7">L13/I13</f>
        <v>4.8780487804878039</v>
      </c>
      <c r="O13" s="218">
        <v>2.7739251040221902E-2</v>
      </c>
      <c r="P13" s="9"/>
      <c r="Q13" s="9"/>
      <c r="R13" s="9"/>
      <c r="S13" s="9"/>
      <c r="T13" s="203" t="s">
        <v>112</v>
      </c>
      <c r="U13" s="173" t="s">
        <v>112</v>
      </c>
      <c r="V13" s="203" t="s">
        <v>112</v>
      </c>
      <c r="W13" s="203" t="s">
        <v>112</v>
      </c>
      <c r="X13" s="350"/>
      <c r="Y13" s="11"/>
      <c r="Z13" s="314"/>
      <c r="AA13" s="314"/>
      <c r="AB13" s="353"/>
    </row>
    <row r="14" spans="1:28" s="35" customFormat="1" ht="17.5">
      <c r="A14" s="293"/>
      <c r="B14" s="13"/>
      <c r="C14" s="14"/>
      <c r="D14" s="21" t="s">
        <v>19</v>
      </c>
      <c r="E14" s="21" t="s">
        <v>20</v>
      </c>
      <c r="F14" s="156" t="s">
        <v>19</v>
      </c>
      <c r="G14" s="14"/>
      <c r="H14" s="22">
        <v>18.02</v>
      </c>
      <c r="I14" s="12">
        <v>1</v>
      </c>
      <c r="J14" s="12">
        <f>O14/O$13</f>
        <v>88.484544950055536</v>
      </c>
      <c r="K14" s="14"/>
      <c r="L14" s="12">
        <f t="shared" si="6"/>
        <v>44.23</v>
      </c>
      <c r="M14" s="12">
        <f>L14/1000</f>
        <v>4.4229999999999998E-2</v>
      </c>
      <c r="N14" s="14">
        <f t="shared" si="7"/>
        <v>44.23</v>
      </c>
      <c r="O14" s="12">
        <v>2.4544950055493895</v>
      </c>
      <c r="P14" s="14"/>
      <c r="Q14" s="14"/>
      <c r="R14" s="14"/>
      <c r="S14" s="201">
        <v>285</v>
      </c>
      <c r="T14" s="192" t="s">
        <v>108</v>
      </c>
      <c r="U14" s="22">
        <f>S14/((I14*16000)/H14)</f>
        <v>0.32098125</v>
      </c>
      <c r="V14" s="192" t="s">
        <v>172</v>
      </c>
      <c r="W14" s="21" t="s">
        <v>61</v>
      </c>
      <c r="X14" s="350"/>
      <c r="Y14" s="12">
        <f t="shared" si="3"/>
        <v>0.78784687499999995</v>
      </c>
      <c r="Z14" s="314"/>
      <c r="AA14" s="314"/>
      <c r="AB14" s="353"/>
    </row>
    <row r="15" spans="1:28">
      <c r="A15" s="293"/>
      <c r="B15" s="8"/>
      <c r="C15" s="9"/>
      <c r="D15" s="9" t="s">
        <v>91</v>
      </c>
      <c r="E15" s="17" t="s">
        <v>92</v>
      </c>
      <c r="F15" s="42" t="s">
        <v>22</v>
      </c>
      <c r="G15" s="9"/>
      <c r="H15" s="9">
        <v>102.89</v>
      </c>
      <c r="I15" s="9">
        <v>3.12</v>
      </c>
      <c r="J15" s="11">
        <f>O15/O$13</f>
        <v>0.10000000001652255</v>
      </c>
      <c r="K15" s="9" t="s">
        <v>96</v>
      </c>
      <c r="L15" s="12">
        <f t="shared" si="6"/>
        <v>0.285409154</v>
      </c>
      <c r="M15" s="12">
        <f t="shared" ref="M15:M19" si="8">L15/1000</f>
        <v>2.8540915400000001E-4</v>
      </c>
      <c r="N15" s="11">
        <f t="shared" si="7"/>
        <v>9.1477292948717939E-2</v>
      </c>
      <c r="O15" s="114">
        <v>2.7739251044805132E-3</v>
      </c>
      <c r="P15" s="9"/>
      <c r="Q15" s="9"/>
      <c r="R15" s="9"/>
      <c r="S15" s="11">
        <v>93.5</v>
      </c>
      <c r="T15" s="9" t="s">
        <v>16</v>
      </c>
      <c r="U15" s="11">
        <f>S15/(500/H15)</f>
        <v>19.24043</v>
      </c>
      <c r="V15" s="9" t="s">
        <v>105</v>
      </c>
      <c r="W15" s="9" t="s">
        <v>106</v>
      </c>
      <c r="X15" s="350"/>
      <c r="Y15" s="11">
        <f t="shared" si="3"/>
        <v>5.3371511798000003E-2</v>
      </c>
      <c r="Z15" s="314"/>
      <c r="AA15" s="314"/>
      <c r="AB15" s="353"/>
    </row>
    <row r="16" spans="1:28" s="35" customFormat="1">
      <c r="A16" s="293"/>
      <c r="B16" s="14"/>
      <c r="C16" s="14"/>
      <c r="D16" s="14" t="s">
        <v>55</v>
      </c>
      <c r="E16" s="14" t="s">
        <v>56</v>
      </c>
      <c r="F16" s="195" t="s">
        <v>22</v>
      </c>
      <c r="G16" s="14"/>
      <c r="H16" s="14">
        <v>74.44</v>
      </c>
      <c r="I16" s="14">
        <v>1.206</v>
      </c>
      <c r="J16" s="14">
        <f t="shared" ref="J16:J19" si="9">O16/O$13</f>
        <v>1.0500000000000005</v>
      </c>
      <c r="K16" s="14"/>
      <c r="L16" s="12">
        <f t="shared" si="6"/>
        <v>2.1681553398058253</v>
      </c>
      <c r="M16" s="12">
        <f t="shared" si="8"/>
        <v>2.1681553398058251E-3</v>
      </c>
      <c r="N16" s="12">
        <f t="shared" si="7"/>
        <v>1.7978070810993576</v>
      </c>
      <c r="O16" s="120">
        <v>2.9126213592233011E-2</v>
      </c>
      <c r="P16" s="14"/>
      <c r="Q16" s="14"/>
      <c r="R16" s="14"/>
      <c r="S16" s="12">
        <v>655</v>
      </c>
      <c r="T16" s="14" t="s">
        <v>53</v>
      </c>
      <c r="U16" s="12">
        <f>S16/((I16*18000)/H16)</f>
        <v>2.2460936060438548</v>
      </c>
      <c r="V16" s="14" t="s">
        <v>107</v>
      </c>
      <c r="W16" s="204" t="s">
        <v>58</v>
      </c>
      <c r="X16" s="350"/>
      <c r="Y16" s="12">
        <f t="shared" si="3"/>
        <v>6.5420202117782184E-2</v>
      </c>
      <c r="Z16" s="314"/>
      <c r="AA16" s="314"/>
      <c r="AB16" s="353"/>
    </row>
    <row r="17" spans="1:28" ht="17.5">
      <c r="A17" s="293"/>
      <c r="B17" s="9"/>
      <c r="C17" s="9"/>
      <c r="D17" s="9" t="s">
        <v>99</v>
      </c>
      <c r="E17" s="17" t="s">
        <v>31</v>
      </c>
      <c r="F17" s="42" t="s">
        <v>22</v>
      </c>
      <c r="G17" s="9"/>
      <c r="H17" s="9">
        <v>84.01</v>
      </c>
      <c r="I17" s="11">
        <v>2.2000000000000002</v>
      </c>
      <c r="J17" s="11">
        <f>O17/O$13</f>
        <v>4.9999999999600024E-2</v>
      </c>
      <c r="K17" s="9" t="s">
        <v>100</v>
      </c>
      <c r="L17" s="12">
        <f t="shared" si="6"/>
        <v>0.11651872399352001</v>
      </c>
      <c r="M17" s="12">
        <f t="shared" si="8"/>
        <v>1.1651872399352001E-4</v>
      </c>
      <c r="N17" s="11">
        <f t="shared" si="7"/>
        <v>5.2963056360690909E-2</v>
      </c>
      <c r="O17" s="77">
        <v>1.386962552E-3</v>
      </c>
      <c r="P17" s="9"/>
      <c r="Q17" s="9"/>
      <c r="R17" s="9"/>
      <c r="S17" s="11">
        <v>447</v>
      </c>
      <c r="T17" s="9" t="s">
        <v>32</v>
      </c>
      <c r="U17" s="11">
        <f>S17/(50000/H17)</f>
        <v>0.75104939999999998</v>
      </c>
      <c r="V17" s="9" t="s">
        <v>33</v>
      </c>
      <c r="W17" s="112" t="s">
        <v>70</v>
      </c>
      <c r="X17" s="350"/>
      <c r="Y17" s="11">
        <f t="shared" si="3"/>
        <v>1.0416773925020688E-3</v>
      </c>
      <c r="Z17" s="314"/>
      <c r="AA17" s="314"/>
      <c r="AB17" s="353"/>
    </row>
    <row r="18" spans="1:28" ht="17.5">
      <c r="A18" s="293"/>
      <c r="B18" s="9"/>
      <c r="C18" s="9"/>
      <c r="D18" s="9" t="s">
        <v>101</v>
      </c>
      <c r="E18" s="17" t="s">
        <v>94</v>
      </c>
      <c r="F18" s="116" t="s">
        <v>18</v>
      </c>
      <c r="G18" s="9"/>
      <c r="H18" s="9">
        <f>102.13</f>
        <v>102.13</v>
      </c>
      <c r="I18" s="9">
        <v>0.872</v>
      </c>
      <c r="J18" s="11">
        <f t="shared" si="9"/>
        <v>19.277505413705008</v>
      </c>
      <c r="K18" s="9"/>
      <c r="L18" s="12">
        <f t="shared" si="6"/>
        <v>54.613359997272994</v>
      </c>
      <c r="M18" s="12">
        <f t="shared" si="8"/>
        <v>5.4613359997272994E-2</v>
      </c>
      <c r="N18" s="9">
        <f t="shared" si="7"/>
        <v>62.629999996872698</v>
      </c>
      <c r="O18" s="77">
        <v>0.53474356209999996</v>
      </c>
      <c r="P18" s="9"/>
      <c r="Q18" s="9"/>
      <c r="R18" s="9"/>
      <c r="S18" s="11">
        <v>748</v>
      </c>
      <c r="T18" s="9" t="s">
        <v>108</v>
      </c>
      <c r="U18" s="11">
        <f>S18/((16000*I18)/H18)</f>
        <v>5.4754329128440355</v>
      </c>
      <c r="V18" s="17" t="s">
        <v>109</v>
      </c>
      <c r="W18" s="112" t="s">
        <v>93</v>
      </c>
      <c r="X18" s="350"/>
      <c r="Y18" s="11">
        <f t="shared" si="3"/>
        <v>2.9279524998537982</v>
      </c>
      <c r="Z18" s="314"/>
      <c r="AA18" s="314"/>
      <c r="AB18" s="353"/>
    </row>
    <row r="19" spans="1:28" s="163" customFormat="1" ht="16">
      <c r="A19" s="293"/>
      <c r="B19" s="45"/>
      <c r="C19" s="45"/>
      <c r="D19" s="45" t="s">
        <v>126</v>
      </c>
      <c r="E19" s="45" t="s">
        <v>165</v>
      </c>
      <c r="F19" s="157" t="s">
        <v>41</v>
      </c>
      <c r="G19" s="45"/>
      <c r="H19" s="45">
        <v>156.25</v>
      </c>
      <c r="I19" s="45" t="s">
        <v>112</v>
      </c>
      <c r="J19" s="45">
        <f t="shared" si="9"/>
        <v>1.0000000000000004E-2</v>
      </c>
      <c r="K19" s="45" t="s">
        <v>95</v>
      </c>
      <c r="L19" s="15">
        <f t="shared" si="6"/>
        <v>4.3342579750346742E-2</v>
      </c>
      <c r="M19" s="15">
        <f t="shared" si="8"/>
        <v>4.3342579750346742E-5</v>
      </c>
      <c r="N19" s="45" t="s">
        <v>112</v>
      </c>
      <c r="O19" s="160">
        <v>2.7739251040221914E-4</v>
      </c>
      <c r="P19" s="45"/>
      <c r="Q19" s="45"/>
      <c r="R19" s="45"/>
      <c r="S19" s="161">
        <v>151</v>
      </c>
      <c r="T19" s="45" t="s">
        <v>110</v>
      </c>
      <c r="U19" s="161">
        <f xml:space="preserve"> S19/(25/H19)</f>
        <v>943.75</v>
      </c>
      <c r="V19" s="45" t="s">
        <v>111</v>
      </c>
      <c r="W19" s="162" t="s">
        <v>59</v>
      </c>
      <c r="X19" s="350"/>
      <c r="Y19" s="161">
        <f>U19*O19</f>
        <v>0.26178918169209431</v>
      </c>
      <c r="Z19" s="314"/>
      <c r="AA19" s="314"/>
      <c r="AB19" s="353"/>
    </row>
    <row r="20" spans="1:28" ht="17.5">
      <c r="A20" s="336"/>
      <c r="B20" s="111"/>
      <c r="C20" s="111">
        <v>2</v>
      </c>
      <c r="D20" s="99"/>
      <c r="E20" s="65" t="s">
        <v>98</v>
      </c>
      <c r="F20" s="115" t="s">
        <v>104</v>
      </c>
      <c r="G20" s="99" t="s">
        <v>103</v>
      </c>
      <c r="H20" s="99">
        <v>178.23</v>
      </c>
      <c r="I20" s="99"/>
      <c r="J20" s="99"/>
      <c r="K20" s="99"/>
      <c r="L20" s="99"/>
      <c r="M20" s="99"/>
      <c r="N20" s="99"/>
      <c r="O20" s="99"/>
      <c r="P20" s="260">
        <f>R20*H20</f>
        <v>3.8068543152899998</v>
      </c>
      <c r="Q20" s="262">
        <f>P20/1000</f>
        <v>3.80685431529E-3</v>
      </c>
      <c r="R20" s="261">
        <v>2.1359223E-2</v>
      </c>
      <c r="S20" s="99"/>
      <c r="T20" s="99"/>
      <c r="U20" s="99"/>
      <c r="V20" s="99"/>
      <c r="W20" s="99"/>
      <c r="X20" s="351"/>
      <c r="Y20" s="100"/>
      <c r="Z20" s="319"/>
      <c r="AA20" s="319"/>
      <c r="AB20" s="354"/>
    </row>
    <row r="21" spans="1:28">
      <c r="A21" s="118"/>
      <c r="B21" s="118"/>
      <c r="C21" s="118"/>
      <c r="D21" s="118"/>
      <c r="E21" s="118"/>
      <c r="F21" s="118"/>
      <c r="G21" s="118"/>
      <c r="H21" s="118"/>
      <c r="I21" s="118"/>
      <c r="J21" s="118"/>
      <c r="K21" s="118"/>
      <c r="L21" s="118"/>
      <c r="M21" s="118"/>
      <c r="N21" s="118"/>
      <c r="O21" s="118"/>
      <c r="P21" s="118"/>
      <c r="Q21" s="118"/>
      <c r="R21" s="118"/>
      <c r="S21" s="118"/>
      <c r="T21" s="118"/>
      <c r="U21" s="118"/>
      <c r="V21" s="118"/>
      <c r="W21" s="118"/>
      <c r="X21" s="118"/>
      <c r="Y21" s="118"/>
      <c r="Z21" s="118"/>
      <c r="AA21" s="118"/>
      <c r="AB21" s="118"/>
    </row>
    <row r="22" spans="1:28">
      <c r="A22" s="118"/>
      <c r="B22" s="118"/>
      <c r="C22" s="118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</row>
    <row r="23" spans="1:28">
      <c r="A23" s="355" t="s">
        <v>191</v>
      </c>
      <c r="B23" s="356"/>
      <c r="C23" s="356"/>
      <c r="D23" s="356"/>
      <c r="E23" s="356"/>
      <c r="F23" s="356"/>
      <c r="G23" s="356"/>
      <c r="H23" s="356"/>
      <c r="I23" s="356"/>
      <c r="J23" s="356"/>
      <c r="K23" s="356"/>
      <c r="L23" s="356"/>
      <c r="M23" s="356"/>
      <c r="N23" s="356"/>
      <c r="O23" s="356"/>
      <c r="P23" s="356"/>
      <c r="Q23" s="356"/>
      <c r="R23" s="356"/>
      <c r="S23" s="356"/>
      <c r="T23" s="356"/>
      <c r="U23" s="356"/>
      <c r="V23" s="356"/>
      <c r="W23" s="356"/>
      <c r="X23" s="356"/>
      <c r="Y23" s="356"/>
      <c r="Z23" s="356"/>
      <c r="AA23" s="356"/>
      <c r="AB23" s="357"/>
    </row>
    <row r="24" spans="1:28">
      <c r="A24" s="1" t="s">
        <v>0</v>
      </c>
      <c r="B24" s="2" t="s">
        <v>1</v>
      </c>
      <c r="C24" s="3" t="s">
        <v>2</v>
      </c>
      <c r="D24" s="4" t="s">
        <v>3</v>
      </c>
      <c r="E24" s="5" t="s">
        <v>156</v>
      </c>
      <c r="F24" s="5" t="s">
        <v>4</v>
      </c>
      <c r="G24" s="5" t="s">
        <v>5</v>
      </c>
      <c r="H24" s="6" t="s">
        <v>157</v>
      </c>
      <c r="I24" s="1" t="s">
        <v>158</v>
      </c>
      <c r="J24" s="7" t="s">
        <v>6</v>
      </c>
      <c r="K24" s="1" t="s">
        <v>7</v>
      </c>
      <c r="L24" s="6" t="s">
        <v>8</v>
      </c>
      <c r="M24" s="80" t="s">
        <v>60</v>
      </c>
      <c r="N24" s="1" t="s">
        <v>9</v>
      </c>
      <c r="O24" s="6" t="s">
        <v>10</v>
      </c>
      <c r="P24" s="6" t="s">
        <v>11</v>
      </c>
      <c r="Q24" s="80" t="s">
        <v>82</v>
      </c>
      <c r="R24" s="1" t="s">
        <v>12</v>
      </c>
      <c r="S24" s="1" t="s">
        <v>171</v>
      </c>
      <c r="T24" s="1" t="s">
        <v>13</v>
      </c>
      <c r="U24" s="1" t="s">
        <v>170</v>
      </c>
      <c r="V24" s="53" t="s">
        <v>155</v>
      </c>
      <c r="W24" s="1" t="s">
        <v>154</v>
      </c>
      <c r="X24" s="1" t="s">
        <v>14</v>
      </c>
      <c r="Y24" s="1" t="s">
        <v>162</v>
      </c>
      <c r="Z24" s="147" t="s">
        <v>152</v>
      </c>
      <c r="AA24" s="7" t="s">
        <v>151</v>
      </c>
      <c r="AB24" s="125" t="s">
        <v>153</v>
      </c>
    </row>
    <row r="25" spans="1:28" ht="17.5">
      <c r="A25" s="292" t="s">
        <v>274</v>
      </c>
      <c r="B25" s="105">
        <v>8</v>
      </c>
      <c r="C25" s="31"/>
      <c r="D25" s="165" t="s">
        <v>51</v>
      </c>
      <c r="E25" s="166" t="s">
        <v>199</v>
      </c>
      <c r="F25" s="107" t="s">
        <v>255</v>
      </c>
      <c r="G25" s="31"/>
      <c r="H25" s="32">
        <v>90.12</v>
      </c>
      <c r="I25" s="32">
        <v>1.0169999999999999</v>
      </c>
      <c r="J25" s="32">
        <v>1</v>
      </c>
      <c r="K25" s="31"/>
      <c r="L25" s="32">
        <f t="shared" ref="L25:L30" si="10">H25*O25</f>
        <v>2.873403797407815</v>
      </c>
      <c r="M25" s="114">
        <f>L25/1000</f>
        <v>2.8734037974078152E-3</v>
      </c>
      <c r="N25" s="11">
        <f t="shared" ref="N25:N31" si="11">L25/I25</f>
        <v>2.8253724654944103</v>
      </c>
      <c r="O25" s="108">
        <v>3.1884196597956223E-2</v>
      </c>
      <c r="P25" s="31"/>
      <c r="Q25" s="31"/>
      <c r="R25" s="31"/>
      <c r="S25" s="32">
        <v>306</v>
      </c>
      <c r="T25" s="31" t="s">
        <v>53</v>
      </c>
      <c r="U25" s="32">
        <f>S25/((18000*I25)/H25)</f>
        <v>1.5064306784660768</v>
      </c>
      <c r="V25" s="109" t="s">
        <v>52</v>
      </c>
      <c r="W25" s="109" t="s">
        <v>54</v>
      </c>
      <c r="X25" s="347">
        <f>R32/O25</f>
        <v>0.86999999873849998</v>
      </c>
      <c r="Y25" s="88">
        <f>U25*O25</f>
        <v>4.8031331913404973E-2</v>
      </c>
      <c r="Z25" s="312">
        <v>25</v>
      </c>
      <c r="AA25" s="312">
        <v>1</v>
      </c>
      <c r="AB25" s="312">
        <v>6</v>
      </c>
    </row>
    <row r="26" spans="1:28">
      <c r="A26" s="293"/>
      <c r="B26" s="9"/>
      <c r="C26" s="9"/>
      <c r="D26" s="9" t="s">
        <v>113</v>
      </c>
      <c r="E26" s="9" t="s">
        <v>114</v>
      </c>
      <c r="F26" s="42" t="s">
        <v>22</v>
      </c>
      <c r="G26" s="9"/>
      <c r="H26" s="11">
        <v>56.11</v>
      </c>
      <c r="I26" s="9">
        <v>2.12</v>
      </c>
      <c r="J26" s="11">
        <f>O26/O$25</f>
        <v>0.71860819137368614</v>
      </c>
      <c r="K26" s="117"/>
      <c r="L26" s="11">
        <f t="shared" si="10"/>
        <v>1.2856060585705527</v>
      </c>
      <c r="M26" s="114">
        <f t="shared" ref="M26:M30" si="12">L26/1000</f>
        <v>1.2856060585705526E-3</v>
      </c>
      <c r="N26" s="11">
        <f t="shared" si="11"/>
        <v>0.60641795215592098</v>
      </c>
      <c r="O26" s="77">
        <f t="shared" ref="O26:O31" si="13">O$25*J5</f>
        <v>2.2912244850660356E-2</v>
      </c>
      <c r="P26" s="9"/>
      <c r="Q26" s="9"/>
      <c r="R26" s="9"/>
      <c r="S26" s="11">
        <v>191</v>
      </c>
      <c r="T26" s="9" t="s">
        <v>188</v>
      </c>
      <c r="U26" s="11">
        <f>S26/(5000/H26)</f>
        <v>2.143402</v>
      </c>
      <c r="V26" s="9" t="s">
        <v>189</v>
      </c>
      <c r="W26" s="9" t="s">
        <v>121</v>
      </c>
      <c r="X26" s="348"/>
      <c r="Y26" s="89">
        <f t="shared" ref="Y26:Y27" si="14">U26*O26</f>
        <v>4.9110151437395111E-2</v>
      </c>
      <c r="Z26" s="314"/>
      <c r="AA26" s="314"/>
      <c r="AB26" s="314"/>
    </row>
    <row r="27" spans="1:28">
      <c r="A27" s="293"/>
      <c r="B27" s="9"/>
      <c r="C27" s="9"/>
      <c r="D27" s="9" t="s">
        <v>25</v>
      </c>
      <c r="E27" s="17" t="s">
        <v>115</v>
      </c>
      <c r="F27" s="42" t="s">
        <v>22</v>
      </c>
      <c r="G27" s="9"/>
      <c r="H27" s="11">
        <v>58.44</v>
      </c>
      <c r="I27" s="9">
        <v>2.16</v>
      </c>
      <c r="J27" s="11">
        <f t="shared" ref="J27:J31" si="15">O27/O$25</f>
        <v>0.6075505617977528</v>
      </c>
      <c r="K27" s="9" t="s">
        <v>118</v>
      </c>
      <c r="L27" s="11">
        <f t="shared" si="10"/>
        <v>1.1320565253068271</v>
      </c>
      <c r="M27" s="114">
        <f t="shared" si="12"/>
        <v>1.1320565253068271E-3</v>
      </c>
      <c r="N27" s="11">
        <f t="shared" si="11"/>
        <v>0.52410024319760506</v>
      </c>
      <c r="O27" s="77">
        <f t="shared" si="13"/>
        <v>1.9371261555558301E-2</v>
      </c>
      <c r="P27" s="9"/>
      <c r="Q27" s="9"/>
      <c r="R27" s="9"/>
      <c r="S27" s="11">
        <v>528</v>
      </c>
      <c r="T27" s="9" t="s">
        <v>32</v>
      </c>
      <c r="U27" s="11">
        <f>S27/(50000/H27)</f>
        <v>0.61712639999999996</v>
      </c>
      <c r="V27" s="189" t="s">
        <v>173</v>
      </c>
      <c r="W27" s="9" t="s">
        <v>66</v>
      </c>
      <c r="X27" s="348"/>
      <c r="Y27" s="89">
        <f t="shared" si="14"/>
        <v>1.1954516907240094E-2</v>
      </c>
      <c r="Z27" s="314"/>
      <c r="AA27" s="314"/>
      <c r="AB27" s="314"/>
    </row>
    <row r="28" spans="1:28" s="35" customFormat="1" ht="17.5">
      <c r="A28" s="293"/>
      <c r="B28" s="14"/>
      <c r="C28" s="14"/>
      <c r="D28" s="14" t="s">
        <v>117</v>
      </c>
      <c r="E28" s="110" t="s">
        <v>116</v>
      </c>
      <c r="F28" s="156" t="s">
        <v>19</v>
      </c>
      <c r="G28" s="14"/>
      <c r="H28" s="22">
        <v>18.02</v>
      </c>
      <c r="I28" s="12">
        <v>1</v>
      </c>
      <c r="J28" s="12">
        <f t="shared" si="15"/>
        <v>2.8939006596914791</v>
      </c>
      <c r="K28" s="14" t="s">
        <v>119</v>
      </c>
      <c r="L28" s="12">
        <f t="shared" si="10"/>
        <v>1.6626999501854209</v>
      </c>
      <c r="M28" s="122">
        <f t="shared" si="12"/>
        <v>1.6626999501854209E-3</v>
      </c>
      <c r="N28" s="12">
        <f>L28/I28</f>
        <v>1.6626999501854209</v>
      </c>
      <c r="O28" s="120">
        <f t="shared" si="13"/>
        <v>9.2269697568558323E-2</v>
      </c>
      <c r="P28" s="14"/>
      <c r="Q28" s="14"/>
      <c r="R28" s="14"/>
      <c r="S28" s="22">
        <f>285</f>
        <v>285</v>
      </c>
      <c r="T28" s="21" t="s">
        <v>108</v>
      </c>
      <c r="U28" s="22">
        <f>S28/((I28*16000)/H28)</f>
        <v>0.32098125</v>
      </c>
      <c r="V28" s="21" t="s">
        <v>172</v>
      </c>
      <c r="W28" s="200" t="s">
        <v>61</v>
      </c>
      <c r="X28" s="348"/>
      <c r="Y28" s="199">
        <f>U28*O28</f>
        <v>2.9616842862677812E-2</v>
      </c>
      <c r="Z28" s="314"/>
      <c r="AA28" s="314"/>
      <c r="AB28" s="314"/>
    </row>
    <row r="29" spans="1:28" ht="17.5">
      <c r="A29" s="293"/>
      <c r="B29" s="9"/>
      <c r="C29" s="9"/>
      <c r="D29" s="9" t="s">
        <v>168</v>
      </c>
      <c r="E29" s="17" t="s">
        <v>122</v>
      </c>
      <c r="F29" s="42" t="s">
        <v>22</v>
      </c>
      <c r="G29" s="9"/>
      <c r="H29" s="9">
        <v>126.58</v>
      </c>
      <c r="I29" s="11">
        <v>1.1000000000000001</v>
      </c>
      <c r="J29" s="11">
        <f t="shared" si="15"/>
        <v>0.39997798612060409</v>
      </c>
      <c r="K29" s="9"/>
      <c r="L29" s="11">
        <f t="shared" si="10"/>
        <v>1.614271796296525</v>
      </c>
      <c r="M29" s="114">
        <f t="shared" si="12"/>
        <v>1.6142717962965251E-3</v>
      </c>
      <c r="N29" s="11">
        <f>L29/I29</f>
        <v>1.4675198148150226</v>
      </c>
      <c r="O29" s="77">
        <f t="shared" si="13"/>
        <v>1.2752976744323945E-2</v>
      </c>
      <c r="P29" s="9"/>
      <c r="Q29" s="9"/>
      <c r="R29" s="9"/>
      <c r="S29" s="11">
        <v>159</v>
      </c>
      <c r="T29" s="9" t="s">
        <v>123</v>
      </c>
      <c r="U29" s="11">
        <f>S29/(4000/H29)</f>
        <v>5.031555</v>
      </c>
      <c r="V29" s="9" t="s">
        <v>124</v>
      </c>
      <c r="W29" s="9" t="s">
        <v>125</v>
      </c>
      <c r="X29" s="348"/>
      <c r="Y29" s="89">
        <f>U29*O29</f>
        <v>6.4167303902786868E-2</v>
      </c>
      <c r="Z29" s="314"/>
      <c r="AA29" s="314"/>
      <c r="AB29" s="314"/>
    </row>
    <row r="30" spans="1:28" s="35" customFormat="1" ht="17.5">
      <c r="A30" s="293"/>
      <c r="B30" s="14"/>
      <c r="C30" s="14"/>
      <c r="D30" s="17" t="s">
        <v>167</v>
      </c>
      <c r="E30" s="17" t="s">
        <v>127</v>
      </c>
      <c r="F30" s="190" t="s">
        <v>18</v>
      </c>
      <c r="G30" s="14"/>
      <c r="H30" s="14">
        <v>74.12</v>
      </c>
      <c r="I30" s="14">
        <v>0.70599999999999996</v>
      </c>
      <c r="J30" s="12">
        <f t="shared" si="15"/>
        <v>2.8934882390993257</v>
      </c>
      <c r="K30" s="14"/>
      <c r="L30" s="12">
        <f t="shared" si="10"/>
        <v>6.8380553280737804</v>
      </c>
      <c r="M30" s="122">
        <f t="shared" si="12"/>
        <v>6.8380553280737799E-3</v>
      </c>
      <c r="N30" s="12">
        <f>L30/I30</f>
        <v>9.6856307763084715</v>
      </c>
      <c r="O30" s="120">
        <f t="shared" si="13"/>
        <v>9.2256547869317057E-2</v>
      </c>
      <c r="P30" s="14"/>
      <c r="Q30" s="14"/>
      <c r="R30" s="14"/>
      <c r="S30" s="12">
        <v>531</v>
      </c>
      <c r="T30" s="14" t="s">
        <v>29</v>
      </c>
      <c r="U30" s="12">
        <f>S30/((6000*I30)/H30)</f>
        <v>9.2912464589235135</v>
      </c>
      <c r="V30" s="191" t="s">
        <v>190</v>
      </c>
      <c r="W30" s="14" t="s">
        <v>128</v>
      </c>
      <c r="X30" s="348"/>
      <c r="Y30" s="199">
        <f t="shared" ref="Y30:Y31" si="16">U30*O30</f>
        <v>0.85717832370329972</v>
      </c>
      <c r="Z30" s="314"/>
      <c r="AA30" s="314"/>
      <c r="AB30" s="314"/>
    </row>
    <row r="31" spans="1:28" s="35" customFormat="1" ht="17.5">
      <c r="A31" s="293"/>
      <c r="B31" s="14"/>
      <c r="C31" s="14"/>
      <c r="D31" s="21" t="s">
        <v>19</v>
      </c>
      <c r="E31" s="21" t="s">
        <v>20</v>
      </c>
      <c r="F31" s="156" t="s">
        <v>19</v>
      </c>
      <c r="G31" s="14"/>
      <c r="H31" s="22">
        <v>18.02</v>
      </c>
      <c r="I31" s="12">
        <v>1</v>
      </c>
      <c r="J31" s="12">
        <f t="shared" si="15"/>
        <v>17.981518662160646</v>
      </c>
      <c r="K31" s="14"/>
      <c r="L31" s="12">
        <f>O31*H31</f>
        <v>10.33133949629776</v>
      </c>
      <c r="M31" s="122">
        <f>L31/1000</f>
        <v>1.033133949629776E-2</v>
      </c>
      <c r="N31" s="12">
        <f t="shared" si="11"/>
        <v>10.33133949629776</v>
      </c>
      <c r="O31" s="120">
        <f t="shared" si="13"/>
        <v>0.57332627615414877</v>
      </c>
      <c r="P31" s="14"/>
      <c r="Q31" s="14"/>
      <c r="R31" s="14"/>
      <c r="S31" s="201">
        <v>285</v>
      </c>
      <c r="T31" s="192" t="s">
        <v>108</v>
      </c>
      <c r="U31" s="22">
        <f>S31/((I31*16000)/H31)</f>
        <v>0.32098125</v>
      </c>
      <c r="V31" s="192" t="s">
        <v>172</v>
      </c>
      <c r="W31" s="21" t="s">
        <v>61</v>
      </c>
      <c r="X31" s="348"/>
      <c r="Y31" s="199">
        <f t="shared" si="16"/>
        <v>0.18402698477780385</v>
      </c>
      <c r="Z31" s="314"/>
      <c r="AA31" s="314"/>
      <c r="AB31" s="314"/>
    </row>
    <row r="32" spans="1:28" ht="17.5">
      <c r="A32" s="336"/>
      <c r="B32" s="99"/>
      <c r="C32" s="111">
        <v>9</v>
      </c>
      <c r="E32" s="211" t="s">
        <v>57</v>
      </c>
      <c r="F32" s="211" t="s">
        <v>34</v>
      </c>
      <c r="G32" s="212" t="s">
        <v>102</v>
      </c>
      <c r="H32" s="99">
        <v>180.25</v>
      </c>
      <c r="I32" s="99"/>
      <c r="J32" s="99"/>
      <c r="K32" s="99"/>
      <c r="L32" s="99"/>
      <c r="M32" s="99"/>
      <c r="N32" s="99"/>
      <c r="O32" s="99"/>
      <c r="P32" s="215">
        <f>H32*R32</f>
        <v>4.9999999927500003</v>
      </c>
      <c r="Q32" s="215">
        <f>P32/1000</f>
        <v>4.99999999275E-3</v>
      </c>
      <c r="R32" s="216">
        <f>O34</f>
        <v>2.7739250999999999E-2</v>
      </c>
      <c r="S32" s="99"/>
      <c r="T32" s="99"/>
      <c r="U32" s="100"/>
      <c r="V32" s="99"/>
      <c r="W32" s="99"/>
      <c r="X32" s="294"/>
      <c r="Y32" s="90"/>
      <c r="Z32" s="226" t="s">
        <v>201</v>
      </c>
      <c r="AA32" s="319"/>
      <c r="AB32" s="254" t="s">
        <v>208</v>
      </c>
    </row>
    <row r="33" spans="1:28">
      <c r="A33" s="292" t="s">
        <v>275</v>
      </c>
      <c r="B33" s="31"/>
      <c r="C33" s="105"/>
      <c r="D33" s="31"/>
      <c r="E33" s="106"/>
      <c r="F33" s="109"/>
      <c r="G33" s="31"/>
      <c r="H33" s="31"/>
      <c r="I33" s="31"/>
      <c r="J33" s="31"/>
      <c r="K33" s="31"/>
      <c r="L33" s="31"/>
      <c r="M33" s="31"/>
      <c r="N33" s="31"/>
      <c r="O33" s="31"/>
      <c r="P33" s="32"/>
      <c r="Q33" s="32"/>
      <c r="R33" s="108"/>
      <c r="S33" s="31"/>
      <c r="T33" s="31"/>
      <c r="U33" s="32"/>
      <c r="V33" s="31"/>
      <c r="W33" s="31"/>
      <c r="X33" s="349">
        <f>R41/O34</f>
        <v>0.76999999026650001</v>
      </c>
      <c r="Y33" s="32"/>
      <c r="Z33" s="312">
        <v>0</v>
      </c>
      <c r="AA33" s="312">
        <v>1</v>
      </c>
      <c r="AB33" s="352">
        <v>3.5</v>
      </c>
    </row>
    <row r="34" spans="1:28" ht="17.5">
      <c r="A34" s="293"/>
      <c r="B34" s="8">
        <v>9</v>
      </c>
      <c r="C34" s="9"/>
      <c r="D34" s="75" t="s">
        <v>102</v>
      </c>
      <c r="E34" s="158" t="s">
        <v>57</v>
      </c>
      <c r="F34" s="158" t="s">
        <v>34</v>
      </c>
      <c r="G34" s="9"/>
      <c r="H34" s="9">
        <v>180.25</v>
      </c>
      <c r="I34" s="9">
        <v>1.0249999999999999</v>
      </c>
      <c r="J34" s="11">
        <f>O34/O$34</f>
        <v>1</v>
      </c>
      <c r="K34" s="9" t="s">
        <v>97</v>
      </c>
      <c r="L34" s="213">
        <f t="shared" ref="L34:L40" si="17">O34*H34</f>
        <v>4.9999999927500003</v>
      </c>
      <c r="M34" s="213">
        <f>L34/1000</f>
        <v>4.99999999275E-3</v>
      </c>
      <c r="N34" s="11">
        <f t="shared" ref="N34:N39" si="18">L34/I34</f>
        <v>4.8780487734146352</v>
      </c>
      <c r="O34" s="217">
        <v>2.7739250999999999E-2</v>
      </c>
      <c r="P34" s="9"/>
      <c r="Q34" s="9"/>
      <c r="R34" s="9"/>
      <c r="S34" s="9"/>
      <c r="T34" s="203" t="s">
        <v>112</v>
      </c>
      <c r="U34" s="173" t="s">
        <v>112</v>
      </c>
      <c r="V34" s="203" t="s">
        <v>112</v>
      </c>
      <c r="W34" s="203" t="s">
        <v>112</v>
      </c>
      <c r="X34" s="350"/>
      <c r="Y34" s="11"/>
      <c r="Z34" s="314"/>
      <c r="AA34" s="314"/>
      <c r="AB34" s="353"/>
    </row>
    <row r="35" spans="1:28" s="35" customFormat="1" ht="17.5">
      <c r="A35" s="293"/>
      <c r="B35" s="13"/>
      <c r="C35" s="14"/>
      <c r="D35" s="21" t="s">
        <v>19</v>
      </c>
      <c r="E35" s="21" t="s">
        <v>20</v>
      </c>
      <c r="F35" s="156" t="s">
        <v>19</v>
      </c>
      <c r="G35" s="14"/>
      <c r="H35" s="22">
        <v>18.02</v>
      </c>
      <c r="I35" s="12">
        <v>1</v>
      </c>
      <c r="J35" s="12">
        <f t="shared" ref="J35:J40" si="19">O35/O$34</f>
        <v>88.484545094602595</v>
      </c>
      <c r="K35" s="14"/>
      <c r="L35" s="12">
        <f t="shared" si="17"/>
        <v>44.230000008120001</v>
      </c>
      <c r="M35" s="12">
        <f>L35/1000</f>
        <v>4.4230000008120003E-2</v>
      </c>
      <c r="N35" s="12">
        <f t="shared" si="18"/>
        <v>44.230000008120001</v>
      </c>
      <c r="O35" s="202">
        <v>2.4544950060000001</v>
      </c>
      <c r="P35" s="14"/>
      <c r="Q35" s="14"/>
      <c r="R35" s="14"/>
      <c r="S35" s="201">
        <v>285</v>
      </c>
      <c r="T35" s="192" t="s">
        <v>108</v>
      </c>
      <c r="U35" s="22">
        <f>S35/((I35*16000)/H35)</f>
        <v>0.32098125</v>
      </c>
      <c r="V35" s="192" t="s">
        <v>172</v>
      </c>
      <c r="W35" s="14" t="s">
        <v>61</v>
      </c>
      <c r="X35" s="350"/>
      <c r="Y35" s="12">
        <f t="shared" ref="Y35:Y39" si="20">U35*O35</f>
        <v>0.78784687514463758</v>
      </c>
      <c r="Z35" s="314"/>
      <c r="AA35" s="314"/>
      <c r="AB35" s="353"/>
    </row>
    <row r="36" spans="1:28">
      <c r="A36" s="293"/>
      <c r="B36" s="8"/>
      <c r="C36" s="9"/>
      <c r="D36" s="9" t="s">
        <v>91</v>
      </c>
      <c r="E36" s="17" t="s">
        <v>92</v>
      </c>
      <c r="F36" s="42" t="s">
        <v>22</v>
      </c>
      <c r="G36" s="9"/>
      <c r="H36" s="9">
        <v>102.89</v>
      </c>
      <c r="I36" s="9">
        <v>3.12</v>
      </c>
      <c r="J36" s="11">
        <f>O36/O$34</f>
        <v>9.9999996394999999E-2</v>
      </c>
      <c r="K36" s="9" t="s">
        <v>96</v>
      </c>
      <c r="L36" s="11">
        <f t="shared" si="17"/>
        <v>0.28540914325</v>
      </c>
      <c r="M36" s="11">
        <f t="shared" ref="M36:M40" si="21">L36/1000</f>
        <v>2.8540914325E-4</v>
      </c>
      <c r="N36" s="11">
        <f t="shared" si="18"/>
        <v>9.147728950320512E-2</v>
      </c>
      <c r="O36" s="119">
        <v>2.773925E-3</v>
      </c>
      <c r="P36" s="9"/>
      <c r="Q36" s="9"/>
      <c r="R36" s="9"/>
      <c r="S36" s="11">
        <v>93.5</v>
      </c>
      <c r="T36" s="9" t="s">
        <v>16</v>
      </c>
      <c r="U36" s="11">
        <f>S36/(500/H36)</f>
        <v>19.24043</v>
      </c>
      <c r="V36" s="9" t="s">
        <v>105</v>
      </c>
      <c r="W36" s="9" t="s">
        <v>106</v>
      </c>
      <c r="X36" s="350"/>
      <c r="Y36" s="11">
        <f t="shared" si="20"/>
        <v>5.3371509787750002E-2</v>
      </c>
      <c r="Z36" s="314"/>
      <c r="AA36" s="314"/>
      <c r="AB36" s="353"/>
    </row>
    <row r="37" spans="1:28">
      <c r="A37" s="293"/>
      <c r="B37" s="14"/>
      <c r="C37" s="14"/>
      <c r="D37" s="9" t="s">
        <v>55</v>
      </c>
      <c r="E37" s="9" t="s">
        <v>56</v>
      </c>
      <c r="F37" s="42" t="s">
        <v>22</v>
      </c>
      <c r="G37" s="9"/>
      <c r="H37" s="9">
        <v>74.44</v>
      </c>
      <c r="I37" s="9">
        <v>1.206</v>
      </c>
      <c r="J37" s="11">
        <f t="shared" si="19"/>
        <v>1.0500000162225001</v>
      </c>
      <c r="K37" s="9"/>
      <c r="L37" s="11">
        <f t="shared" si="17"/>
        <v>2.16815537016</v>
      </c>
      <c r="M37" s="11">
        <f t="shared" si="21"/>
        <v>2.16815537016E-3</v>
      </c>
      <c r="N37" s="11">
        <f t="shared" si="18"/>
        <v>1.7978071062686569</v>
      </c>
      <c r="O37" s="119">
        <v>2.9126214000000001E-2</v>
      </c>
      <c r="P37" s="9"/>
      <c r="Q37" s="9"/>
      <c r="R37" s="9"/>
      <c r="S37" s="11">
        <v>655</v>
      </c>
      <c r="T37" s="9" t="s">
        <v>53</v>
      </c>
      <c r="U37" s="11">
        <f>S37/((I37*18000)/H37)</f>
        <v>2.2460936060438548</v>
      </c>
      <c r="V37" s="9" t="s">
        <v>107</v>
      </c>
      <c r="W37" s="112" t="s">
        <v>58</v>
      </c>
      <c r="X37" s="350"/>
      <c r="Y37" s="11">
        <f t="shared" si="20"/>
        <v>6.5420203033665011E-2</v>
      </c>
      <c r="Z37" s="314"/>
      <c r="AA37" s="314"/>
      <c r="AB37" s="353"/>
    </row>
    <row r="38" spans="1:28" ht="17.5">
      <c r="A38" s="293"/>
      <c r="B38" s="9"/>
      <c r="C38" s="9"/>
      <c r="D38" s="9" t="s">
        <v>99</v>
      </c>
      <c r="E38" s="17" t="s">
        <v>31</v>
      </c>
      <c r="F38" s="42" t="s">
        <v>22</v>
      </c>
      <c r="G38" s="9"/>
      <c r="H38" s="9">
        <v>84.01</v>
      </c>
      <c r="I38" s="11">
        <v>2.2000000000000002</v>
      </c>
      <c r="J38" s="11">
        <f>O38/O$34</f>
        <v>5.000001622250002E-2</v>
      </c>
      <c r="K38" s="9" t="s">
        <v>100</v>
      </c>
      <c r="L38" s="11">
        <f t="shared" si="17"/>
        <v>0.11651876163000001</v>
      </c>
      <c r="M38" s="11">
        <f t="shared" si="21"/>
        <v>1.1651876163000001E-4</v>
      </c>
      <c r="N38" s="11">
        <f t="shared" si="18"/>
        <v>5.2963073468181819E-2</v>
      </c>
      <c r="O38" s="119">
        <v>1.386963E-3</v>
      </c>
      <c r="P38" s="9"/>
      <c r="Q38" s="9"/>
      <c r="R38" s="9"/>
      <c r="S38" s="11">
        <v>447</v>
      </c>
      <c r="T38" s="9" t="s">
        <v>32</v>
      </c>
      <c r="U38" s="11">
        <f>S38/(50000/H38)</f>
        <v>0.75104939999999998</v>
      </c>
      <c r="V38" s="9" t="s">
        <v>33</v>
      </c>
      <c r="W38" s="112" t="s">
        <v>70</v>
      </c>
      <c r="X38" s="350"/>
      <c r="Y38" s="11">
        <f t="shared" si="20"/>
        <v>1.0416777289721998E-3</v>
      </c>
      <c r="Z38" s="314"/>
      <c r="AA38" s="314"/>
      <c r="AB38" s="353"/>
    </row>
    <row r="39" spans="1:28" ht="17.5">
      <c r="A39" s="293"/>
      <c r="B39" s="9"/>
      <c r="C39" s="9"/>
      <c r="D39" s="9" t="s">
        <v>101</v>
      </c>
      <c r="E39" s="17" t="s">
        <v>94</v>
      </c>
      <c r="F39" s="116" t="s">
        <v>18</v>
      </c>
      <c r="G39" s="9"/>
      <c r="H39" s="9">
        <f>102.13</f>
        <v>102.13</v>
      </c>
      <c r="I39" s="9">
        <v>0.872</v>
      </c>
      <c r="J39" s="11">
        <f t="shared" si="19"/>
        <v>19.27750543805238</v>
      </c>
      <c r="K39" s="9"/>
      <c r="L39" s="11">
        <f t="shared" si="17"/>
        <v>54.613359987059994</v>
      </c>
      <c r="M39" s="11">
        <f t="shared" si="21"/>
        <v>5.4613359987059996E-2</v>
      </c>
      <c r="N39" s="11">
        <f t="shared" si="18"/>
        <v>62.629999985160545</v>
      </c>
      <c r="O39" s="119">
        <v>0.53474356199999995</v>
      </c>
      <c r="P39" s="9"/>
      <c r="Q39" s="9"/>
      <c r="R39" s="9"/>
      <c r="S39" s="11">
        <v>748</v>
      </c>
      <c r="T39" s="9" t="s">
        <v>108</v>
      </c>
      <c r="U39" s="11">
        <f>S39/((16000*I39)/H39)</f>
        <v>5.4754329128440355</v>
      </c>
      <c r="V39" s="17" t="s">
        <v>109</v>
      </c>
      <c r="W39" s="112" t="s">
        <v>93</v>
      </c>
      <c r="X39" s="350"/>
      <c r="Y39" s="11">
        <f t="shared" si="20"/>
        <v>2.9279524993062549</v>
      </c>
      <c r="Z39" s="314"/>
      <c r="AA39" s="314"/>
      <c r="AB39" s="353"/>
    </row>
    <row r="40" spans="1:28" s="163" customFormat="1" ht="16">
      <c r="A40" s="293"/>
      <c r="B40" s="45"/>
      <c r="C40" s="45"/>
      <c r="D40" s="45" t="s">
        <v>126</v>
      </c>
      <c r="E40" s="45" t="s">
        <v>165</v>
      </c>
      <c r="F40" s="157" t="s">
        <v>41</v>
      </c>
      <c r="G40" s="45"/>
      <c r="H40" s="45">
        <v>156.25</v>
      </c>
      <c r="I40" s="45" t="s">
        <v>112</v>
      </c>
      <c r="J40" s="161">
        <f t="shared" si="19"/>
        <v>1.0000017664500026E-2</v>
      </c>
      <c r="K40" s="45" t="s">
        <v>95</v>
      </c>
      <c r="L40" s="161">
        <f t="shared" si="17"/>
        <v>4.334265625E-2</v>
      </c>
      <c r="M40" s="161">
        <f t="shared" si="21"/>
        <v>4.334265625E-5</v>
      </c>
      <c r="N40" s="45" t="s">
        <v>112</v>
      </c>
      <c r="O40" s="164">
        <v>2.7739300000000002E-4</v>
      </c>
      <c r="P40" s="45"/>
      <c r="Q40" s="45"/>
      <c r="R40" s="45"/>
      <c r="S40" s="161">
        <v>151</v>
      </c>
      <c r="T40" s="45" t="s">
        <v>110</v>
      </c>
      <c r="U40" s="161">
        <f xml:space="preserve"> S40/(25/H40)</f>
        <v>943.75</v>
      </c>
      <c r="V40" s="45" t="s">
        <v>111</v>
      </c>
      <c r="W40" s="162" t="s">
        <v>59</v>
      </c>
      <c r="X40" s="350"/>
      <c r="Y40" s="161">
        <f>U40*O40</f>
        <v>0.26178964375000002</v>
      </c>
      <c r="Z40" s="314"/>
      <c r="AA40" s="314"/>
      <c r="AB40" s="353"/>
    </row>
    <row r="41" spans="1:28" ht="17.5">
      <c r="A41" s="336"/>
      <c r="B41" s="111"/>
      <c r="C41" s="111">
        <v>2</v>
      </c>
      <c r="D41" s="99"/>
      <c r="E41" s="65" t="s">
        <v>98</v>
      </c>
      <c r="F41" s="115" t="s">
        <v>104</v>
      </c>
      <c r="G41" s="99" t="s">
        <v>103</v>
      </c>
      <c r="H41" s="99">
        <v>178.23</v>
      </c>
      <c r="I41" s="99"/>
      <c r="J41" s="99"/>
      <c r="K41" s="99"/>
      <c r="L41" s="99"/>
      <c r="M41" s="99"/>
      <c r="N41" s="99"/>
      <c r="O41" s="99"/>
      <c r="P41" s="260">
        <f>R41*H41</f>
        <v>3.8068543152899998</v>
      </c>
      <c r="Q41" s="262">
        <f>P41/1000</f>
        <v>3.80685431529E-3</v>
      </c>
      <c r="R41" s="261">
        <v>2.1359223E-2</v>
      </c>
      <c r="S41" s="99"/>
      <c r="T41" s="99"/>
      <c r="U41" s="99"/>
      <c r="V41" s="99"/>
      <c r="W41" s="99"/>
      <c r="X41" s="351"/>
      <c r="Y41" s="113"/>
      <c r="Z41" s="319"/>
      <c r="AA41" s="319"/>
      <c r="AB41" s="354"/>
    </row>
    <row r="42" spans="1:28">
      <c r="A42" s="118"/>
      <c r="B42" s="118"/>
      <c r="C42" s="118"/>
      <c r="D42" s="118"/>
      <c r="E42" s="118"/>
      <c r="F42" s="118"/>
      <c r="G42" s="118"/>
      <c r="H42" s="118"/>
      <c r="I42" s="118"/>
      <c r="J42" s="118"/>
      <c r="K42" s="118"/>
      <c r="L42" s="118"/>
      <c r="M42" s="118"/>
      <c r="N42" s="118"/>
      <c r="O42" s="118"/>
      <c r="P42" s="118"/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  <c r="AB42" s="118"/>
    </row>
    <row r="43" spans="1:28">
      <c r="A43" s="118"/>
      <c r="B43" s="118"/>
      <c r="C43" s="118"/>
      <c r="D43" s="118"/>
      <c r="E43" s="118"/>
      <c r="F43" s="118"/>
      <c r="G43" s="118"/>
      <c r="H43" s="118"/>
      <c r="I43" s="118"/>
      <c r="J43" s="118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18"/>
      <c r="Y43" s="118"/>
      <c r="Z43" s="118"/>
      <c r="AA43" s="118"/>
      <c r="AB43" s="118"/>
    </row>
    <row r="44" spans="1:28">
      <c r="A44" s="355" t="s">
        <v>192</v>
      </c>
      <c r="B44" s="356"/>
      <c r="C44" s="356"/>
      <c r="D44" s="356"/>
      <c r="E44" s="356"/>
      <c r="F44" s="356"/>
      <c r="G44" s="356"/>
      <c r="H44" s="356"/>
      <c r="I44" s="356"/>
      <c r="J44" s="356"/>
      <c r="K44" s="356"/>
      <c r="L44" s="356"/>
      <c r="M44" s="356"/>
      <c r="N44" s="356"/>
      <c r="O44" s="356"/>
      <c r="P44" s="356"/>
      <c r="Q44" s="356"/>
      <c r="R44" s="356"/>
      <c r="S44" s="356"/>
      <c r="T44" s="356"/>
      <c r="U44" s="356"/>
      <c r="V44" s="356"/>
      <c r="W44" s="356"/>
      <c r="X44" s="356"/>
      <c r="Y44" s="356"/>
      <c r="Z44" s="356"/>
      <c r="AA44" s="356"/>
      <c r="AB44" s="357"/>
    </row>
    <row r="45" spans="1:28">
      <c r="A45" s="1" t="s">
        <v>0</v>
      </c>
      <c r="B45" s="2" t="s">
        <v>1</v>
      </c>
      <c r="C45" s="3" t="s">
        <v>2</v>
      </c>
      <c r="D45" s="4" t="s">
        <v>3</v>
      </c>
      <c r="E45" s="5" t="s">
        <v>156</v>
      </c>
      <c r="F45" s="5" t="s">
        <v>4</v>
      </c>
      <c r="G45" s="5" t="s">
        <v>5</v>
      </c>
      <c r="H45" s="6" t="s">
        <v>157</v>
      </c>
      <c r="I45" s="1" t="s">
        <v>158</v>
      </c>
      <c r="J45" s="7" t="s">
        <v>6</v>
      </c>
      <c r="K45" s="1" t="s">
        <v>7</v>
      </c>
      <c r="L45" s="6" t="s">
        <v>8</v>
      </c>
      <c r="M45" s="80" t="s">
        <v>60</v>
      </c>
      <c r="N45" s="1" t="s">
        <v>9</v>
      </c>
      <c r="O45" s="6" t="s">
        <v>10</v>
      </c>
      <c r="P45" s="6" t="s">
        <v>11</v>
      </c>
      <c r="Q45" s="80" t="s">
        <v>82</v>
      </c>
      <c r="R45" s="1" t="s">
        <v>12</v>
      </c>
      <c r="S45" s="1" t="s">
        <v>171</v>
      </c>
      <c r="T45" s="1" t="s">
        <v>13</v>
      </c>
      <c r="U45" s="1" t="s">
        <v>170</v>
      </c>
      <c r="V45" s="53" t="s">
        <v>155</v>
      </c>
      <c r="W45" s="1" t="s">
        <v>154</v>
      </c>
      <c r="X45" s="1" t="s">
        <v>14</v>
      </c>
      <c r="Y45" s="1" t="s">
        <v>162</v>
      </c>
      <c r="Z45" s="147" t="s">
        <v>152</v>
      </c>
      <c r="AA45" s="7" t="s">
        <v>151</v>
      </c>
      <c r="AB45" s="125" t="s">
        <v>153</v>
      </c>
    </row>
    <row r="46" spans="1:28" ht="17.5">
      <c r="A46" s="292" t="s">
        <v>274</v>
      </c>
      <c r="B46" s="105">
        <v>8</v>
      </c>
      <c r="C46" s="31"/>
      <c r="D46" s="165" t="s">
        <v>51</v>
      </c>
      <c r="E46" s="166" t="s">
        <v>199</v>
      </c>
      <c r="F46" s="107" t="s">
        <v>255</v>
      </c>
      <c r="G46" s="31"/>
      <c r="H46" s="32">
        <v>90.12</v>
      </c>
      <c r="I46" s="32">
        <v>1.0169999999999999</v>
      </c>
      <c r="J46" s="32">
        <f>O46/O46</f>
        <v>1</v>
      </c>
      <c r="K46" s="31"/>
      <c r="L46" s="32">
        <f t="shared" ref="L46:L51" si="22">H46*O46</f>
        <v>754.79740461254073</v>
      </c>
      <c r="M46" s="11">
        <f>L46/1000</f>
        <v>0.75479740461254075</v>
      </c>
      <c r="N46" s="11">
        <f t="shared" ref="N46:N52" si="23">L46/I46</f>
        <v>742.1803388520558</v>
      </c>
      <c r="O46" s="60">
        <v>8.3754705349815879</v>
      </c>
      <c r="P46" s="31"/>
      <c r="Q46" s="31"/>
      <c r="R46" s="31"/>
      <c r="S46" s="32">
        <v>306</v>
      </c>
      <c r="T46" s="31" t="s">
        <v>53</v>
      </c>
      <c r="U46" s="32">
        <f>S46/((18000*I46)/H46)</f>
        <v>1.5064306784660768</v>
      </c>
      <c r="V46" s="109" t="s">
        <v>52</v>
      </c>
      <c r="W46" s="109" t="s">
        <v>54</v>
      </c>
      <c r="X46" s="347">
        <f>R53/O46</f>
        <v>0.87000000000000011</v>
      </c>
      <c r="Y46" s="88">
        <f>U46*O46</f>
        <v>12.617065760484948</v>
      </c>
      <c r="Z46" s="312">
        <v>25</v>
      </c>
      <c r="AA46" s="312">
        <v>1</v>
      </c>
      <c r="AB46" s="312">
        <v>6</v>
      </c>
    </row>
    <row r="47" spans="1:28">
      <c r="A47" s="293"/>
      <c r="B47" s="9"/>
      <c r="C47" s="9"/>
      <c r="D47" s="9" t="s">
        <v>113</v>
      </c>
      <c r="E47" s="9" t="s">
        <v>114</v>
      </c>
      <c r="F47" s="42" t="s">
        <v>22</v>
      </c>
      <c r="G47" s="9"/>
      <c r="H47" s="11">
        <v>56.11</v>
      </c>
      <c r="I47" s="9">
        <v>2.12</v>
      </c>
      <c r="J47" s="11">
        <f>O47/O$46</f>
        <v>0.71860819137368614</v>
      </c>
      <c r="K47" s="117"/>
      <c r="L47" s="11">
        <f t="shared" si="22"/>
        <v>337.70823204125139</v>
      </c>
      <c r="M47" s="11">
        <f t="shared" ref="M47:M51" si="24">L47/1000</f>
        <v>0.33770823204125139</v>
      </c>
      <c r="N47" s="11">
        <f t="shared" si="23"/>
        <v>159.2963358685148</v>
      </c>
      <c r="O47" s="11">
        <f>O$46*J26</f>
        <v>6.0186817330467184</v>
      </c>
      <c r="P47" s="9"/>
      <c r="Q47" s="9"/>
      <c r="R47" s="9"/>
      <c r="S47" s="11">
        <v>191</v>
      </c>
      <c r="T47" s="9" t="s">
        <v>188</v>
      </c>
      <c r="U47" s="11">
        <f>S47/(5000/H47)</f>
        <v>2.143402</v>
      </c>
      <c r="V47" s="9" t="s">
        <v>189</v>
      </c>
      <c r="W47" s="9" t="s">
        <v>121</v>
      </c>
      <c r="X47" s="348"/>
      <c r="Y47" s="89">
        <f t="shared" ref="Y47:Y48" si="25">U47*O47</f>
        <v>12.900454463975802</v>
      </c>
      <c r="Z47" s="314"/>
      <c r="AA47" s="314"/>
      <c r="AB47" s="314"/>
    </row>
    <row r="48" spans="1:28">
      <c r="A48" s="293"/>
      <c r="B48" s="9"/>
      <c r="C48" s="9"/>
      <c r="D48" s="9" t="s">
        <v>25</v>
      </c>
      <c r="E48" s="17" t="s">
        <v>115</v>
      </c>
      <c r="F48" s="42" t="s">
        <v>22</v>
      </c>
      <c r="G48" s="9"/>
      <c r="H48" s="11">
        <v>58.44</v>
      </c>
      <c r="I48" s="9">
        <v>2.16</v>
      </c>
      <c r="J48" s="11">
        <f t="shared" ref="J48:J52" si="26">O48/O$46</f>
        <v>0.6075505617977528</v>
      </c>
      <c r="K48" s="9" t="s">
        <v>118</v>
      </c>
      <c r="L48" s="11">
        <f>H48*O48</f>
        <v>297.3732156779115</v>
      </c>
      <c r="M48" s="11">
        <f t="shared" si="24"/>
        <v>0.29737321567791153</v>
      </c>
      <c r="N48" s="11">
        <f t="shared" si="23"/>
        <v>137.67278503607014</v>
      </c>
      <c r="O48" s="11">
        <f t="shared" ref="O48:O52" si="27">O$46*J27</f>
        <v>5.0885218288485889</v>
      </c>
      <c r="P48" s="9"/>
      <c r="Q48" s="9"/>
      <c r="R48" s="9"/>
      <c r="S48" s="11">
        <v>528</v>
      </c>
      <c r="T48" s="9" t="s">
        <v>32</v>
      </c>
      <c r="U48" s="11">
        <f>S48/(50000/H48)</f>
        <v>0.61712639999999996</v>
      </c>
      <c r="V48" s="189" t="s">
        <v>173</v>
      </c>
      <c r="W48" s="9" t="s">
        <v>66</v>
      </c>
      <c r="X48" s="348"/>
      <c r="Y48" s="89">
        <f t="shared" si="25"/>
        <v>3.1402611575587458</v>
      </c>
      <c r="Z48" s="314"/>
      <c r="AA48" s="314"/>
      <c r="AB48" s="314"/>
    </row>
    <row r="49" spans="1:28" s="35" customFormat="1" ht="17.5">
      <c r="A49" s="293"/>
      <c r="B49" s="14"/>
      <c r="C49" s="14"/>
      <c r="D49" s="14" t="s">
        <v>117</v>
      </c>
      <c r="E49" s="110" t="s">
        <v>116</v>
      </c>
      <c r="F49" s="156" t="s">
        <v>19</v>
      </c>
      <c r="G49" s="14"/>
      <c r="H49" s="22">
        <v>18.02</v>
      </c>
      <c r="I49" s="12">
        <v>1</v>
      </c>
      <c r="J49" s="12">
        <f t="shared" si="26"/>
        <v>2.8939006596914791</v>
      </c>
      <c r="K49" s="14" t="s">
        <v>119</v>
      </c>
      <c r="L49" s="12">
        <f t="shared" si="22"/>
        <v>436.76479030950395</v>
      </c>
      <c r="M49" s="12">
        <f t="shared" si="24"/>
        <v>0.43676479030950394</v>
      </c>
      <c r="N49" s="12">
        <f t="shared" si="23"/>
        <v>436.76479030950395</v>
      </c>
      <c r="O49" s="12">
        <f t="shared" si="27"/>
        <v>24.237779706409764</v>
      </c>
      <c r="P49" s="14"/>
      <c r="Q49" s="14"/>
      <c r="R49" s="14"/>
      <c r="S49" s="22">
        <f>285</f>
        <v>285</v>
      </c>
      <c r="T49" s="21" t="s">
        <v>108</v>
      </c>
      <c r="U49" s="22">
        <f>S49/((I49*16000)/H49)</f>
        <v>0.32098125</v>
      </c>
      <c r="V49" s="21" t="s">
        <v>172</v>
      </c>
      <c r="W49" s="200" t="s">
        <v>61</v>
      </c>
      <c r="X49" s="348"/>
      <c r="Y49" s="199">
        <f>U49*O49</f>
        <v>7.7798728273880391</v>
      </c>
      <c r="Z49" s="314"/>
      <c r="AA49" s="314"/>
      <c r="AB49" s="314"/>
    </row>
    <row r="50" spans="1:28" s="35" customFormat="1" ht="17.5">
      <c r="A50" s="293"/>
      <c r="B50" s="9"/>
      <c r="C50" s="9"/>
      <c r="D50" s="14" t="s">
        <v>168</v>
      </c>
      <c r="E50" s="17" t="s">
        <v>122</v>
      </c>
      <c r="F50" s="195" t="s">
        <v>22</v>
      </c>
      <c r="G50" s="14"/>
      <c r="H50" s="14">
        <v>126.58</v>
      </c>
      <c r="I50" s="12">
        <v>1.1000000000000001</v>
      </c>
      <c r="J50" s="12">
        <f>O50/O$46</f>
        <v>0.39997798612060409</v>
      </c>
      <c r="K50" s="14"/>
      <c r="L50" s="12">
        <f t="shared" si="22"/>
        <v>424.04348573738235</v>
      </c>
      <c r="M50" s="12">
        <f t="shared" si="24"/>
        <v>0.42404348573738238</v>
      </c>
      <c r="N50" s="12">
        <f t="shared" si="23"/>
        <v>385.49407794307484</v>
      </c>
      <c r="O50" s="12">
        <f t="shared" si="27"/>
        <v>3.3500038373943939</v>
      </c>
      <c r="P50" s="14"/>
      <c r="Q50" s="14"/>
      <c r="R50" s="14"/>
      <c r="S50" s="12">
        <v>159</v>
      </c>
      <c r="T50" s="14" t="s">
        <v>123</v>
      </c>
      <c r="U50" s="12">
        <f>S50/(4000/H50)</f>
        <v>5.031555</v>
      </c>
      <c r="V50" s="14" t="s">
        <v>124</v>
      </c>
      <c r="W50" s="14" t="s">
        <v>125</v>
      </c>
      <c r="X50" s="348"/>
      <c r="Y50" s="199">
        <f>U50*O50</f>
        <v>16.855728558060949</v>
      </c>
      <c r="Z50" s="314"/>
      <c r="AA50" s="314"/>
      <c r="AB50" s="314"/>
    </row>
    <row r="51" spans="1:28" s="35" customFormat="1" ht="17.5">
      <c r="A51" s="293"/>
      <c r="B51" s="14"/>
      <c r="C51" s="14"/>
      <c r="D51" s="17" t="s">
        <v>167</v>
      </c>
      <c r="E51" s="17" t="s">
        <v>127</v>
      </c>
      <c r="F51" s="190" t="s">
        <v>18</v>
      </c>
      <c r="G51" s="14"/>
      <c r="H51" s="14">
        <v>74.12</v>
      </c>
      <c r="I51" s="14">
        <v>0.70599999999999996</v>
      </c>
      <c r="J51" s="12">
        <f t="shared" si="26"/>
        <v>2.8934882390993257</v>
      </c>
      <c r="K51" s="14"/>
      <c r="L51" s="12">
        <f t="shared" si="22"/>
        <v>1796.248205310807</v>
      </c>
      <c r="M51" s="12">
        <f t="shared" si="24"/>
        <v>1.7962482053108069</v>
      </c>
      <c r="N51" s="12">
        <f t="shared" si="23"/>
        <v>2544.2609140379705</v>
      </c>
      <c r="O51" s="12">
        <f t="shared" si="27"/>
        <v>24.234325489892161</v>
      </c>
      <c r="P51" s="14"/>
      <c r="Q51" s="14"/>
      <c r="R51" s="14"/>
      <c r="S51" s="12">
        <v>531</v>
      </c>
      <c r="T51" s="14" t="s">
        <v>29</v>
      </c>
      <c r="U51" s="12">
        <f>S51/((6000*I51)/H51)</f>
        <v>9.2912464589235135</v>
      </c>
      <c r="V51" s="191" t="s">
        <v>190</v>
      </c>
      <c r="W51" s="14" t="s">
        <v>128</v>
      </c>
      <c r="X51" s="348"/>
      <c r="Y51" s="199">
        <f t="shared" ref="Y51:Y52" si="28">U51*O51</f>
        <v>225.16709089236039</v>
      </c>
      <c r="Z51" s="314"/>
      <c r="AA51" s="314"/>
      <c r="AB51" s="314"/>
    </row>
    <row r="52" spans="1:28" s="35" customFormat="1" ht="17.5">
      <c r="A52" s="293"/>
      <c r="B52" s="14"/>
      <c r="C52" s="14"/>
      <c r="D52" s="21" t="s">
        <v>19</v>
      </c>
      <c r="E52" s="21" t="s">
        <v>20</v>
      </c>
      <c r="F52" s="156" t="s">
        <v>19</v>
      </c>
      <c r="G52" s="14"/>
      <c r="H52" s="22">
        <v>18.02</v>
      </c>
      <c r="I52" s="12">
        <v>1</v>
      </c>
      <c r="J52" s="12">
        <f t="shared" si="26"/>
        <v>17.981518662160646</v>
      </c>
      <c r="K52" s="14"/>
      <c r="L52" s="12">
        <f>O52*H52</f>
        <v>2713.8783087192478</v>
      </c>
      <c r="M52" s="12">
        <f>L52/1000</f>
        <v>2.7138783087192477</v>
      </c>
      <c r="N52" s="12">
        <f t="shared" si="23"/>
        <v>2713.8783087192478</v>
      </c>
      <c r="O52" s="12">
        <f t="shared" si="27"/>
        <v>150.60367972914804</v>
      </c>
      <c r="P52" s="14"/>
      <c r="Q52" s="14"/>
      <c r="R52" s="14"/>
      <c r="S52" s="201">
        <v>285</v>
      </c>
      <c r="T52" s="192" t="s">
        <v>108</v>
      </c>
      <c r="U52" s="22">
        <f>S52/((I52*16000)/H52)</f>
        <v>0.32098125</v>
      </c>
      <c r="V52" s="192" t="s">
        <v>172</v>
      </c>
      <c r="W52" s="21" t="s">
        <v>61</v>
      </c>
      <c r="X52" s="348"/>
      <c r="Y52" s="199">
        <f t="shared" si="28"/>
        <v>48.340957374061603</v>
      </c>
      <c r="Z52" s="314"/>
      <c r="AA52" s="314"/>
      <c r="AB52" s="314"/>
    </row>
    <row r="53" spans="1:28" ht="17.5">
      <c r="A53" s="336"/>
      <c r="B53" s="99"/>
      <c r="C53" s="111">
        <v>9</v>
      </c>
      <c r="E53" s="211" t="s">
        <v>57</v>
      </c>
      <c r="F53" s="211" t="s">
        <v>34</v>
      </c>
      <c r="G53" s="212" t="s">
        <v>102</v>
      </c>
      <c r="H53" s="99">
        <v>180.25</v>
      </c>
      <c r="I53" s="99"/>
      <c r="J53" s="99"/>
      <c r="K53" s="99"/>
      <c r="L53" s="99"/>
      <c r="M53" s="99"/>
      <c r="N53" s="99"/>
      <c r="O53" s="100"/>
      <c r="P53" s="215">
        <f>H53*R53</f>
        <v>1313.4203506194754</v>
      </c>
      <c r="Q53" s="215">
        <f>P53/1000</f>
        <v>1.3134203506194753</v>
      </c>
      <c r="R53" s="216">
        <f>O55</f>
        <v>7.286659365433982</v>
      </c>
      <c r="S53" s="99"/>
      <c r="T53" s="99"/>
      <c r="U53" s="100"/>
      <c r="V53" s="99"/>
      <c r="W53" s="99"/>
      <c r="X53" s="294"/>
      <c r="Y53" s="90"/>
      <c r="Z53" s="226" t="s">
        <v>201</v>
      </c>
      <c r="AA53" s="319"/>
      <c r="AB53" s="254" t="s">
        <v>208</v>
      </c>
    </row>
    <row r="54" spans="1:28">
      <c r="A54" s="292" t="s">
        <v>275</v>
      </c>
      <c r="B54" s="31"/>
      <c r="C54" s="105"/>
      <c r="D54" s="31"/>
      <c r="E54" s="106"/>
      <c r="F54" s="109"/>
      <c r="G54" s="31"/>
      <c r="H54" s="31"/>
      <c r="I54" s="31"/>
      <c r="J54" s="31"/>
      <c r="K54" s="31"/>
      <c r="L54" s="31"/>
      <c r="M54" s="31"/>
      <c r="N54" s="31"/>
      <c r="O54" s="32"/>
      <c r="P54" s="32"/>
      <c r="Q54" s="32"/>
      <c r="R54" s="108"/>
      <c r="S54" s="31"/>
      <c r="T54" s="31"/>
      <c r="U54" s="32"/>
      <c r="V54" s="31"/>
      <c r="W54" s="31"/>
      <c r="X54" s="349">
        <f>R62/O55</f>
        <v>0.77</v>
      </c>
      <c r="Y54" s="32"/>
      <c r="Z54" s="312">
        <v>0</v>
      </c>
      <c r="AA54" s="312">
        <v>1</v>
      </c>
      <c r="AB54" s="352">
        <v>3.5</v>
      </c>
    </row>
    <row r="55" spans="1:28" ht="17.5">
      <c r="A55" s="293"/>
      <c r="B55" s="8">
        <v>9</v>
      </c>
      <c r="C55" s="9"/>
      <c r="D55" s="75" t="s">
        <v>102</v>
      </c>
      <c r="E55" s="158" t="s">
        <v>57</v>
      </c>
      <c r="F55" s="158" t="s">
        <v>34</v>
      </c>
      <c r="G55" s="9"/>
      <c r="H55" s="9">
        <v>180.25</v>
      </c>
      <c r="I55" s="9">
        <v>1.0249999999999999</v>
      </c>
      <c r="J55" s="11">
        <f>O55/O$55</f>
        <v>1</v>
      </c>
      <c r="K55" s="9" t="s">
        <v>97</v>
      </c>
      <c r="L55" s="213">
        <f t="shared" ref="L55:L61" si="29">O55*H55</f>
        <v>1313.4203506194754</v>
      </c>
      <c r="M55" s="213">
        <f>L55/1000</f>
        <v>1.3134203506194753</v>
      </c>
      <c r="N55" s="11">
        <f t="shared" ref="N55:N60" si="30">L55/I55</f>
        <v>1281.3857079214395</v>
      </c>
      <c r="O55" s="214">
        <v>7.286659365433982</v>
      </c>
      <c r="P55" s="9"/>
      <c r="Q55" s="9"/>
      <c r="R55" s="9"/>
      <c r="S55" s="9"/>
      <c r="T55" s="203" t="s">
        <v>112</v>
      </c>
      <c r="U55" s="173" t="s">
        <v>112</v>
      </c>
      <c r="V55" s="203" t="s">
        <v>112</v>
      </c>
      <c r="W55" s="203" t="s">
        <v>112</v>
      </c>
      <c r="X55" s="350"/>
      <c r="Y55" s="11"/>
      <c r="Z55" s="314"/>
      <c r="AA55" s="314"/>
      <c r="AB55" s="353"/>
    </row>
    <row r="56" spans="1:28" s="35" customFormat="1" ht="17.5">
      <c r="A56" s="293"/>
      <c r="B56" s="13"/>
      <c r="C56" s="14"/>
      <c r="D56" s="21" t="s">
        <v>19</v>
      </c>
      <c r="E56" s="21" t="s">
        <v>20</v>
      </c>
      <c r="F56" s="156" t="s">
        <v>19</v>
      </c>
      <c r="G56" s="14"/>
      <c r="H56" s="22">
        <v>18.02</v>
      </c>
      <c r="I56" s="12">
        <v>1</v>
      </c>
      <c r="J56" s="12">
        <f>O56/O$55</f>
        <v>88.484544950055536</v>
      </c>
      <c r="K56" s="14"/>
      <c r="L56" s="12">
        <f t="shared" si="29"/>
        <v>11618.516421579883</v>
      </c>
      <c r="M56" s="12">
        <f>L56/1000</f>
        <v>11.618516421579884</v>
      </c>
      <c r="N56" s="12">
        <f t="shared" si="30"/>
        <v>11618.516421579883</v>
      </c>
      <c r="O56" s="12">
        <f t="shared" ref="O56:O61" si="31">O$55*J14</f>
        <v>644.75673815648634</v>
      </c>
      <c r="P56" s="14"/>
      <c r="Q56" s="14"/>
      <c r="R56" s="14"/>
      <c r="S56" s="201">
        <v>285</v>
      </c>
      <c r="T56" s="192" t="s">
        <v>108</v>
      </c>
      <c r="U56" s="22">
        <f>S56/((I56*16000)/H56)</f>
        <v>0.32098125</v>
      </c>
      <c r="V56" s="192" t="s">
        <v>172</v>
      </c>
      <c r="W56" s="21" t="s">
        <v>61</v>
      </c>
      <c r="X56" s="350"/>
      <c r="Y56" s="12">
        <f t="shared" ref="Y56:Y60" si="32">U56*O56</f>
        <v>206.95482375939167</v>
      </c>
      <c r="Z56" s="314"/>
      <c r="AA56" s="314"/>
      <c r="AB56" s="353"/>
    </row>
    <row r="57" spans="1:28">
      <c r="A57" s="293"/>
      <c r="B57" s="8"/>
      <c r="C57" s="9"/>
      <c r="D57" s="9" t="s">
        <v>91</v>
      </c>
      <c r="E57" s="17" t="s">
        <v>92</v>
      </c>
      <c r="F57" s="42" t="s">
        <v>22</v>
      </c>
      <c r="G57" s="9"/>
      <c r="H57" s="9">
        <v>102.89</v>
      </c>
      <c r="I57" s="9">
        <v>3.12</v>
      </c>
      <c r="J57" s="11">
        <f>O57/O$55</f>
        <v>0.10000000001652255</v>
      </c>
      <c r="K57" s="9" t="s">
        <v>96</v>
      </c>
      <c r="L57" s="11">
        <f t="shared" si="29"/>
        <v>74.972438223337605</v>
      </c>
      <c r="M57" s="11">
        <f t="shared" ref="M57:M61" si="33">L57/1000</f>
        <v>7.4972438223337601E-2</v>
      </c>
      <c r="N57" s="11">
        <f t="shared" si="30"/>
        <v>24.029627635685127</v>
      </c>
      <c r="O57" s="11">
        <f t="shared" si="31"/>
        <v>0.72866593666379242</v>
      </c>
      <c r="P57" s="9"/>
      <c r="Q57" s="9"/>
      <c r="R57" s="9"/>
      <c r="S57" s="11">
        <v>93.5</v>
      </c>
      <c r="T57" s="9" t="s">
        <v>16</v>
      </c>
      <c r="U57" s="11">
        <f>S57/(500/H57)</f>
        <v>19.24043</v>
      </c>
      <c r="V57" s="9" t="s">
        <v>105</v>
      </c>
      <c r="W57" s="9" t="s">
        <v>106</v>
      </c>
      <c r="X57" s="350"/>
      <c r="Y57" s="11">
        <f t="shared" si="32"/>
        <v>14.019845947764132</v>
      </c>
      <c r="Z57" s="314"/>
      <c r="AA57" s="314"/>
      <c r="AB57" s="353"/>
    </row>
    <row r="58" spans="1:28">
      <c r="A58" s="293"/>
      <c r="B58" s="14"/>
      <c r="C58" s="14"/>
      <c r="D58" s="9" t="s">
        <v>55</v>
      </c>
      <c r="E58" s="9" t="s">
        <v>56</v>
      </c>
      <c r="F58" s="42" t="s">
        <v>22</v>
      </c>
      <c r="G58" s="9"/>
      <c r="H58" s="9">
        <v>74.44</v>
      </c>
      <c r="I58" s="9">
        <v>1.206</v>
      </c>
      <c r="J58" s="11">
        <f>O58/O$55</f>
        <v>1.0500000000000005</v>
      </c>
      <c r="K58" s="9"/>
      <c r="L58" s="11">
        <f t="shared" si="29"/>
        <v>569.53986932105113</v>
      </c>
      <c r="M58" s="11">
        <f t="shared" si="33"/>
        <v>0.56953986932105116</v>
      </c>
      <c r="N58" s="11">
        <f t="shared" si="30"/>
        <v>472.25528136073893</v>
      </c>
      <c r="O58" s="11">
        <f t="shared" si="31"/>
        <v>7.6509923337056849</v>
      </c>
      <c r="P58" s="9"/>
      <c r="Q58" s="9"/>
      <c r="R58" s="9"/>
      <c r="S58" s="11">
        <v>655</v>
      </c>
      <c r="T58" s="9" t="s">
        <v>53</v>
      </c>
      <c r="U58" s="11">
        <f>S58/((I58*18000)/H58)</f>
        <v>2.2460936060438548</v>
      </c>
      <c r="V58" s="9" t="s">
        <v>107</v>
      </c>
      <c r="W58" s="112" t="s">
        <v>58</v>
      </c>
      <c r="X58" s="350"/>
      <c r="Y58" s="11">
        <f t="shared" si="32"/>
        <v>17.18484496062689</v>
      </c>
      <c r="Z58" s="314"/>
      <c r="AA58" s="314"/>
      <c r="AB58" s="353"/>
    </row>
    <row r="59" spans="1:28" ht="17.5">
      <c r="A59" s="293"/>
      <c r="B59" s="9"/>
      <c r="C59" s="9"/>
      <c r="D59" s="9" t="s">
        <v>99</v>
      </c>
      <c r="E59" s="17" t="s">
        <v>31</v>
      </c>
      <c r="F59" s="42" t="s">
        <v>22</v>
      </c>
      <c r="G59" s="9"/>
      <c r="H59" s="9">
        <v>84.01</v>
      </c>
      <c r="I59" s="11">
        <v>2.2000000000000002</v>
      </c>
      <c r="J59" s="11">
        <f t="shared" ref="J59:J61" si="34">O59/O$55</f>
        <v>4.9999999999600024E-2</v>
      </c>
      <c r="K59" s="9" t="s">
        <v>100</v>
      </c>
      <c r="L59" s="11">
        <f t="shared" si="29"/>
        <v>30.607612664260596</v>
      </c>
      <c r="M59" s="11">
        <f t="shared" si="33"/>
        <v>3.0607612664260597E-2</v>
      </c>
      <c r="N59" s="11">
        <f t="shared" si="30"/>
        <v>13.912551211027543</v>
      </c>
      <c r="O59" s="11">
        <f t="shared" si="31"/>
        <v>0.36433296826878458</v>
      </c>
      <c r="P59" s="9"/>
      <c r="Q59" s="9"/>
      <c r="R59" s="9"/>
      <c r="S59" s="11">
        <v>447</v>
      </c>
      <c r="T59" s="9" t="s">
        <v>32</v>
      </c>
      <c r="U59" s="11">
        <f>S59/(50000/H59)</f>
        <v>0.75104939999999998</v>
      </c>
      <c r="V59" s="9" t="s">
        <v>33</v>
      </c>
      <c r="W59" s="112" t="s">
        <v>70</v>
      </c>
      <c r="X59" s="350"/>
      <c r="Y59" s="11">
        <f t="shared" si="32"/>
        <v>0.27363205721848971</v>
      </c>
      <c r="Z59" s="314"/>
      <c r="AA59" s="314"/>
      <c r="AB59" s="353"/>
    </row>
    <row r="60" spans="1:28" s="35" customFormat="1" ht="17.5">
      <c r="A60" s="293"/>
      <c r="B60" s="9"/>
      <c r="C60" s="9"/>
      <c r="D60" s="14" t="s">
        <v>101</v>
      </c>
      <c r="E60" s="17" t="s">
        <v>94</v>
      </c>
      <c r="F60" s="190" t="s">
        <v>18</v>
      </c>
      <c r="G60" s="14"/>
      <c r="H60" s="14">
        <f>102.13</f>
        <v>102.13</v>
      </c>
      <c r="I60" s="14">
        <v>0.872</v>
      </c>
      <c r="J60" s="12">
        <f>O60/O$55</f>
        <v>19.277505413705008</v>
      </c>
      <c r="K60" s="14"/>
      <c r="L60" s="12">
        <f t="shared" si="29"/>
        <v>14346.059687225192</v>
      </c>
      <c r="M60" s="12">
        <f t="shared" si="33"/>
        <v>14.346059687225191</v>
      </c>
      <c r="N60" s="12">
        <f t="shared" si="30"/>
        <v>16451.903311038062</v>
      </c>
      <c r="O60" s="12">
        <f t="shared" si="31"/>
        <v>140.46861536497789</v>
      </c>
      <c r="P60" s="14"/>
      <c r="Q60" s="14"/>
      <c r="R60" s="14"/>
      <c r="S60" s="12">
        <v>748</v>
      </c>
      <c r="T60" s="14" t="s">
        <v>108</v>
      </c>
      <c r="U60" s="12">
        <f>S60/((16000*I60)/H60)</f>
        <v>5.4754329128440355</v>
      </c>
      <c r="V60" s="17" t="s">
        <v>109</v>
      </c>
      <c r="W60" s="204" t="s">
        <v>93</v>
      </c>
      <c r="X60" s="350"/>
      <c r="Y60" s="12">
        <f t="shared" si="32"/>
        <v>769.1264797910294</v>
      </c>
      <c r="Z60" s="314"/>
      <c r="AA60" s="314"/>
      <c r="AB60" s="353"/>
    </row>
    <row r="61" spans="1:28" s="163" customFormat="1" ht="16">
      <c r="A61" s="293"/>
      <c r="B61" s="45"/>
      <c r="C61" s="45"/>
      <c r="D61" s="45" t="s">
        <v>126</v>
      </c>
      <c r="E61" s="45" t="s">
        <v>165</v>
      </c>
      <c r="F61" s="157" t="s">
        <v>41</v>
      </c>
      <c r="G61" s="45"/>
      <c r="H61" s="45">
        <v>156.25</v>
      </c>
      <c r="I61" s="45" t="s">
        <v>112</v>
      </c>
      <c r="J61" s="161">
        <f t="shared" si="34"/>
        <v>1.0000000000000002E-2</v>
      </c>
      <c r="K61" s="45" t="s">
        <v>95</v>
      </c>
      <c r="L61" s="161">
        <f t="shared" si="29"/>
        <v>11.3854052584906</v>
      </c>
      <c r="M61" s="161">
        <f t="shared" si="33"/>
        <v>1.13854052584906E-2</v>
      </c>
      <c r="N61" s="45" t="s">
        <v>112</v>
      </c>
      <c r="O61" s="161">
        <f t="shared" si="31"/>
        <v>7.286659365433984E-2</v>
      </c>
      <c r="P61" s="45"/>
      <c r="Q61" s="45"/>
      <c r="R61" s="45"/>
      <c r="S61" s="161">
        <v>151</v>
      </c>
      <c r="T61" s="45" t="s">
        <v>110</v>
      </c>
      <c r="U61" s="161">
        <f xml:space="preserve"> S61/(25/H61)</f>
        <v>943.75</v>
      </c>
      <c r="V61" s="45" t="s">
        <v>111</v>
      </c>
      <c r="W61" s="162" t="s">
        <v>59</v>
      </c>
      <c r="X61" s="350"/>
      <c r="Y61" s="161">
        <f>U61*O61</f>
        <v>68.767847761283221</v>
      </c>
      <c r="Z61" s="314"/>
      <c r="AA61" s="314"/>
      <c r="AB61" s="353"/>
    </row>
    <row r="62" spans="1:28" ht="17.5">
      <c r="A62" s="336"/>
      <c r="B62" s="111"/>
      <c r="C62" s="111">
        <v>2</v>
      </c>
      <c r="D62" s="99"/>
      <c r="E62" s="65" t="s">
        <v>98</v>
      </c>
      <c r="F62" s="115" t="s">
        <v>104</v>
      </c>
      <c r="G62" s="99" t="s">
        <v>103</v>
      </c>
      <c r="H62" s="99">
        <v>178.23</v>
      </c>
      <c r="I62" s="99"/>
      <c r="J62" s="99"/>
      <c r="K62" s="99"/>
      <c r="L62" s="99"/>
      <c r="M62" s="99"/>
      <c r="N62" s="99"/>
      <c r="O62" s="99"/>
      <c r="P62" s="260">
        <v>1000</v>
      </c>
      <c r="Q62" s="262">
        <f>P62/1000</f>
        <v>1</v>
      </c>
      <c r="R62" s="263">
        <f>P62/H62</f>
        <v>5.6107277113841665</v>
      </c>
      <c r="S62" s="99"/>
      <c r="T62" s="99"/>
      <c r="U62" s="99"/>
      <c r="V62" s="99"/>
      <c r="W62" s="99"/>
      <c r="X62" s="351"/>
      <c r="Y62" s="113"/>
      <c r="Z62" s="319"/>
      <c r="AA62" s="319"/>
      <c r="AB62" s="354"/>
    </row>
    <row r="63" spans="1:28">
      <c r="M63" s="60"/>
      <c r="W63" s="129" t="s">
        <v>206</v>
      </c>
      <c r="X63" s="253">
        <f>X46*X54</f>
        <v>0.66990000000000005</v>
      </c>
      <c r="Y63" s="280">
        <f>(SUM(Y46:Y52)+SUM(Y56:Y61)-Y61)/10</f>
        <v>133.43610575499207</v>
      </c>
      <c r="AB63" s="257"/>
    </row>
    <row r="64" spans="1:28">
      <c r="A64" s="338" t="s">
        <v>193</v>
      </c>
      <c r="B64" s="339"/>
      <c r="C64" s="339"/>
      <c r="D64" s="340"/>
      <c r="E64" s="8"/>
    </row>
    <row r="65" spans="1:5">
      <c r="A65" s="208" t="s">
        <v>150</v>
      </c>
      <c r="B65" s="208" t="s">
        <v>4</v>
      </c>
      <c r="C65" s="208" t="s">
        <v>231</v>
      </c>
      <c r="D65" s="208" t="s">
        <v>232</v>
      </c>
      <c r="E65" s="8"/>
    </row>
    <row r="66" spans="1:5">
      <c r="A66" s="292" t="s">
        <v>276</v>
      </c>
      <c r="B66" s="86" t="s">
        <v>255</v>
      </c>
      <c r="C66" s="88">
        <f>M46</f>
        <v>0.75479740461254075</v>
      </c>
      <c r="D66" s="121"/>
      <c r="E66" s="9"/>
    </row>
    <row r="67" spans="1:5">
      <c r="A67" s="293"/>
      <c r="B67" s="87" t="s">
        <v>18</v>
      </c>
      <c r="C67" s="89">
        <f>M51</f>
        <v>1.7962482053108069</v>
      </c>
      <c r="D67" s="44"/>
      <c r="E67" s="9"/>
    </row>
    <row r="68" spans="1:5">
      <c r="A68" s="293"/>
      <c r="B68" s="249" t="s">
        <v>22</v>
      </c>
      <c r="C68" s="89">
        <f>M47+M48+M50</f>
        <v>1.0591249334565451</v>
      </c>
      <c r="D68" s="44"/>
      <c r="E68" s="9"/>
    </row>
    <row r="69" spans="1:5">
      <c r="A69" s="293"/>
      <c r="B69" s="136" t="s">
        <v>19</v>
      </c>
      <c r="C69" s="89">
        <f>M49+M52</f>
        <v>3.1506430990287515</v>
      </c>
      <c r="D69" s="145"/>
      <c r="E69" s="9"/>
    </row>
    <row r="70" spans="1:5">
      <c r="A70" s="294"/>
      <c r="B70" s="219" t="s">
        <v>34</v>
      </c>
      <c r="C70" s="90" t="s">
        <v>112</v>
      </c>
      <c r="D70" s="146">
        <f>M55</f>
        <v>1.3134203506194753</v>
      </c>
      <c r="E70" s="9"/>
    </row>
    <row r="71" spans="1:5">
      <c r="A71" s="292" t="s">
        <v>277</v>
      </c>
      <c r="B71" s="101" t="s">
        <v>34</v>
      </c>
      <c r="C71" s="88">
        <f>M55</f>
        <v>1.3134203506194753</v>
      </c>
      <c r="D71" s="121"/>
      <c r="E71" s="9"/>
    </row>
    <row r="72" spans="1:5">
      <c r="A72" s="293"/>
      <c r="B72" s="87" t="s">
        <v>18</v>
      </c>
      <c r="C72" s="89">
        <f>M60</f>
        <v>14.346059687225191</v>
      </c>
      <c r="D72" s="44"/>
      <c r="E72" s="9"/>
    </row>
    <row r="73" spans="1:5">
      <c r="A73" s="293"/>
      <c r="B73" s="249" t="s">
        <v>22</v>
      </c>
      <c r="C73" s="89">
        <f>M59+M58+M57</f>
        <v>0.6751199202086493</v>
      </c>
      <c r="D73" s="44"/>
      <c r="E73" s="9"/>
    </row>
    <row r="74" spans="1:5">
      <c r="A74" s="293"/>
      <c r="B74" s="136" t="s">
        <v>19</v>
      </c>
      <c r="C74" s="89">
        <f>M56</f>
        <v>11.618516421579884</v>
      </c>
      <c r="D74" s="145"/>
      <c r="E74" s="9"/>
    </row>
    <row r="75" spans="1:5">
      <c r="A75" s="336"/>
      <c r="B75" s="220" t="s">
        <v>104</v>
      </c>
      <c r="C75" s="90" t="s">
        <v>112</v>
      </c>
      <c r="D75" s="146">
        <f>Q62</f>
        <v>1</v>
      </c>
      <c r="E75" s="9"/>
    </row>
    <row r="76" spans="1:5">
      <c r="C76" s="60"/>
    </row>
    <row r="89" spans="1:28">
      <c r="A89" s="118"/>
      <c r="B89" s="118"/>
      <c r="C89" s="118"/>
      <c r="D89" s="118"/>
      <c r="E89" s="118"/>
      <c r="F89" s="118"/>
      <c r="G89" s="118"/>
      <c r="H89" s="118"/>
      <c r="I89" s="118"/>
      <c r="J89" s="118"/>
      <c r="K89" s="118"/>
      <c r="L89" s="118"/>
      <c r="M89" s="118"/>
      <c r="N89" s="118"/>
      <c r="O89" s="118"/>
      <c r="P89" s="118"/>
      <c r="Q89" s="118"/>
      <c r="R89" s="118"/>
      <c r="S89" s="118"/>
      <c r="T89" s="118"/>
      <c r="U89" s="118"/>
      <c r="V89" s="118"/>
      <c r="W89" s="118"/>
      <c r="X89" s="118"/>
      <c r="Y89" s="118"/>
      <c r="Z89" s="118"/>
      <c r="AA89" s="118"/>
      <c r="AB89" s="118"/>
    </row>
    <row r="90" spans="1:28">
      <c r="A90" s="118"/>
      <c r="B90" s="118"/>
      <c r="C90" s="118"/>
      <c r="D90" s="118"/>
      <c r="E90" s="118"/>
      <c r="F90" s="118"/>
      <c r="G90" s="118"/>
      <c r="H90" s="118"/>
      <c r="I90" s="118"/>
      <c r="J90" s="118"/>
      <c r="K90" s="118"/>
      <c r="L90" s="118"/>
      <c r="M90" s="118"/>
      <c r="N90" s="118"/>
      <c r="O90" s="118"/>
      <c r="P90" s="118"/>
      <c r="Q90" s="118"/>
      <c r="R90" s="118"/>
      <c r="S90" s="118"/>
      <c r="T90" s="118"/>
      <c r="U90" s="118"/>
      <c r="V90" s="118"/>
      <c r="W90" s="118"/>
      <c r="X90" s="118"/>
      <c r="Y90" s="118"/>
      <c r="Z90" s="118"/>
      <c r="AA90" s="118"/>
      <c r="AB90" s="118"/>
    </row>
    <row r="91" spans="1:28">
      <c r="A91" s="355" t="s">
        <v>263</v>
      </c>
      <c r="B91" s="356"/>
      <c r="C91" s="356"/>
      <c r="D91" s="356"/>
      <c r="E91" s="356"/>
      <c r="F91" s="356"/>
      <c r="G91" s="356"/>
      <c r="H91" s="356"/>
      <c r="I91" s="356"/>
      <c r="J91" s="356"/>
      <c r="K91" s="356"/>
      <c r="L91" s="356"/>
      <c r="M91" s="356"/>
      <c r="N91" s="356"/>
      <c r="O91" s="356"/>
      <c r="P91" s="356"/>
      <c r="Q91" s="356"/>
      <c r="R91" s="356"/>
      <c r="S91" s="356"/>
      <c r="T91" s="356"/>
      <c r="U91" s="356"/>
      <c r="V91" s="356"/>
      <c r="W91" s="356"/>
      <c r="X91" s="356"/>
      <c r="Y91" s="356"/>
      <c r="Z91" s="356"/>
      <c r="AA91" s="356"/>
      <c r="AB91" s="357"/>
    </row>
    <row r="92" spans="1:28">
      <c r="A92" s="1" t="s">
        <v>0</v>
      </c>
      <c r="B92" s="2" t="s">
        <v>1</v>
      </c>
      <c r="C92" s="3" t="s">
        <v>2</v>
      </c>
      <c r="D92" s="4" t="s">
        <v>3</v>
      </c>
      <c r="E92" s="5" t="s">
        <v>156</v>
      </c>
      <c r="F92" s="5" t="s">
        <v>4</v>
      </c>
      <c r="G92" s="5" t="s">
        <v>5</v>
      </c>
      <c r="H92" s="6" t="s">
        <v>157</v>
      </c>
      <c r="I92" s="1" t="s">
        <v>158</v>
      </c>
      <c r="J92" s="7" t="s">
        <v>6</v>
      </c>
      <c r="K92" s="1" t="s">
        <v>7</v>
      </c>
      <c r="L92" s="6" t="s">
        <v>8</v>
      </c>
      <c r="M92" s="80" t="s">
        <v>60</v>
      </c>
      <c r="N92" s="1" t="s">
        <v>9</v>
      </c>
      <c r="O92" s="6" t="s">
        <v>10</v>
      </c>
      <c r="P92" s="6" t="s">
        <v>11</v>
      </c>
      <c r="Q92" s="80" t="s">
        <v>82</v>
      </c>
      <c r="R92" s="1" t="s">
        <v>12</v>
      </c>
      <c r="S92" s="1" t="s">
        <v>171</v>
      </c>
      <c r="T92" s="1" t="s">
        <v>13</v>
      </c>
      <c r="U92" s="1" t="s">
        <v>170</v>
      </c>
      <c r="V92" s="53" t="s">
        <v>155</v>
      </c>
      <c r="W92" s="1" t="s">
        <v>154</v>
      </c>
      <c r="X92" s="1" t="s">
        <v>14</v>
      </c>
      <c r="Y92" s="1" t="s">
        <v>162</v>
      </c>
      <c r="Z92" s="147" t="s">
        <v>152</v>
      </c>
      <c r="AA92" s="7" t="s">
        <v>151</v>
      </c>
      <c r="AB92" s="171" t="s">
        <v>153</v>
      </c>
    </row>
    <row r="93" spans="1:28" ht="17.5">
      <c r="A93" s="305" t="s">
        <v>274</v>
      </c>
      <c r="B93" s="285">
        <v>8</v>
      </c>
      <c r="C93" s="286"/>
      <c r="D93" s="165" t="s">
        <v>51</v>
      </c>
      <c r="E93" s="166" t="s">
        <v>199</v>
      </c>
      <c r="F93" s="107" t="s">
        <v>255</v>
      </c>
      <c r="G93" s="31"/>
      <c r="H93" s="32">
        <v>90.12</v>
      </c>
      <c r="I93" s="32">
        <v>1.0169999999999999</v>
      </c>
      <c r="J93" s="12">
        <f>O93/O$93</f>
        <v>1</v>
      </c>
      <c r="K93" s="31"/>
      <c r="L93" s="32">
        <f t="shared" ref="L93:L98" si="35">H93*O93</f>
        <v>1358.6353283025735</v>
      </c>
      <c r="M93" s="11">
        <f>L93/1000</f>
        <v>1.3586353283025736</v>
      </c>
      <c r="N93" s="11">
        <f t="shared" ref="N93:N99" si="36">L93/I93</f>
        <v>1335.9246099337008</v>
      </c>
      <c r="O93" s="60">
        <f>R100/X93</f>
        <v>15.07584696296686</v>
      </c>
      <c r="P93" s="31"/>
      <c r="Q93" s="31"/>
      <c r="R93" s="31"/>
      <c r="S93" s="32">
        <v>306</v>
      </c>
      <c r="T93" s="31" t="s">
        <v>53</v>
      </c>
      <c r="U93" s="32">
        <f>S93/((18000*I93)/H93)</f>
        <v>1.5064306784660768</v>
      </c>
      <c r="V93" s="109" t="s">
        <v>52</v>
      </c>
      <c r="W93" s="109" t="s">
        <v>54</v>
      </c>
      <c r="X93" s="347">
        <f>87%</f>
        <v>0.87</v>
      </c>
      <c r="Y93" s="88">
        <f>U93*O93</f>
        <v>22.710718368872911</v>
      </c>
      <c r="Z93" s="312">
        <v>25</v>
      </c>
      <c r="AA93" s="312">
        <v>1</v>
      </c>
      <c r="AB93" s="312">
        <v>6</v>
      </c>
    </row>
    <row r="94" spans="1:28">
      <c r="A94" s="306"/>
      <c r="B94" s="189"/>
      <c r="C94" s="189"/>
      <c r="D94" s="9" t="s">
        <v>113</v>
      </c>
      <c r="E94" s="9" t="s">
        <v>114</v>
      </c>
      <c r="F94" s="42" t="s">
        <v>22</v>
      </c>
      <c r="G94" s="9"/>
      <c r="H94" s="11">
        <v>56.11</v>
      </c>
      <c r="I94" s="9">
        <v>2.12</v>
      </c>
      <c r="J94" s="12">
        <f t="shared" ref="J94:J98" si="37">O94/O$93</f>
        <v>0.71860819137368614</v>
      </c>
      <c r="K94" s="117"/>
      <c r="L94" s="11">
        <f>H94*O94</f>
        <v>607.87481767425254</v>
      </c>
      <c r="M94" s="11">
        <f t="shared" ref="M94:M98" si="38">L94/1000</f>
        <v>0.60787481767425255</v>
      </c>
      <c r="N94" s="11">
        <f t="shared" si="36"/>
        <v>286.73340456332664</v>
      </c>
      <c r="O94" s="11">
        <f t="shared" ref="O94:O99" si="39">O$93*J47</f>
        <v>10.833627119484095</v>
      </c>
      <c r="P94" s="9"/>
      <c r="Q94" s="9"/>
      <c r="R94" s="9"/>
      <c r="S94" s="11">
        <v>191</v>
      </c>
      <c r="T94" s="9" t="s">
        <v>188</v>
      </c>
      <c r="U94" s="11">
        <f>S94/(5000/H94)</f>
        <v>2.143402</v>
      </c>
      <c r="V94" s="9" t="s">
        <v>189</v>
      </c>
      <c r="W94" s="9" t="s">
        <v>121</v>
      </c>
      <c r="X94" s="348"/>
      <c r="Y94" s="89">
        <f t="shared" ref="Y94:Y95" si="40">U94*O94</f>
        <v>23.220818035156448</v>
      </c>
      <c r="Z94" s="314"/>
      <c r="AA94" s="314"/>
      <c r="AB94" s="314"/>
    </row>
    <row r="95" spans="1:28">
      <c r="A95" s="306"/>
      <c r="B95" s="189"/>
      <c r="C95" s="189"/>
      <c r="D95" s="9" t="s">
        <v>25</v>
      </c>
      <c r="E95" s="17" t="s">
        <v>115</v>
      </c>
      <c r="F95" s="42" t="s">
        <v>22</v>
      </c>
      <c r="G95" s="9"/>
      <c r="H95" s="11">
        <v>58.44</v>
      </c>
      <c r="I95" s="9">
        <v>2.16</v>
      </c>
      <c r="J95" s="12">
        <f t="shared" si="37"/>
        <v>0.6075505617977528</v>
      </c>
      <c r="K95" s="9" t="s">
        <v>118</v>
      </c>
      <c r="L95" s="11">
        <f t="shared" si="35"/>
        <v>535.27178822024075</v>
      </c>
      <c r="M95" s="11">
        <f t="shared" si="38"/>
        <v>0.5352717882202408</v>
      </c>
      <c r="N95" s="11">
        <f t="shared" si="36"/>
        <v>247.81101306492627</v>
      </c>
      <c r="O95" s="11">
        <f t="shared" si="39"/>
        <v>9.159339291927461</v>
      </c>
      <c r="P95" s="9"/>
      <c r="Q95" s="9"/>
      <c r="R95" s="9"/>
      <c r="S95" s="11">
        <v>528</v>
      </c>
      <c r="T95" s="9" t="s">
        <v>32</v>
      </c>
      <c r="U95" s="11">
        <f>S95/(50000/H95)</f>
        <v>0.61712639999999996</v>
      </c>
      <c r="V95" s="189" t="s">
        <v>173</v>
      </c>
      <c r="W95" s="9" t="s">
        <v>66</v>
      </c>
      <c r="X95" s="348"/>
      <c r="Y95" s="89">
        <f t="shared" si="40"/>
        <v>5.6524700836057429</v>
      </c>
      <c r="Z95" s="314"/>
      <c r="AA95" s="314"/>
      <c r="AB95" s="314"/>
    </row>
    <row r="96" spans="1:28" ht="17.5">
      <c r="A96" s="306"/>
      <c r="B96" s="189"/>
      <c r="C96" s="189"/>
      <c r="D96" s="14" t="s">
        <v>117</v>
      </c>
      <c r="E96" s="110" t="s">
        <v>116</v>
      </c>
      <c r="F96" s="156" t="s">
        <v>19</v>
      </c>
      <c r="G96" s="14"/>
      <c r="H96" s="22">
        <v>18.02</v>
      </c>
      <c r="I96" s="12">
        <v>1</v>
      </c>
      <c r="J96" s="12">
        <f t="shared" si="37"/>
        <v>2.8939006596914791</v>
      </c>
      <c r="K96" s="14" t="s">
        <v>119</v>
      </c>
      <c r="L96" s="12">
        <f t="shared" si="35"/>
        <v>786.17662255710718</v>
      </c>
      <c r="M96" s="12">
        <f t="shared" si="38"/>
        <v>0.78617662255710719</v>
      </c>
      <c r="N96" s="12">
        <f t="shared" si="36"/>
        <v>786.17662255710718</v>
      </c>
      <c r="O96" s="11">
        <f t="shared" si="39"/>
        <v>43.628003471537582</v>
      </c>
      <c r="P96" s="14"/>
      <c r="Q96" s="14"/>
      <c r="R96" s="14"/>
      <c r="S96" s="22">
        <f>285</f>
        <v>285</v>
      </c>
      <c r="T96" s="21" t="s">
        <v>108</v>
      </c>
      <c r="U96" s="22">
        <f>S96/((I96*16000)/H96)</f>
        <v>0.32098125</v>
      </c>
      <c r="V96" s="21" t="s">
        <v>172</v>
      </c>
      <c r="W96" s="200" t="s">
        <v>61</v>
      </c>
      <c r="X96" s="348"/>
      <c r="Y96" s="199">
        <f>U96*O96</f>
        <v>14.003771089298473</v>
      </c>
      <c r="Z96" s="314"/>
      <c r="AA96" s="314"/>
      <c r="AB96" s="314"/>
    </row>
    <row r="97" spans="1:28" s="35" customFormat="1" ht="17.5">
      <c r="A97" s="306"/>
      <c r="B97" s="189"/>
      <c r="C97" s="189"/>
      <c r="D97" s="14" t="s">
        <v>168</v>
      </c>
      <c r="E97" s="17" t="s">
        <v>122</v>
      </c>
      <c r="F97" s="42" t="s">
        <v>22</v>
      </c>
      <c r="G97" s="14"/>
      <c r="H97" s="14">
        <v>126.58</v>
      </c>
      <c r="I97" s="12">
        <v>1.1000000000000001</v>
      </c>
      <c r="J97" s="12">
        <f t="shared" si="37"/>
        <v>0.39997798612060409</v>
      </c>
      <c r="K97" s="14"/>
      <c r="L97" s="12">
        <f t="shared" si="35"/>
        <v>763.27827432728839</v>
      </c>
      <c r="M97" s="12">
        <f t="shared" si="38"/>
        <v>0.76327827432728834</v>
      </c>
      <c r="N97" s="12">
        <f t="shared" si="36"/>
        <v>693.88934029753489</v>
      </c>
      <c r="O97" s="12">
        <f t="shared" si="39"/>
        <v>6.0300069073099101</v>
      </c>
      <c r="P97" s="14"/>
      <c r="Q97" s="14"/>
      <c r="R97" s="14"/>
      <c r="S97" s="12">
        <v>159</v>
      </c>
      <c r="T97" s="14" t="s">
        <v>123</v>
      </c>
      <c r="U97" s="12">
        <f>S97/(4000/H97)</f>
        <v>5.031555</v>
      </c>
      <c r="V97" s="14" t="s">
        <v>124</v>
      </c>
      <c r="W97" s="14" t="s">
        <v>125</v>
      </c>
      <c r="X97" s="348"/>
      <c r="Y97" s="199">
        <f>U97*O97</f>
        <v>30.340311404509716</v>
      </c>
      <c r="Z97" s="314"/>
      <c r="AA97" s="314"/>
      <c r="AB97" s="314"/>
    </row>
    <row r="98" spans="1:28" s="35" customFormat="1" ht="17.5">
      <c r="A98" s="306"/>
      <c r="B98" s="189"/>
      <c r="C98" s="189"/>
      <c r="D98" s="17" t="s">
        <v>167</v>
      </c>
      <c r="E98" s="17" t="s">
        <v>127</v>
      </c>
      <c r="F98" s="190" t="s">
        <v>18</v>
      </c>
      <c r="G98" s="14"/>
      <c r="H98" s="14">
        <v>74.12</v>
      </c>
      <c r="I98" s="14">
        <v>0.70599999999999996</v>
      </c>
      <c r="J98" s="12">
        <f t="shared" si="37"/>
        <v>2.8934882390993257</v>
      </c>
      <c r="K98" s="14"/>
      <c r="L98" s="12">
        <f t="shared" si="35"/>
        <v>3233.2467695594532</v>
      </c>
      <c r="M98" s="12">
        <f t="shared" si="38"/>
        <v>3.2332467695594533</v>
      </c>
      <c r="N98" s="12">
        <f t="shared" si="36"/>
        <v>4579.6696452683473</v>
      </c>
      <c r="O98" s="12">
        <f t="shared" si="39"/>
        <v>43.621785881805899</v>
      </c>
      <c r="P98" s="14"/>
      <c r="Q98" s="14"/>
      <c r="R98" s="14"/>
      <c r="S98" s="12">
        <v>531</v>
      </c>
      <c r="T98" s="14" t="s">
        <v>29</v>
      </c>
      <c r="U98" s="12">
        <f>S98/((6000*I98)/H98)</f>
        <v>9.2912464589235135</v>
      </c>
      <c r="V98" s="191" t="s">
        <v>190</v>
      </c>
      <c r="W98" s="14" t="s">
        <v>128</v>
      </c>
      <c r="X98" s="348"/>
      <c r="Y98" s="199">
        <f t="shared" ref="Y98:Y99" si="41">U98*O98</f>
        <v>405.30076360624878</v>
      </c>
      <c r="Z98" s="314"/>
      <c r="AA98" s="314"/>
      <c r="AB98" s="314"/>
    </row>
    <row r="99" spans="1:28" ht="17.5">
      <c r="A99" s="306"/>
      <c r="B99" s="189"/>
      <c r="C99" s="189"/>
      <c r="D99" s="21" t="s">
        <v>19</v>
      </c>
      <c r="E99" s="21" t="s">
        <v>20</v>
      </c>
      <c r="F99" s="156" t="s">
        <v>19</v>
      </c>
      <c r="G99" s="14"/>
      <c r="H99" s="22">
        <v>18.02</v>
      </c>
      <c r="I99" s="12">
        <v>1</v>
      </c>
      <c r="J99" s="12">
        <f>O99/O$93</f>
        <v>17.981518662160646</v>
      </c>
      <c r="K99" s="14"/>
      <c r="L99" s="12">
        <f>O99*H99</f>
        <v>4884.9809556946457</v>
      </c>
      <c r="M99" s="12">
        <f>L99/1000</f>
        <v>4.8849809556946457</v>
      </c>
      <c r="N99" s="12">
        <f t="shared" si="36"/>
        <v>4884.9809556946457</v>
      </c>
      <c r="O99" s="11">
        <f t="shared" si="39"/>
        <v>271.08662351246647</v>
      </c>
      <c r="P99" s="14"/>
      <c r="Q99" s="14"/>
      <c r="R99" s="14"/>
      <c r="S99" s="201">
        <v>285</v>
      </c>
      <c r="T99" s="192" t="s">
        <v>108</v>
      </c>
      <c r="U99" s="22">
        <f>S99/((I99*16000)/H99)</f>
        <v>0.32098125</v>
      </c>
      <c r="V99" s="192" t="s">
        <v>172</v>
      </c>
      <c r="W99" s="21" t="s">
        <v>61</v>
      </c>
      <c r="X99" s="348"/>
      <c r="Y99" s="199">
        <f t="shared" si="41"/>
        <v>87.013723273310873</v>
      </c>
      <c r="Z99" s="314"/>
      <c r="AA99" s="314"/>
      <c r="AB99" s="314"/>
    </row>
    <row r="100" spans="1:28" ht="17.5">
      <c r="A100" s="359"/>
      <c r="B100" s="47"/>
      <c r="C100" s="287">
        <v>9</v>
      </c>
      <c r="E100" s="211" t="s">
        <v>57</v>
      </c>
      <c r="F100" s="211" t="s">
        <v>34</v>
      </c>
      <c r="G100" s="212" t="s">
        <v>102</v>
      </c>
      <c r="H100" s="99">
        <v>180.25</v>
      </c>
      <c r="I100" s="99"/>
      <c r="J100" s="99"/>
      <c r="K100" s="99"/>
      <c r="L100" s="99"/>
      <c r="M100" s="99"/>
      <c r="N100" s="99"/>
      <c r="O100" s="100"/>
      <c r="P100" s="215">
        <f>H100*R100</f>
        <v>2364.1566311150555</v>
      </c>
      <c r="Q100" s="215">
        <f>P100/1000</f>
        <v>2.3641566311150553</v>
      </c>
      <c r="R100" s="216">
        <f>O102</f>
        <v>13.115986857781168</v>
      </c>
      <c r="S100" s="99"/>
      <c r="T100" s="99"/>
      <c r="U100" s="100"/>
      <c r="V100" s="99"/>
      <c r="W100" s="99"/>
      <c r="X100" s="294"/>
      <c r="Y100" s="90"/>
      <c r="Z100" s="254" t="s">
        <v>201</v>
      </c>
      <c r="AA100" s="319"/>
      <c r="AB100" s="254" t="s">
        <v>208</v>
      </c>
    </row>
    <row r="101" spans="1:28">
      <c r="A101" s="358" t="s">
        <v>275</v>
      </c>
      <c r="B101" s="189"/>
      <c r="C101" s="288"/>
      <c r="D101" s="31"/>
      <c r="E101" s="106"/>
      <c r="F101" s="109"/>
      <c r="G101" s="31"/>
      <c r="H101" s="31"/>
      <c r="I101" s="31"/>
      <c r="J101" s="31"/>
      <c r="K101" s="31"/>
      <c r="L101" s="31"/>
      <c r="M101" s="31"/>
      <c r="N101" s="31"/>
      <c r="O101" s="32"/>
      <c r="P101" s="32"/>
      <c r="Q101" s="32"/>
      <c r="R101" s="108"/>
      <c r="S101" s="31"/>
      <c r="T101" s="31"/>
      <c r="U101" s="32"/>
      <c r="V101" s="31"/>
      <c r="W101" s="31"/>
      <c r="X101" s="349">
        <f>77%</f>
        <v>0.77</v>
      </c>
      <c r="Y101" s="32"/>
      <c r="Z101" s="312">
        <v>0</v>
      </c>
      <c r="AA101" s="312">
        <v>1</v>
      </c>
      <c r="AB101" s="352">
        <v>3.5</v>
      </c>
    </row>
    <row r="102" spans="1:28" ht="17.5">
      <c r="A102" s="306"/>
      <c r="B102" s="288">
        <v>9</v>
      </c>
      <c r="C102" s="189"/>
      <c r="D102" s="75" t="s">
        <v>102</v>
      </c>
      <c r="E102" s="158" t="s">
        <v>57</v>
      </c>
      <c r="F102" s="158" t="s">
        <v>34</v>
      </c>
      <c r="G102" s="9"/>
      <c r="H102" s="9">
        <v>180.25</v>
      </c>
      <c r="I102" s="9">
        <v>1.0249999999999999</v>
      </c>
      <c r="J102" s="11">
        <f>O102/O$102</f>
        <v>1</v>
      </c>
      <c r="K102" s="9" t="s">
        <v>97</v>
      </c>
      <c r="L102" s="213">
        <f t="shared" ref="L102:L108" si="42">O102*H102</f>
        <v>2364.1566311150555</v>
      </c>
      <c r="M102" s="213">
        <f>L102/1000</f>
        <v>2.3641566311150553</v>
      </c>
      <c r="N102" s="11">
        <f t="shared" ref="N102:N107" si="43">L102/I102</f>
        <v>2306.4942742585908</v>
      </c>
      <c r="O102" s="214">
        <f>R109/X101</f>
        <v>13.115986857781168</v>
      </c>
      <c r="P102" s="9"/>
      <c r="Q102" s="9"/>
      <c r="R102" s="9"/>
      <c r="S102" s="9"/>
      <c r="T102" s="203" t="s">
        <v>112</v>
      </c>
      <c r="U102" s="173" t="s">
        <v>112</v>
      </c>
      <c r="V102" s="203" t="s">
        <v>112</v>
      </c>
      <c r="W102" s="203" t="s">
        <v>112</v>
      </c>
      <c r="X102" s="350"/>
      <c r="Y102" s="11"/>
      <c r="Z102" s="314"/>
      <c r="AA102" s="314"/>
      <c r="AB102" s="353"/>
    </row>
    <row r="103" spans="1:28" ht="17.5">
      <c r="A103" s="306"/>
      <c r="B103" s="288"/>
      <c r="C103" s="189"/>
      <c r="D103" s="21" t="s">
        <v>19</v>
      </c>
      <c r="E103" s="21" t="s">
        <v>20</v>
      </c>
      <c r="F103" s="156" t="s">
        <v>19</v>
      </c>
      <c r="G103" s="14"/>
      <c r="H103" s="22">
        <v>18.02</v>
      </c>
      <c r="I103" s="12">
        <v>1</v>
      </c>
      <c r="J103" s="11">
        <f t="shared" ref="J103:J106" si="44">O103/O$102</f>
        <v>88.484544950055536</v>
      </c>
      <c r="K103" s="14"/>
      <c r="L103" s="12">
        <f t="shared" si="42"/>
        <v>20913.32955884379</v>
      </c>
      <c r="M103" s="12">
        <f>L103/1000</f>
        <v>20.913329558843792</v>
      </c>
      <c r="N103" s="12">
        <f t="shared" si="43"/>
        <v>20913.32955884379</v>
      </c>
      <c r="O103" s="12">
        <f t="shared" ref="O103:O108" si="45">O$102*J56</f>
        <v>1160.5621286816754</v>
      </c>
      <c r="P103" s="14"/>
      <c r="Q103" s="14"/>
      <c r="R103" s="14"/>
      <c r="S103" s="201">
        <v>285</v>
      </c>
      <c r="T103" s="192" t="s">
        <v>108</v>
      </c>
      <c r="U103" s="22">
        <f>S103/((I103*16000)/H103)</f>
        <v>0.32098125</v>
      </c>
      <c r="V103" s="192" t="s">
        <v>172</v>
      </c>
      <c r="W103" s="21" t="s">
        <v>61</v>
      </c>
      <c r="X103" s="350"/>
      <c r="Y103" s="12">
        <f t="shared" ref="Y103:Y107" si="46">U103*O103</f>
        <v>372.51868276690504</v>
      </c>
      <c r="Z103" s="314"/>
      <c r="AA103" s="314"/>
      <c r="AB103" s="353"/>
    </row>
    <row r="104" spans="1:28">
      <c r="A104" s="306"/>
      <c r="B104" s="288"/>
      <c r="C104" s="189"/>
      <c r="D104" s="9" t="s">
        <v>91</v>
      </c>
      <c r="E104" s="17" t="s">
        <v>92</v>
      </c>
      <c r="F104" s="42" t="s">
        <v>22</v>
      </c>
      <c r="G104" s="9"/>
      <c r="H104" s="9">
        <v>102.89</v>
      </c>
      <c r="I104" s="9">
        <v>3.12</v>
      </c>
      <c r="J104" s="11">
        <f t="shared" si="44"/>
        <v>0.10000000001652255</v>
      </c>
      <c r="K104" s="9" t="s">
        <v>96</v>
      </c>
      <c r="L104" s="11">
        <f t="shared" si="42"/>
        <v>134.95038880200769</v>
      </c>
      <c r="M104" s="11">
        <f t="shared" ref="M104:M108" si="47">L104/1000</f>
        <v>0.13495038880200769</v>
      </c>
      <c r="N104" s="11">
        <f t="shared" si="43"/>
        <v>43.253329744233234</v>
      </c>
      <c r="O104" s="12">
        <f t="shared" si="45"/>
        <v>1.3115986859948263</v>
      </c>
      <c r="P104" s="9"/>
      <c r="Q104" s="9"/>
      <c r="R104" s="9"/>
      <c r="S104" s="11">
        <v>93.5</v>
      </c>
      <c r="T104" s="9" t="s">
        <v>16</v>
      </c>
      <c r="U104" s="11">
        <f>S104/(500/H104)</f>
        <v>19.24043</v>
      </c>
      <c r="V104" s="9" t="s">
        <v>105</v>
      </c>
      <c r="W104" s="9" t="s">
        <v>106</v>
      </c>
      <c r="X104" s="350"/>
      <c r="Y104" s="11">
        <f t="shared" si="46"/>
        <v>25.235722705975437</v>
      </c>
      <c r="Z104" s="314"/>
      <c r="AA104" s="314"/>
      <c r="AB104" s="353"/>
    </row>
    <row r="105" spans="1:28">
      <c r="A105" s="306"/>
      <c r="B105" s="189"/>
      <c r="C105" s="189"/>
      <c r="D105" s="9" t="s">
        <v>55</v>
      </c>
      <c r="E105" s="9" t="s">
        <v>56</v>
      </c>
      <c r="F105" s="42" t="s">
        <v>22</v>
      </c>
      <c r="G105" s="9"/>
      <c r="H105" s="9">
        <v>74.44</v>
      </c>
      <c r="I105" s="9">
        <v>1.206</v>
      </c>
      <c r="J105" s="11">
        <f t="shared" si="44"/>
        <v>1.0500000000000005</v>
      </c>
      <c r="K105" s="9"/>
      <c r="L105" s="11">
        <f t="shared" si="42"/>
        <v>1025.1717647778921</v>
      </c>
      <c r="M105" s="11">
        <f t="shared" si="47"/>
        <v>1.0251717647778922</v>
      </c>
      <c r="N105" s="11">
        <f t="shared" si="43"/>
        <v>850.05950644933012</v>
      </c>
      <c r="O105" s="12">
        <f t="shared" si="45"/>
        <v>13.771786200670233</v>
      </c>
      <c r="P105" s="9"/>
      <c r="Q105" s="9"/>
      <c r="R105" s="9"/>
      <c r="S105" s="11">
        <v>655</v>
      </c>
      <c r="T105" s="9" t="s">
        <v>53</v>
      </c>
      <c r="U105" s="11">
        <f>S105/((I105*18000)/H105)</f>
        <v>2.2460936060438548</v>
      </c>
      <c r="V105" s="9" t="s">
        <v>107</v>
      </c>
      <c r="W105" s="112" t="s">
        <v>58</v>
      </c>
      <c r="X105" s="350"/>
      <c r="Y105" s="11">
        <f t="shared" si="46"/>
        <v>30.932720929128401</v>
      </c>
      <c r="Z105" s="314"/>
      <c r="AA105" s="314"/>
      <c r="AB105" s="353"/>
    </row>
    <row r="106" spans="1:28" ht="17.5">
      <c r="A106" s="306"/>
      <c r="B106" s="189"/>
      <c r="C106" s="189"/>
      <c r="D106" s="9" t="s">
        <v>99</v>
      </c>
      <c r="E106" s="17" t="s">
        <v>31</v>
      </c>
      <c r="F106" s="42" t="s">
        <v>22</v>
      </c>
      <c r="G106" s="9"/>
      <c r="H106" s="9">
        <v>84.01</v>
      </c>
      <c r="I106" s="11">
        <v>2.2000000000000002</v>
      </c>
      <c r="J106" s="11">
        <f t="shared" si="44"/>
        <v>4.9999999999600024E-2</v>
      </c>
      <c r="K106" s="9" t="s">
        <v>100</v>
      </c>
      <c r="L106" s="11">
        <f t="shared" si="42"/>
        <v>55.093702795669081</v>
      </c>
      <c r="M106" s="11">
        <f t="shared" si="47"/>
        <v>5.5093702795669081E-2</v>
      </c>
      <c r="N106" s="11">
        <f t="shared" si="43"/>
        <v>25.042592179849581</v>
      </c>
      <c r="O106" s="12">
        <f t="shared" si="45"/>
        <v>0.65579934288381236</v>
      </c>
      <c r="P106" s="9"/>
      <c r="Q106" s="9"/>
      <c r="R106" s="9"/>
      <c r="S106" s="11">
        <v>447</v>
      </c>
      <c r="T106" s="9" t="s">
        <v>32</v>
      </c>
      <c r="U106" s="11">
        <f>S106/(50000/H106)</f>
        <v>0.75104939999999998</v>
      </c>
      <c r="V106" s="9" t="s">
        <v>33</v>
      </c>
      <c r="W106" s="112" t="s">
        <v>70</v>
      </c>
      <c r="X106" s="350"/>
      <c r="Y106" s="11">
        <f t="shared" si="46"/>
        <v>0.49253770299328153</v>
      </c>
      <c r="Z106" s="314"/>
      <c r="AA106" s="314"/>
      <c r="AB106" s="353"/>
    </row>
    <row r="107" spans="1:28" s="35" customFormat="1" ht="17.5">
      <c r="A107" s="306"/>
      <c r="B107" s="189"/>
      <c r="C107" s="189"/>
      <c r="D107" s="14" t="s">
        <v>101</v>
      </c>
      <c r="E107" s="17" t="s">
        <v>94</v>
      </c>
      <c r="F107" s="190" t="s">
        <v>18</v>
      </c>
      <c r="G107" s="14"/>
      <c r="H107" s="14">
        <f>102.13</f>
        <v>102.13</v>
      </c>
      <c r="I107" s="14">
        <v>0.872</v>
      </c>
      <c r="J107" s="12">
        <f>O107/O$102</f>
        <v>19.277505413705008</v>
      </c>
      <c r="K107" s="14"/>
      <c r="L107" s="12">
        <f t="shared" si="42"/>
        <v>25822.907437005346</v>
      </c>
      <c r="M107" s="12">
        <f t="shared" si="47"/>
        <v>25.822907437005345</v>
      </c>
      <c r="N107" s="12">
        <f t="shared" si="43"/>
        <v>29613.425959868517</v>
      </c>
      <c r="O107" s="12">
        <f t="shared" si="45"/>
        <v>252.84350765696021</v>
      </c>
      <c r="P107" s="14"/>
      <c r="Q107" s="14"/>
      <c r="R107" s="14"/>
      <c r="S107" s="12">
        <v>748</v>
      </c>
      <c r="T107" s="14" t="s">
        <v>108</v>
      </c>
      <c r="U107" s="12">
        <f>S107/((16000*I107)/H107)</f>
        <v>5.4754329128440355</v>
      </c>
      <c r="V107" s="17" t="s">
        <v>109</v>
      </c>
      <c r="W107" s="204" t="s">
        <v>93</v>
      </c>
      <c r="X107" s="350"/>
      <c r="Y107" s="12">
        <f t="shared" si="46"/>
        <v>1384.4276636238528</v>
      </c>
      <c r="Z107" s="314"/>
      <c r="AA107" s="314"/>
      <c r="AB107" s="353"/>
    </row>
    <row r="108" spans="1:28" ht="16">
      <c r="A108" s="306"/>
      <c r="B108" s="289"/>
      <c r="C108" s="289"/>
      <c r="D108" s="159" t="s">
        <v>126</v>
      </c>
      <c r="E108" s="45" t="s">
        <v>165</v>
      </c>
      <c r="F108" s="157" t="s">
        <v>41</v>
      </c>
      <c r="G108" s="45"/>
      <c r="H108" s="45">
        <v>156.25</v>
      </c>
      <c r="I108" s="45" t="s">
        <v>112</v>
      </c>
      <c r="J108" s="161">
        <f>O108/O$102</f>
        <v>1.0000000000000002E-2</v>
      </c>
      <c r="K108" s="45" t="s">
        <v>95</v>
      </c>
      <c r="L108" s="161">
        <f t="shared" si="42"/>
        <v>20.493729465283078</v>
      </c>
      <c r="M108" s="161">
        <f t="shared" si="47"/>
        <v>2.0493729465283078E-2</v>
      </c>
      <c r="N108" s="45" t="s">
        <v>112</v>
      </c>
      <c r="O108" s="15">
        <f t="shared" si="45"/>
        <v>0.1311598685778117</v>
      </c>
      <c r="P108" s="45"/>
      <c r="Q108" s="45"/>
      <c r="R108" s="45"/>
      <c r="S108" s="161">
        <v>151</v>
      </c>
      <c r="T108" s="45" t="s">
        <v>110</v>
      </c>
      <c r="U108" s="161">
        <f xml:space="preserve"> S108/(25/H108)</f>
        <v>943.75</v>
      </c>
      <c r="V108" s="45" t="s">
        <v>111</v>
      </c>
      <c r="W108" s="162" t="s">
        <v>59</v>
      </c>
      <c r="X108" s="350"/>
      <c r="Y108" s="161">
        <f>U108*O108</f>
        <v>123.78212597030979</v>
      </c>
      <c r="Z108" s="314"/>
      <c r="AA108" s="314"/>
      <c r="AB108" s="353"/>
    </row>
    <row r="109" spans="1:28" ht="17.5">
      <c r="A109" s="359"/>
      <c r="B109" s="287"/>
      <c r="C109" s="287">
        <v>2</v>
      </c>
      <c r="D109" s="99"/>
      <c r="E109" s="65" t="s">
        <v>98</v>
      </c>
      <c r="F109" s="115" t="s">
        <v>104</v>
      </c>
      <c r="G109" s="99" t="s">
        <v>103</v>
      </c>
      <c r="H109" s="99">
        <v>178.23</v>
      </c>
      <c r="I109" s="99"/>
      <c r="J109" s="99"/>
      <c r="K109" s="99"/>
      <c r="L109" s="99"/>
      <c r="M109" s="99"/>
      <c r="N109" s="99"/>
      <c r="O109" s="99"/>
      <c r="P109" s="272">
        <v>1800</v>
      </c>
      <c r="Q109" s="262">
        <f>P109/1000</f>
        <v>1.8</v>
      </c>
      <c r="R109" s="263">
        <f>P109/H109</f>
        <v>10.0993098804915</v>
      </c>
      <c r="S109" s="99"/>
      <c r="T109" s="99"/>
      <c r="U109" s="99"/>
      <c r="V109" s="99"/>
      <c r="W109" s="99"/>
      <c r="X109" s="351"/>
      <c r="Y109" s="113"/>
      <c r="Z109" s="319"/>
      <c r="AA109" s="319"/>
      <c r="AB109" s="354"/>
    </row>
    <row r="110" spans="1:28">
      <c r="X110" s="129" t="s">
        <v>135</v>
      </c>
      <c r="Y110" s="273">
        <f>(SUM(Y93:Y99)+SUM(Y103:Y107))/10</f>
        <v>240.18499035898577</v>
      </c>
    </row>
    <row r="112" spans="1:28">
      <c r="X112" s="58" t="s">
        <v>253</v>
      </c>
      <c r="Y112" s="60">
        <f>(Y107+Y98)/10</f>
        <v>178.97284272301016</v>
      </c>
    </row>
    <row r="113" spans="25:25">
      <c r="Y113" s="60"/>
    </row>
  </sheetData>
  <mergeCells count="48">
    <mergeCell ref="AB4:AB10"/>
    <mergeCell ref="Z25:Z31"/>
    <mergeCell ref="Z46:Z52"/>
    <mergeCell ref="Z93:Z99"/>
    <mergeCell ref="AB93:AB99"/>
    <mergeCell ref="AB46:AB52"/>
    <mergeCell ref="AB25:AB31"/>
    <mergeCell ref="AA54:AA62"/>
    <mergeCell ref="AB54:AB62"/>
    <mergeCell ref="Z54:Z62"/>
    <mergeCell ref="Z4:Z10"/>
    <mergeCell ref="A101:A109"/>
    <mergeCell ref="X101:X109"/>
    <mergeCell ref="Z101:Z109"/>
    <mergeCell ref="X25:X32"/>
    <mergeCell ref="A44:AB44"/>
    <mergeCell ref="AA101:AA109"/>
    <mergeCell ref="AB101:AB109"/>
    <mergeCell ref="A91:AB91"/>
    <mergeCell ref="A93:A100"/>
    <mergeCell ref="X93:X100"/>
    <mergeCell ref="AA93:AA100"/>
    <mergeCell ref="A12:A20"/>
    <mergeCell ref="A25:A32"/>
    <mergeCell ref="A66:A70"/>
    <mergeCell ref="A71:A75"/>
    <mergeCell ref="X46:X53"/>
    <mergeCell ref="X54:X62"/>
    <mergeCell ref="A46:A53"/>
    <mergeCell ref="A54:A62"/>
    <mergeCell ref="A64:D64"/>
    <mergeCell ref="A33:A41"/>
    <mergeCell ref="A1:AB1"/>
    <mergeCell ref="AA46:AA53"/>
    <mergeCell ref="AA4:AA11"/>
    <mergeCell ref="AA12:AA20"/>
    <mergeCell ref="AA25:AA32"/>
    <mergeCell ref="AA33:AA41"/>
    <mergeCell ref="A2:AB2"/>
    <mergeCell ref="X4:X11"/>
    <mergeCell ref="X12:X20"/>
    <mergeCell ref="X33:X41"/>
    <mergeCell ref="Z33:Z41"/>
    <mergeCell ref="AB33:AB41"/>
    <mergeCell ref="AB12:AB20"/>
    <mergeCell ref="A23:AB23"/>
    <mergeCell ref="A4:A11"/>
    <mergeCell ref="Z12:Z20"/>
  </mergeCells>
  <hyperlinks>
    <hyperlink ref="W19" r:id="rId1" display="/catalog/search?term=2564-83-2&amp;interface=CAS No.&amp;N=0&amp;mode=partialmax&amp;lang=en&amp;region=US&amp;focus=product"/>
    <hyperlink ref="W16" r:id="rId2" display="/catalog/search?term=7681-52-9&amp;interface=CAS No.&amp;N=0&amp;mode=partialmax&amp;lang=en&amp;region=US&amp;focus=product"/>
    <hyperlink ref="W40" r:id="rId3" display="/catalog/search?term=2564-83-2&amp;interface=CAS No.&amp;N=0&amp;mode=partialmax&amp;lang=en&amp;region=US&amp;focus=product"/>
    <hyperlink ref="W37" r:id="rId4" display="/catalog/search?term=7681-52-9&amp;interface=CAS No.&amp;N=0&amp;mode=partialmax&amp;lang=en&amp;region=US&amp;focus=product"/>
    <hyperlink ref="W61" r:id="rId5" display="/catalog/search?term=2564-83-2&amp;interface=CAS No.&amp;N=0&amp;mode=partialmax&amp;lang=en&amp;region=US&amp;focus=product"/>
    <hyperlink ref="W58" r:id="rId6" display="/catalog/search?term=7681-52-9&amp;interface=CAS No.&amp;N=0&amp;mode=partialmax&amp;lang=en&amp;region=US&amp;focus=product"/>
    <hyperlink ref="W108" r:id="rId7" display="/catalog/search?term=2564-83-2&amp;interface=CAS No.&amp;N=0&amp;mode=partialmax&amp;lang=en&amp;region=US&amp;focus=product"/>
    <hyperlink ref="W105" r:id="rId8" display="/catalog/search?term=7681-52-9&amp;interface=CAS No.&amp;N=0&amp;mode=partialmax&amp;lang=en&amp;region=US&amp;focus=product"/>
  </hyperlinks>
  <pageMargins left="0.7" right="0.7" top="0.75" bottom="0.75" header="0.3" footer="0.3"/>
  <pageSetup paperSize="9" orientation="portrait" horizontalDpi="0" verticalDpi="0"/>
  <drawing r:id="rId9"/>
  <legacyDrawing r:id="rId1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zoomScale="90" zoomScaleNormal="90" workbookViewId="0">
      <selection activeCell="B22" sqref="B22"/>
    </sheetView>
  </sheetViews>
  <sheetFormatPr defaultColWidth="11" defaultRowHeight="15.5"/>
  <cols>
    <col min="1" max="1" width="23.5" customWidth="1"/>
    <col min="2" max="2" width="42.5" customWidth="1"/>
    <col min="3" max="3" width="38" customWidth="1"/>
    <col min="4" max="4" width="16.83203125" customWidth="1"/>
    <col min="5" max="5" width="38.33203125" customWidth="1"/>
    <col min="6" max="6" width="33.6640625" customWidth="1"/>
    <col min="7" max="7" width="21.5" customWidth="1"/>
    <col min="8" max="8" width="39" customWidth="1"/>
    <col min="9" max="9" width="20.6640625" customWidth="1"/>
    <col min="10" max="10" width="36.1640625" bestFit="1" customWidth="1"/>
    <col min="11" max="11" width="35" customWidth="1"/>
    <col min="12" max="12" width="32.1640625" bestFit="1" customWidth="1"/>
    <col min="13" max="13" width="17.33203125" bestFit="1" customWidth="1"/>
  </cols>
  <sheetData>
    <row r="1" spans="1:13" ht="26">
      <c r="A1" s="362" t="s">
        <v>225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  <c r="M1" s="364"/>
    </row>
    <row r="2" spans="1:13">
      <c r="A2" s="341" t="s">
        <v>219</v>
      </c>
      <c r="B2" s="341"/>
      <c r="C2" s="341"/>
      <c r="D2" s="341"/>
      <c r="E2" s="341"/>
      <c r="F2" s="341"/>
      <c r="G2" s="341"/>
      <c r="H2" s="341"/>
      <c r="I2" s="341"/>
      <c r="J2" s="341"/>
      <c r="K2" s="341"/>
      <c r="L2" s="341"/>
      <c r="M2" s="341"/>
    </row>
    <row r="3" spans="1:13">
      <c r="A3" s="269" t="s">
        <v>83</v>
      </c>
      <c r="B3" s="92" t="s">
        <v>256</v>
      </c>
      <c r="C3" s="93" t="s">
        <v>247</v>
      </c>
      <c r="D3" s="251" t="s">
        <v>248</v>
      </c>
      <c r="E3" s="94" t="s">
        <v>249</v>
      </c>
      <c r="F3" s="95" t="s">
        <v>250</v>
      </c>
      <c r="G3" s="208" t="s">
        <v>235</v>
      </c>
      <c r="H3" s="208" t="s">
        <v>236</v>
      </c>
      <c r="I3" s="208" t="s">
        <v>237</v>
      </c>
      <c r="J3" s="208" t="s">
        <v>238</v>
      </c>
      <c r="K3" s="252" t="s">
        <v>239</v>
      </c>
      <c r="L3" s="208" t="s">
        <v>240</v>
      </c>
      <c r="M3" s="208" t="s">
        <v>84</v>
      </c>
    </row>
    <row r="4" spans="1:13">
      <c r="A4" s="8" t="s">
        <v>274</v>
      </c>
      <c r="B4" s="11">
        <f>'Advanced Starting Material'!C66</f>
        <v>0.75479740461254075</v>
      </c>
      <c r="C4" s="11">
        <f>'Advanced Starting Material'!C67</f>
        <v>1.7962482053108069</v>
      </c>
      <c r="D4" s="11">
        <f>'Advanced Starting Material'!C68</f>
        <v>1.0591249334565451</v>
      </c>
      <c r="E4" s="11">
        <f>'Advanced Starting Material'!C69</f>
        <v>3.1506430990287515</v>
      </c>
      <c r="F4" s="11">
        <f>'Advanced Starting Material'!D70</f>
        <v>1.3134203506194753</v>
      </c>
      <c r="G4" s="12">
        <f>(B4+D4-F4)/F4</f>
        <v>0.38106763551634376</v>
      </c>
      <c r="H4" s="11">
        <f>(B4+D4-F4)/F$6</f>
        <v>0.50050198744961061</v>
      </c>
      <c r="I4" s="11">
        <f>(B4+D4+C4+E4-F4)/F4</f>
        <v>4.1474865904277358</v>
      </c>
      <c r="J4" s="11">
        <f>(B4+D4+C4+E4-F4)/F$6</f>
        <v>5.4473932917891688</v>
      </c>
      <c r="K4" s="11">
        <f>(B4+D4+0.1*(C4)-F4)/F$6</f>
        <v>0.68012680798069125</v>
      </c>
      <c r="L4" s="19">
        <f>J4+1</f>
        <v>6.4473932917891688</v>
      </c>
      <c r="M4" s="44">
        <v>0</v>
      </c>
    </row>
    <row r="5" spans="1:13">
      <c r="A5" s="8" t="s">
        <v>275</v>
      </c>
      <c r="B5" s="11">
        <f>'Advanced Starting Material'!C71</f>
        <v>1.3134203506194753</v>
      </c>
      <c r="C5" s="11">
        <f>'Advanced Starting Material'!C72</f>
        <v>14.346059687225191</v>
      </c>
      <c r="D5" s="11">
        <f>'Advanced Starting Material'!C73</f>
        <v>0.6751199202086493</v>
      </c>
      <c r="E5" s="11">
        <f>'Advanced Starting Material'!C74</f>
        <v>11.618516421579884</v>
      </c>
      <c r="F5" s="11">
        <f>'Advanced Starting Material'!D75</f>
        <v>1</v>
      </c>
      <c r="G5" s="11">
        <f>(B5+D5-F5)/F5</f>
        <v>0.98854027082812457</v>
      </c>
      <c r="H5" s="11">
        <f>(B5+D5-F5)/F$6</f>
        <v>0.98854027082812457</v>
      </c>
      <c r="I5" s="11">
        <f>(B5+D5+C5+E5-F5)/F5</f>
        <v>26.953116379633197</v>
      </c>
      <c r="J5" s="11">
        <f>(B5+D5+C5+E5-F5)/F$6</f>
        <v>26.953116379633197</v>
      </c>
      <c r="K5" s="11">
        <f>(B5+D5+0.1*(C5)-F5)/F$6</f>
        <v>2.4231462395506438</v>
      </c>
      <c r="L5" s="19">
        <f>J5+1</f>
        <v>27.953116379633197</v>
      </c>
      <c r="M5" s="44">
        <v>1</v>
      </c>
    </row>
    <row r="6" spans="1:13">
      <c r="A6" s="221" t="s">
        <v>85</v>
      </c>
      <c r="B6" s="222">
        <f>B4</f>
        <v>0.75479740461254075</v>
      </c>
      <c r="C6" s="222">
        <f>SUM(C4:C5)</f>
        <v>16.142307892535996</v>
      </c>
      <c r="D6" s="222">
        <f>D4+D5</f>
        <v>1.7342448536651944</v>
      </c>
      <c r="E6" s="222">
        <f>E4+E5</f>
        <v>14.769159520608635</v>
      </c>
      <c r="F6" s="222">
        <v>1</v>
      </c>
      <c r="G6" s="223"/>
      <c r="H6" s="222">
        <f>(B6+D6-F6)/F$6</f>
        <v>1.4890422582777352</v>
      </c>
      <c r="I6" s="223"/>
      <c r="J6" s="222">
        <f>(B6+D6+C6+E6-F6)/F$6</f>
        <v>32.40050967142237</v>
      </c>
      <c r="K6" s="222">
        <f>(B6+D6+0.1*(C6)-F6)/F$6</f>
        <v>3.103273047531335</v>
      </c>
      <c r="L6" s="222">
        <f>J6+1</f>
        <v>33.40050967142237</v>
      </c>
      <c r="M6" s="224">
        <v>1</v>
      </c>
    </row>
    <row r="8" spans="1:13">
      <c r="E8" s="149"/>
      <c r="F8" s="149"/>
      <c r="G8" s="149"/>
      <c r="H8" s="149"/>
      <c r="I8" s="149"/>
      <c r="J8" s="149"/>
    </row>
    <row r="9" spans="1:13">
      <c r="A9" s="341" t="s">
        <v>194</v>
      </c>
      <c r="B9" s="341"/>
      <c r="C9" s="341"/>
      <c r="E9" s="149"/>
      <c r="F9" s="149"/>
      <c r="G9" s="149"/>
      <c r="H9" s="149"/>
      <c r="I9" s="149"/>
      <c r="J9" s="149"/>
    </row>
    <row r="10" spans="1:13">
      <c r="A10" s="125" t="s">
        <v>87</v>
      </c>
      <c r="B10" s="125" t="s">
        <v>88</v>
      </c>
      <c r="C10" s="125" t="s">
        <v>89</v>
      </c>
      <c r="E10" s="149"/>
      <c r="F10" s="149"/>
      <c r="G10" s="149"/>
      <c r="H10" s="149"/>
      <c r="I10" s="149"/>
      <c r="J10" s="149"/>
    </row>
    <row r="11" spans="1:13">
      <c r="A11" s="365" t="s">
        <v>242</v>
      </c>
      <c r="B11" s="365"/>
      <c r="C11" s="365"/>
      <c r="E11" s="149"/>
      <c r="F11" s="149"/>
      <c r="G11" s="149"/>
      <c r="H11" s="149"/>
      <c r="I11" s="149"/>
      <c r="J11" s="149"/>
    </row>
    <row r="12" spans="1:13">
      <c r="A12" s="103">
        <f>H6</f>
        <v>1.4890422582777352</v>
      </c>
      <c r="B12" s="103">
        <f>J6</f>
        <v>32.40050967142237</v>
      </c>
      <c r="C12" s="103">
        <f>K6</f>
        <v>3.103273047531335</v>
      </c>
      <c r="E12" s="149"/>
      <c r="F12" s="149"/>
      <c r="G12" s="149"/>
      <c r="H12" s="149"/>
      <c r="I12" s="149"/>
      <c r="J12" s="149"/>
    </row>
    <row r="13" spans="1:13">
      <c r="A13" s="365" t="s">
        <v>243</v>
      </c>
      <c r="B13" s="366"/>
      <c r="C13" s="366"/>
      <c r="E13" s="149"/>
      <c r="F13" s="149"/>
      <c r="G13" s="149"/>
      <c r="H13" s="149"/>
      <c r="I13" s="149"/>
      <c r="J13" s="149"/>
    </row>
    <row r="14" spans="1:13">
      <c r="A14" s="367">
        <f>1.8</f>
        <v>1.8</v>
      </c>
      <c r="B14" s="361"/>
      <c r="C14" s="361"/>
      <c r="E14" s="149"/>
      <c r="F14" s="149"/>
      <c r="G14" s="149"/>
      <c r="H14" s="149"/>
      <c r="I14" s="149"/>
      <c r="J14" s="149"/>
    </row>
    <row r="15" spans="1:13">
      <c r="A15" s="360" t="s">
        <v>241</v>
      </c>
      <c r="B15" s="361"/>
      <c r="C15" s="361"/>
      <c r="E15" s="149"/>
      <c r="F15" s="149"/>
      <c r="G15" s="149"/>
      <c r="H15" s="153"/>
      <c r="I15" s="153"/>
      <c r="J15" s="153"/>
    </row>
    <row r="16" spans="1:13">
      <c r="A16" s="207">
        <f>A14*A12</f>
        <v>2.6802760648999233</v>
      </c>
      <c r="B16" s="207">
        <f>A14*B12</f>
        <v>58.32091740856027</v>
      </c>
      <c r="C16" s="207">
        <f>A14*C12</f>
        <v>5.5858914855564032</v>
      </c>
      <c r="E16" s="153"/>
      <c r="F16" s="153"/>
      <c r="G16" s="149"/>
      <c r="H16" s="13"/>
      <c r="I16" s="13"/>
      <c r="J16" s="13"/>
    </row>
    <row r="17" spans="1:10">
      <c r="E17" s="13"/>
      <c r="F17" s="13"/>
      <c r="G17" s="149"/>
      <c r="H17" s="12"/>
      <c r="I17" s="12"/>
      <c r="J17" s="12"/>
    </row>
    <row r="18" spans="1:10">
      <c r="A18" s="338" t="s">
        <v>229</v>
      </c>
      <c r="B18" s="339"/>
      <c r="C18" s="339"/>
      <c r="D18" s="340"/>
      <c r="E18" s="152"/>
      <c r="F18" s="153"/>
      <c r="G18" s="153"/>
      <c r="H18" s="153"/>
      <c r="I18" s="153"/>
      <c r="J18" s="153"/>
    </row>
    <row r="19" spans="1:10">
      <c r="A19" s="92" t="s">
        <v>257</v>
      </c>
      <c r="B19" s="93" t="s">
        <v>247</v>
      </c>
      <c r="C19" s="251" t="s">
        <v>248</v>
      </c>
      <c r="D19" s="94" t="s">
        <v>249</v>
      </c>
      <c r="E19" s="12"/>
      <c r="F19" s="13"/>
      <c r="G19" s="13"/>
      <c r="H19" s="13"/>
      <c r="I19" s="13"/>
      <c r="J19" s="13"/>
    </row>
    <row r="20" spans="1:10">
      <c r="A20" s="206">
        <f>B6</f>
        <v>0.75479740461254075</v>
      </c>
      <c r="B20" s="206">
        <f>C6</f>
        <v>16.142307892535996</v>
      </c>
      <c r="C20" s="206">
        <f>D6</f>
        <v>1.7342448536651944</v>
      </c>
      <c r="D20" s="206">
        <f>E6</f>
        <v>14.769159520608635</v>
      </c>
      <c r="E20" s="155"/>
      <c r="F20" s="12"/>
      <c r="G20" s="12"/>
      <c r="H20" s="12"/>
      <c r="I20" s="12"/>
      <c r="J20" s="12"/>
    </row>
    <row r="21" spans="1:10">
      <c r="A21" s="206">
        <f>A20*A14</f>
        <v>1.3586353283025734</v>
      </c>
      <c r="B21" s="206">
        <f>B20*A14</f>
        <v>29.056154206564795</v>
      </c>
      <c r="C21" s="206">
        <f>C20*A14</f>
        <v>3.12164073659735</v>
      </c>
      <c r="D21" s="206">
        <f>D20*A14</f>
        <v>26.584487137095543</v>
      </c>
      <c r="E21" s="155" t="s">
        <v>278</v>
      </c>
      <c r="F21" s="155"/>
      <c r="G21" s="149"/>
      <c r="H21" s="149"/>
      <c r="I21" s="149"/>
      <c r="J21" s="149"/>
    </row>
    <row r="22" spans="1:10">
      <c r="E22" s="155"/>
      <c r="F22" s="155"/>
      <c r="G22" s="149"/>
      <c r="H22" s="149"/>
      <c r="I22" s="149"/>
      <c r="J22" s="149"/>
    </row>
    <row r="23" spans="1:10">
      <c r="E23" s="12"/>
      <c r="F23" s="12"/>
      <c r="G23" s="149"/>
      <c r="H23" s="149"/>
      <c r="I23" s="149"/>
      <c r="J23" s="149"/>
    </row>
    <row r="24" spans="1:10">
      <c r="E24" s="13"/>
      <c r="F24" s="13"/>
      <c r="G24" s="149"/>
      <c r="H24" s="149"/>
      <c r="I24" s="149"/>
      <c r="J24" s="149"/>
    </row>
    <row r="25" spans="1:10">
      <c r="E25" s="17"/>
      <c r="F25" s="19"/>
      <c r="G25" s="149"/>
      <c r="H25" s="149"/>
      <c r="I25" s="149"/>
      <c r="J25" s="149"/>
    </row>
    <row r="26" spans="1:10">
      <c r="E26" s="17"/>
      <c r="F26" s="19"/>
      <c r="G26" s="154"/>
      <c r="H26" s="154"/>
      <c r="I26" s="149"/>
      <c r="J26" s="149"/>
    </row>
    <row r="27" spans="1:10">
      <c r="E27" s="24"/>
      <c r="F27" s="19"/>
      <c r="G27" s="154"/>
      <c r="H27" s="154"/>
      <c r="I27" s="149"/>
      <c r="J27" s="149"/>
    </row>
    <row r="28" spans="1:10">
      <c r="E28" s="17"/>
      <c r="F28" s="19"/>
      <c r="G28" s="154"/>
      <c r="H28" s="154"/>
      <c r="I28" s="149"/>
      <c r="J28" s="149"/>
    </row>
    <row r="29" spans="1:10">
      <c r="E29" s="149"/>
      <c r="F29" s="150"/>
      <c r="G29" s="150"/>
      <c r="H29" s="150"/>
      <c r="I29" s="149"/>
      <c r="J29" s="149"/>
    </row>
    <row r="30" spans="1:10">
      <c r="E30" s="149"/>
      <c r="F30" s="152"/>
      <c r="G30" s="152"/>
      <c r="H30" s="152"/>
      <c r="I30" s="149"/>
      <c r="J30" s="149"/>
    </row>
    <row r="31" spans="1:10">
      <c r="E31" s="149"/>
      <c r="F31" s="151"/>
      <c r="G31" s="151"/>
      <c r="H31" s="151"/>
      <c r="I31" s="149"/>
      <c r="J31" s="149"/>
    </row>
  </sheetData>
  <mergeCells count="8">
    <mergeCell ref="A18:D18"/>
    <mergeCell ref="A15:C15"/>
    <mergeCell ref="A2:M2"/>
    <mergeCell ref="A1:M1"/>
    <mergeCell ref="A9:C9"/>
    <mergeCell ref="A11:C11"/>
    <mergeCell ref="A13:C13"/>
    <mergeCell ref="A14:C14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zoomScale="80" zoomScaleNormal="75" workbookViewId="0">
      <selection activeCell="D20" sqref="D20"/>
    </sheetView>
  </sheetViews>
  <sheetFormatPr defaultColWidth="11" defaultRowHeight="15.5"/>
  <cols>
    <col min="1" max="1" width="24.33203125" customWidth="1"/>
    <col min="2" max="2" width="28" customWidth="1"/>
    <col min="3" max="3" width="30.83203125" customWidth="1"/>
    <col min="4" max="4" width="21.33203125" customWidth="1"/>
    <col min="5" max="5" width="30.83203125" customWidth="1"/>
    <col min="6" max="6" width="26.6640625" customWidth="1"/>
    <col min="7" max="7" width="29.1640625" customWidth="1"/>
    <col min="8" max="8" width="18.5" customWidth="1"/>
    <col min="9" max="9" width="20.1640625" customWidth="1"/>
  </cols>
  <sheetData>
    <row r="1" spans="1:7" ht="26.5" thickBot="1">
      <c r="A1" s="368" t="s">
        <v>226</v>
      </c>
      <c r="B1" s="369"/>
      <c r="C1" s="369"/>
      <c r="D1" s="369"/>
      <c r="E1" s="369"/>
      <c r="F1" s="369"/>
      <c r="G1" s="370"/>
    </row>
    <row r="2" spans="1:7" ht="19" customHeight="1" thickBot="1">
      <c r="A2" s="264"/>
      <c r="B2" s="265"/>
      <c r="C2" s="265"/>
      <c r="D2" s="266"/>
      <c r="E2" s="265"/>
      <c r="F2" s="265"/>
      <c r="G2" s="267"/>
    </row>
    <row r="3" spans="1:7" ht="16" thickBot="1">
      <c r="A3" s="374" t="s">
        <v>227</v>
      </c>
      <c r="B3" s="375"/>
      <c r="C3" s="376"/>
      <c r="E3" s="374" t="s">
        <v>259</v>
      </c>
      <c r="F3" s="375"/>
      <c r="G3" s="376"/>
    </row>
    <row r="4" spans="1:7">
      <c r="A4" s="338" t="s">
        <v>196</v>
      </c>
      <c r="B4" s="339"/>
      <c r="C4" s="340"/>
      <c r="E4" s="338" t="s">
        <v>197</v>
      </c>
      <c r="F4" s="339"/>
      <c r="G4" s="340"/>
    </row>
    <row r="5" spans="1:7">
      <c r="A5" s="125" t="s">
        <v>244</v>
      </c>
      <c r="B5" s="125" t="s">
        <v>245</v>
      </c>
      <c r="C5" s="125" t="s">
        <v>246</v>
      </c>
      <c r="E5" s="125" t="s">
        <v>244</v>
      </c>
      <c r="F5" s="125" t="s">
        <v>245</v>
      </c>
      <c r="G5" s="125" t="s">
        <v>246</v>
      </c>
    </row>
    <row r="6" spans="1:7">
      <c r="A6" s="103">
        <f>'Step-by-step E-Factor'!A11</f>
        <v>7.6049877890440829</v>
      </c>
      <c r="B6" s="103">
        <f>'Step-by-step E-Factor'!B11</f>
        <v>42.264095130987002</v>
      </c>
      <c r="C6" s="103">
        <f>'Step-by-step E-Factor'!C11</f>
        <v>9.6667767058734171</v>
      </c>
      <c r="E6" s="103">
        <f>' ASM E-Factor'!A16</f>
        <v>2.6802760648999233</v>
      </c>
      <c r="F6" s="103">
        <f>' ASM E-Factor'!B16</f>
        <v>58.32091740856027</v>
      </c>
      <c r="G6" s="103">
        <f>' ASM E-Factor'!C16</f>
        <v>5.5858914855564032</v>
      </c>
    </row>
    <row r="10" spans="1:7">
      <c r="C10" s="377" t="s">
        <v>198</v>
      </c>
      <c r="D10" s="378"/>
      <c r="E10" s="379"/>
    </row>
    <row r="11" spans="1:7">
      <c r="C11" s="338" t="s">
        <v>221</v>
      </c>
      <c r="D11" s="339"/>
      <c r="E11" s="340"/>
    </row>
    <row r="12" spans="1:7">
      <c r="C12" s="125" t="s">
        <v>244</v>
      </c>
      <c r="D12" s="125" t="s">
        <v>245</v>
      </c>
      <c r="E12" s="125" t="s">
        <v>246</v>
      </c>
    </row>
    <row r="13" spans="1:7">
      <c r="C13" s="104">
        <f>A6+E6</f>
        <v>10.285263853944006</v>
      </c>
      <c r="D13" s="104">
        <f>B6+F6</f>
        <v>100.58501253954728</v>
      </c>
      <c r="E13" s="104">
        <f>C6+G6</f>
        <v>15.252668191429819</v>
      </c>
    </row>
    <row r="14" spans="1:7">
      <c r="C14" s="380" t="s">
        <v>90</v>
      </c>
      <c r="D14" s="381"/>
      <c r="E14" s="382"/>
    </row>
    <row r="15" spans="1:7">
      <c r="C15" s="371">
        <f>' ASM E-Factor'!M6+'Step-by-step E-Factor'!M7</f>
        <v>4</v>
      </c>
      <c r="D15" s="372"/>
      <c r="E15" s="373"/>
    </row>
    <row r="18" spans="1:9">
      <c r="A18" s="338" t="s">
        <v>220</v>
      </c>
      <c r="B18" s="339"/>
      <c r="C18" s="339"/>
      <c r="D18" s="340"/>
      <c r="E18" s="153"/>
    </row>
    <row r="19" spans="1:9">
      <c r="A19" s="92" t="s">
        <v>258</v>
      </c>
      <c r="B19" s="93" t="s">
        <v>247</v>
      </c>
      <c r="C19" s="251" t="s">
        <v>248</v>
      </c>
      <c r="D19" s="94" t="s">
        <v>249</v>
      </c>
      <c r="E19" s="13"/>
    </row>
    <row r="20" spans="1:9">
      <c r="A20" s="207">
        <f>'Step-by-step E-Factor'!A15+' ASM E-Factor'!A21</f>
        <v>3.1591724415670468</v>
      </c>
      <c r="B20" s="207">
        <f>'Step-by-step E-Factor'!B15+' ASM E-Factor'!B21</f>
        <v>49.67404337485813</v>
      </c>
      <c r="C20" s="207">
        <f>'Step-by-step E-Factor'!C15+' ASM E-Factor'!C21</f>
        <v>9.9260914123769606</v>
      </c>
      <c r="D20" s="207">
        <f>'Step-by-step E-Factor'!D15+' ASM E-Factor'!D21</f>
        <v>40.625705310745126</v>
      </c>
      <c r="E20" s="12"/>
    </row>
    <row r="21" spans="1:9">
      <c r="H21" s="13"/>
      <c r="I21" s="268"/>
    </row>
    <row r="22" spans="1:9">
      <c r="H22" s="17"/>
      <c r="I22" s="12"/>
    </row>
    <row r="23" spans="1:9">
      <c r="H23" s="17"/>
      <c r="I23" s="12"/>
    </row>
    <row r="24" spans="1:9">
      <c r="H24" s="17"/>
      <c r="I24" s="12"/>
    </row>
    <row r="25" spans="1:9">
      <c r="H25" s="17"/>
      <c r="I25" s="12"/>
    </row>
    <row r="26" spans="1:9">
      <c r="H26" s="17"/>
      <c r="I26" s="12"/>
    </row>
  </sheetData>
  <mergeCells count="10">
    <mergeCell ref="A18:D18"/>
    <mergeCell ref="A1:G1"/>
    <mergeCell ref="C15:E15"/>
    <mergeCell ref="A4:C4"/>
    <mergeCell ref="A3:C3"/>
    <mergeCell ref="E3:G3"/>
    <mergeCell ref="E4:G4"/>
    <mergeCell ref="C10:E10"/>
    <mergeCell ref="C14:E14"/>
    <mergeCell ref="C11:E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Step-by-step procedure</vt:lpstr>
      <vt:lpstr>Step-by-step E-Factor</vt:lpstr>
      <vt:lpstr>Advanced Starting Material</vt:lpstr>
      <vt:lpstr> ASM E-Factor</vt:lpstr>
      <vt:lpstr>Cummulative E-factor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Akakios</dc:creator>
  <cp:lastModifiedBy>Roger</cp:lastModifiedBy>
  <dcterms:created xsi:type="dcterms:W3CDTF">2018-04-03T11:16:12Z</dcterms:created>
  <dcterms:modified xsi:type="dcterms:W3CDTF">2021-03-08T09:24:58Z</dcterms:modified>
</cp:coreProperties>
</file>