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ink/ink1.xml" ContentType="application/inkml+xml"/>
  <Override PartName="/xl/ink/ink2.xml" ContentType="application/inkml+xml"/>
  <Override PartName="/xl/ink/ink3.xml" ContentType="application/inkml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ink/ink4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ger\Desktop\"/>
    </mc:Choice>
  </mc:AlternateContent>
  <bookViews>
    <workbookView xWindow="0" yWindow="0" windowWidth="19200" windowHeight="7050" activeTab="3"/>
  </bookViews>
  <sheets>
    <sheet name="One-pot procedure" sheetId="3" r:id="rId1"/>
    <sheet name="One-pot E-factor" sheetId="4" r:id="rId2"/>
    <sheet name="Advanced Starting Material" sheetId="1" r:id="rId3"/>
    <sheet name="ASM E-factor" sheetId="2" r:id="rId4"/>
    <sheet name="One-pot Cummulative E-factor" sheetId="5" r:id="rId5"/>
    <sheet name="Step-by-step procedure" sheetId="6" r:id="rId6"/>
    <sheet name="Step-by-step E-factor" sheetId="7" r:id="rId7"/>
    <sheet name="Step-by-step Cummulative E-fact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0" i="5" l="1"/>
  <c r="D13" i="5" l="1"/>
  <c r="C20" i="5"/>
  <c r="A20" i="5"/>
  <c r="C20" i="8"/>
  <c r="B20" i="8"/>
  <c r="A20" i="8"/>
  <c r="D21" i="2"/>
  <c r="C21" i="2"/>
  <c r="B21" i="2"/>
  <c r="A21" i="2"/>
  <c r="D13" i="8"/>
  <c r="D6" i="7"/>
  <c r="Y78" i="6"/>
  <c r="Y28" i="3" l="1"/>
  <c r="J4" i="7" l="1"/>
  <c r="I4" i="7"/>
  <c r="H4" i="7"/>
  <c r="K6" i="7"/>
  <c r="Y102" i="1"/>
  <c r="G4" i="7" l="1"/>
  <c r="X78" i="6" l="1"/>
  <c r="G6" i="5" l="1"/>
  <c r="F6" i="5"/>
  <c r="E6" i="5"/>
  <c r="G6" i="8"/>
  <c r="F6" i="8"/>
  <c r="E6" i="8"/>
  <c r="E16" i="2"/>
  <c r="G12" i="2"/>
  <c r="F12" i="2"/>
  <c r="F16" i="2" s="1"/>
  <c r="E12" i="2"/>
  <c r="A12" i="2"/>
  <c r="G16" i="2"/>
  <c r="A20" i="2"/>
  <c r="U74" i="6" l="1"/>
  <c r="S74" i="6"/>
  <c r="S48" i="6"/>
  <c r="U48" i="6" s="1"/>
  <c r="U22" i="6"/>
  <c r="U24" i="3"/>
  <c r="U10" i="3"/>
  <c r="S10" i="3"/>
  <c r="U75" i="6"/>
  <c r="U67" i="6"/>
  <c r="U59" i="6"/>
  <c r="U49" i="6"/>
  <c r="U41" i="6"/>
  <c r="U33" i="6"/>
  <c r="U23" i="6"/>
  <c r="U15" i="6"/>
  <c r="U7" i="6"/>
  <c r="U25" i="3"/>
  <c r="U11" i="3"/>
  <c r="S72" i="6"/>
  <c r="U72" i="6"/>
  <c r="U64" i="6"/>
  <c r="S64" i="6"/>
  <c r="S58" i="6"/>
  <c r="U58" i="6"/>
  <c r="U46" i="6"/>
  <c r="S46" i="6"/>
  <c r="S38" i="6"/>
  <c r="U38" i="6" s="1"/>
  <c r="U32" i="6"/>
  <c r="S32" i="6"/>
  <c r="U20" i="6"/>
  <c r="S20" i="6"/>
  <c r="S12" i="6"/>
  <c r="U12" i="6" s="1"/>
  <c r="U6" i="6"/>
  <c r="S20" i="3"/>
  <c r="U20" i="3" s="1"/>
  <c r="U6" i="3"/>
  <c r="U13" i="6"/>
  <c r="U66" i="6" l="1"/>
  <c r="U40" i="6"/>
  <c r="S40" i="6"/>
  <c r="S14" i="6"/>
  <c r="U14" i="6" s="1"/>
  <c r="U21" i="3"/>
  <c r="U7" i="3"/>
  <c r="O14" i="6" l="1"/>
  <c r="J14" i="6" s="1"/>
  <c r="AB78" i="6" l="1"/>
  <c r="AB28" i="3"/>
  <c r="R8" i="1" l="1"/>
  <c r="M10" i="1"/>
  <c r="R22" i="1" l="1"/>
  <c r="O19" i="1" s="1"/>
  <c r="L24" i="1"/>
  <c r="M7" i="7" l="1"/>
  <c r="F7" i="7"/>
  <c r="E6" i="7"/>
  <c r="C92" i="6"/>
  <c r="B6" i="7" s="1"/>
  <c r="C95" i="6"/>
  <c r="C90" i="6"/>
  <c r="E5" i="7" s="1"/>
  <c r="C85" i="6"/>
  <c r="E4" i="7" s="1"/>
  <c r="R77" i="6"/>
  <c r="X70" i="6" s="1"/>
  <c r="Q77" i="6"/>
  <c r="D96" i="6" s="1"/>
  <c r="F6" i="7" s="1"/>
  <c r="U76" i="6"/>
  <c r="U73" i="6"/>
  <c r="L71" i="6"/>
  <c r="M71" i="6" s="1"/>
  <c r="J71" i="6"/>
  <c r="R69" i="6"/>
  <c r="P69" i="6" s="1"/>
  <c r="Q69" i="6" s="1"/>
  <c r="D91" i="6" s="1"/>
  <c r="F5" i="7" s="1"/>
  <c r="U68" i="6"/>
  <c r="S65" i="6"/>
  <c r="H65" i="6"/>
  <c r="L63" i="6"/>
  <c r="M63" i="6" s="1"/>
  <c r="C87" i="6" s="1"/>
  <c r="B5" i="7" s="1"/>
  <c r="R61" i="6"/>
  <c r="P61" i="6" s="1"/>
  <c r="Q61" i="6" s="1"/>
  <c r="D86" i="6" s="1"/>
  <c r="F4" i="7" s="1"/>
  <c r="U60" i="6"/>
  <c r="U57" i="6"/>
  <c r="S57" i="6"/>
  <c r="L56" i="6"/>
  <c r="M56" i="6" s="1"/>
  <c r="C82" i="6" s="1"/>
  <c r="B4" i="7" s="1"/>
  <c r="J56" i="6"/>
  <c r="R35" i="6"/>
  <c r="P35" i="6" s="1"/>
  <c r="Q35" i="6" s="1"/>
  <c r="R43" i="6"/>
  <c r="P43" i="6"/>
  <c r="Q43" i="6" s="1"/>
  <c r="L45" i="6"/>
  <c r="M45" i="6" s="1"/>
  <c r="L37" i="6"/>
  <c r="M37" i="6" s="1"/>
  <c r="L30" i="6"/>
  <c r="M30" i="6" s="1"/>
  <c r="J45" i="6"/>
  <c r="J30" i="6"/>
  <c r="P51" i="6"/>
  <c r="Q51" i="6" s="1"/>
  <c r="U50" i="6"/>
  <c r="U47" i="6"/>
  <c r="X44" i="6"/>
  <c r="U42" i="6"/>
  <c r="S39" i="6"/>
  <c r="H39" i="6"/>
  <c r="X36" i="6"/>
  <c r="X30" i="6"/>
  <c r="U34" i="6"/>
  <c r="S31" i="6"/>
  <c r="U31" i="6" s="1"/>
  <c r="Y30" i="6"/>
  <c r="X62" i="6" l="1"/>
  <c r="U39" i="6"/>
  <c r="U65" i="6"/>
  <c r="B7" i="7"/>
  <c r="E7" i="7"/>
  <c r="D12" i="7" s="1"/>
  <c r="X56" i="6"/>
  <c r="Y68" i="6"/>
  <c r="N68" i="6"/>
  <c r="L32" i="6"/>
  <c r="N32" i="6" s="1"/>
  <c r="P25" i="6"/>
  <c r="Q25" i="6" s="1"/>
  <c r="U24" i="6"/>
  <c r="O24" i="6"/>
  <c r="N24" i="6"/>
  <c r="M24" i="6"/>
  <c r="O23" i="6"/>
  <c r="N23" i="6"/>
  <c r="M23" i="6"/>
  <c r="Y22" i="6"/>
  <c r="O22" i="6"/>
  <c r="N22" i="6"/>
  <c r="M22" i="6"/>
  <c r="U21" i="6"/>
  <c r="Y21" i="6" s="1"/>
  <c r="O21" i="6"/>
  <c r="M21" i="6"/>
  <c r="L20" i="6"/>
  <c r="O20" i="6" s="1"/>
  <c r="O19" i="6"/>
  <c r="X18" i="6" s="1"/>
  <c r="M19" i="6"/>
  <c r="R17" i="6"/>
  <c r="X10" i="6" s="1"/>
  <c r="Q17" i="6"/>
  <c r="U16" i="6"/>
  <c r="O16" i="6"/>
  <c r="J16" i="6" s="1"/>
  <c r="O42" i="6" s="1"/>
  <c r="J42" i="6" s="1"/>
  <c r="O68" i="6" s="1"/>
  <c r="L68" i="6" s="1"/>
  <c r="M68" i="6" s="1"/>
  <c r="N16" i="6"/>
  <c r="M16" i="6"/>
  <c r="Y15" i="6"/>
  <c r="O15" i="6"/>
  <c r="N15" i="6"/>
  <c r="M15" i="6"/>
  <c r="O40" i="6"/>
  <c r="M14" i="6"/>
  <c r="L13" i="6"/>
  <c r="N13" i="6" s="1"/>
  <c r="S13" i="6"/>
  <c r="H13" i="6"/>
  <c r="O11" i="6"/>
  <c r="J15" i="6" s="1"/>
  <c r="O41" i="6" s="1"/>
  <c r="L12" i="6"/>
  <c r="O12" i="6" s="1"/>
  <c r="J12" i="6" s="1"/>
  <c r="O38" i="6" s="1"/>
  <c r="J38" i="6" s="1"/>
  <c r="O64" i="6" s="1"/>
  <c r="L64" i="6" s="1"/>
  <c r="N64" i="6" s="1"/>
  <c r="M11" i="6"/>
  <c r="R9" i="6"/>
  <c r="Q9" i="6"/>
  <c r="U8" i="6"/>
  <c r="O8" i="6"/>
  <c r="N8" i="6"/>
  <c r="M8" i="6"/>
  <c r="O7" i="6"/>
  <c r="N7" i="6"/>
  <c r="M7" i="6"/>
  <c r="O6" i="6"/>
  <c r="J6" i="6" s="1"/>
  <c r="O32" i="6" s="1"/>
  <c r="J32" i="6" s="1"/>
  <c r="O58" i="6" s="1"/>
  <c r="N6" i="6"/>
  <c r="M6" i="6"/>
  <c r="S5" i="6"/>
  <c r="U5" i="6" s="1"/>
  <c r="Y5" i="6" s="1"/>
  <c r="O5" i="6"/>
  <c r="N5" i="6"/>
  <c r="M5" i="6"/>
  <c r="J98" i="1"/>
  <c r="Q101" i="1"/>
  <c r="R101" i="1"/>
  <c r="X97" i="1" s="1"/>
  <c r="U100" i="1"/>
  <c r="S99" i="1"/>
  <c r="U99" i="1" s="1"/>
  <c r="L98" i="1"/>
  <c r="M98" i="1" s="1"/>
  <c r="R96" i="1"/>
  <c r="U95" i="1"/>
  <c r="U94" i="1"/>
  <c r="U93" i="1"/>
  <c r="U92" i="1"/>
  <c r="O4" i="6"/>
  <c r="J4" i="6" s="1"/>
  <c r="M4" i="6"/>
  <c r="J41" i="6" l="1"/>
  <c r="O67" i="6" s="1"/>
  <c r="L41" i="6"/>
  <c r="Y41" i="6"/>
  <c r="J40" i="6"/>
  <c r="O66" i="6" s="1"/>
  <c r="L40" i="6"/>
  <c r="M40" i="6" s="1"/>
  <c r="Y40" i="6"/>
  <c r="Y24" i="6"/>
  <c r="J19" i="6"/>
  <c r="Y14" i="6"/>
  <c r="P96" i="1"/>
  <c r="Q96" i="1" s="1"/>
  <c r="O93" i="1"/>
  <c r="Y42" i="6"/>
  <c r="L58" i="6"/>
  <c r="J58" i="6"/>
  <c r="J20" i="6"/>
  <c r="O46" i="6" s="1"/>
  <c r="J23" i="6"/>
  <c r="O49" i="6" s="1"/>
  <c r="L42" i="6"/>
  <c r="J64" i="6"/>
  <c r="Y32" i="6"/>
  <c r="M64" i="6"/>
  <c r="L38" i="6"/>
  <c r="J68" i="6"/>
  <c r="Y58" i="6"/>
  <c r="M12" i="6"/>
  <c r="O13" i="6"/>
  <c r="J13" i="6" s="1"/>
  <c r="O39" i="6" s="1"/>
  <c r="N12" i="6"/>
  <c r="M32" i="6"/>
  <c r="Y38" i="6"/>
  <c r="Y64" i="6"/>
  <c r="A12" i="7"/>
  <c r="N41" i="6"/>
  <c r="M41" i="6"/>
  <c r="Y13" i="6"/>
  <c r="Y16" i="6"/>
  <c r="Y23" i="6"/>
  <c r="J22" i="6"/>
  <c r="O48" i="6" s="1"/>
  <c r="J21" i="6"/>
  <c r="O47" i="6" s="1"/>
  <c r="J8" i="6"/>
  <c r="O34" i="6" s="1"/>
  <c r="N20" i="6"/>
  <c r="Y20" i="6"/>
  <c r="J24" i="6"/>
  <c r="O50" i="6" s="1"/>
  <c r="J5" i="6"/>
  <c r="O31" i="6" s="1"/>
  <c r="J7" i="6"/>
  <c r="O33" i="6" s="1"/>
  <c r="X4" i="6"/>
  <c r="M20" i="6"/>
  <c r="M13" i="6"/>
  <c r="Y12" i="6"/>
  <c r="Y8" i="6"/>
  <c r="Y7" i="6"/>
  <c r="Y6" i="6"/>
  <c r="D36" i="3"/>
  <c r="F4" i="4" s="1"/>
  <c r="C35" i="3"/>
  <c r="E4" i="4" s="1"/>
  <c r="D10" i="4" s="1"/>
  <c r="L18" i="3"/>
  <c r="R27" i="3"/>
  <c r="Q27" i="3"/>
  <c r="U26" i="3"/>
  <c r="U23" i="3"/>
  <c r="S22" i="3"/>
  <c r="U22" i="3" s="1"/>
  <c r="H22" i="3"/>
  <c r="S19" i="3"/>
  <c r="U19" i="3" s="1"/>
  <c r="X18" i="3"/>
  <c r="M18" i="3"/>
  <c r="C32" i="3" s="1"/>
  <c r="M11" i="3"/>
  <c r="U12" i="3"/>
  <c r="Q13" i="3"/>
  <c r="R13" i="3"/>
  <c r="O12" i="3"/>
  <c r="N12" i="3"/>
  <c r="M12" i="3"/>
  <c r="O11" i="3"/>
  <c r="N11" i="3"/>
  <c r="M38" i="6" l="1"/>
  <c r="N38" i="6"/>
  <c r="J46" i="6"/>
  <c r="O72" i="6" s="1"/>
  <c r="L46" i="6"/>
  <c r="Y46" i="6"/>
  <c r="N58" i="6"/>
  <c r="M58" i="6"/>
  <c r="L33" i="6"/>
  <c r="Y33" i="6"/>
  <c r="J33" i="6"/>
  <c r="O59" i="6" s="1"/>
  <c r="J31" i="6"/>
  <c r="O57" i="6" s="1"/>
  <c r="L31" i="6"/>
  <c r="Y31" i="6"/>
  <c r="L66" i="6"/>
  <c r="M66" i="6" s="1"/>
  <c r="Y66" i="6"/>
  <c r="J66" i="6"/>
  <c r="J47" i="6"/>
  <c r="O73" i="6" s="1"/>
  <c r="Y47" i="6"/>
  <c r="L47" i="6"/>
  <c r="M47" i="6" s="1"/>
  <c r="J48" i="6"/>
  <c r="O74" i="6" s="1"/>
  <c r="L48" i="6"/>
  <c r="Y48" i="6"/>
  <c r="J39" i="6"/>
  <c r="O65" i="6" s="1"/>
  <c r="L39" i="6"/>
  <c r="Y39" i="6"/>
  <c r="M42" i="6"/>
  <c r="N42" i="6"/>
  <c r="J34" i="6"/>
  <c r="O60" i="6" s="1"/>
  <c r="L34" i="6"/>
  <c r="Y34" i="6"/>
  <c r="E5" i="4"/>
  <c r="J50" i="6"/>
  <c r="O76" i="6" s="1"/>
  <c r="Y50" i="6"/>
  <c r="L50" i="6"/>
  <c r="L49" i="6"/>
  <c r="J49" i="6"/>
  <c r="O75" i="6" s="1"/>
  <c r="Y49" i="6"/>
  <c r="L67" i="6"/>
  <c r="Y67" i="6"/>
  <c r="J67" i="6"/>
  <c r="F5" i="4"/>
  <c r="J93" i="1"/>
  <c r="Y93" i="1"/>
  <c r="X92" i="1"/>
  <c r="L93" i="1"/>
  <c r="J18" i="3"/>
  <c r="Y12" i="3"/>
  <c r="Y11" i="3"/>
  <c r="N10" i="3"/>
  <c r="O10" i="3"/>
  <c r="M10" i="3"/>
  <c r="U9" i="3"/>
  <c r="O9" i="3"/>
  <c r="M9" i="3"/>
  <c r="L8" i="3"/>
  <c r="S8" i="3"/>
  <c r="U8" i="3" s="1"/>
  <c r="H8" i="3"/>
  <c r="O7" i="3"/>
  <c r="M7" i="3"/>
  <c r="M67" i="6" l="1"/>
  <c r="C88" i="6" s="1"/>
  <c r="C5" i="7" s="1"/>
  <c r="N67" i="6"/>
  <c r="N33" i="6"/>
  <c r="M33" i="6"/>
  <c r="L75" i="6"/>
  <c r="Y75" i="6"/>
  <c r="J75" i="6"/>
  <c r="N34" i="6"/>
  <c r="M34" i="6"/>
  <c r="N48" i="6"/>
  <c r="M48" i="6"/>
  <c r="Y10" i="3"/>
  <c r="J60" i="6"/>
  <c r="L60" i="6"/>
  <c r="Y60" i="6"/>
  <c r="N50" i="6"/>
  <c r="M50" i="6"/>
  <c r="Y7" i="3"/>
  <c r="N49" i="6"/>
  <c r="M49" i="6"/>
  <c r="M31" i="6"/>
  <c r="N31" i="6"/>
  <c r="J57" i="6"/>
  <c r="L57" i="6"/>
  <c r="Y57" i="6"/>
  <c r="Y76" i="6"/>
  <c r="L76" i="6"/>
  <c r="J76" i="6"/>
  <c r="L73" i="6"/>
  <c r="M73" i="6" s="1"/>
  <c r="J73" i="6"/>
  <c r="Y73" i="6"/>
  <c r="Y59" i="6"/>
  <c r="J59" i="6"/>
  <c r="L59" i="6"/>
  <c r="J65" i="6"/>
  <c r="Y65" i="6"/>
  <c r="L65" i="6"/>
  <c r="L74" i="6"/>
  <c r="J74" i="6"/>
  <c r="Y74" i="6"/>
  <c r="M46" i="6"/>
  <c r="N46" i="6"/>
  <c r="L72" i="6"/>
  <c r="J72" i="6"/>
  <c r="Y72" i="6"/>
  <c r="N39" i="6"/>
  <c r="M39" i="6"/>
  <c r="Y9" i="3"/>
  <c r="N93" i="1"/>
  <c r="M93" i="1"/>
  <c r="N8" i="3"/>
  <c r="M8" i="3"/>
  <c r="P86" i="1"/>
  <c r="R86" i="1" s="1"/>
  <c r="X82" i="1" s="1"/>
  <c r="S5" i="3"/>
  <c r="U5" i="3" s="1"/>
  <c r="J83" i="1"/>
  <c r="R81" i="1"/>
  <c r="U85" i="1"/>
  <c r="S84" i="1"/>
  <c r="U84" i="1" s="1"/>
  <c r="L83" i="1"/>
  <c r="M83" i="1" s="1"/>
  <c r="U80" i="1"/>
  <c r="U79" i="1"/>
  <c r="U78" i="1"/>
  <c r="U77" i="1"/>
  <c r="N6" i="3"/>
  <c r="O5" i="3"/>
  <c r="N5" i="3"/>
  <c r="M5" i="3"/>
  <c r="O4" i="3"/>
  <c r="J10" i="3" s="1"/>
  <c r="O24" i="3" s="1"/>
  <c r="M4" i="3"/>
  <c r="R71" i="1"/>
  <c r="X67" i="1" s="1"/>
  <c r="J68" i="1"/>
  <c r="Q71" i="1"/>
  <c r="U70" i="1"/>
  <c r="S69" i="1"/>
  <c r="U69" i="1" s="1"/>
  <c r="L68" i="1"/>
  <c r="M68" i="1" s="1"/>
  <c r="R66" i="1"/>
  <c r="P66" i="1" s="1"/>
  <c r="Q66" i="1" s="1"/>
  <c r="U65" i="1"/>
  <c r="U64" i="1"/>
  <c r="U63" i="1"/>
  <c r="U62" i="1"/>
  <c r="C40" i="1"/>
  <c r="E5" i="2" s="1"/>
  <c r="C35" i="1"/>
  <c r="E4" i="2" s="1"/>
  <c r="J19" i="1"/>
  <c r="M24" i="1"/>
  <c r="C37" i="1" s="1"/>
  <c r="B5" i="2" s="1"/>
  <c r="J24" i="1"/>
  <c r="R27" i="1"/>
  <c r="X23" i="1" s="1"/>
  <c r="Q27" i="1"/>
  <c r="D41" i="1" s="1"/>
  <c r="F5" i="2" s="1"/>
  <c r="U26" i="1"/>
  <c r="S25" i="1"/>
  <c r="U25" i="1" s="1"/>
  <c r="U21" i="1"/>
  <c r="U20" i="1"/>
  <c r="U19" i="1"/>
  <c r="U18" i="1"/>
  <c r="R13" i="1"/>
  <c r="X9" i="1" s="1"/>
  <c r="U7" i="1"/>
  <c r="U4" i="1"/>
  <c r="N4" i="1"/>
  <c r="O4" i="1"/>
  <c r="M4" i="1"/>
  <c r="N74" i="6" l="1"/>
  <c r="M74" i="6"/>
  <c r="C94" i="6" s="1"/>
  <c r="N60" i="6"/>
  <c r="M60" i="6"/>
  <c r="N65" i="6"/>
  <c r="M65" i="6"/>
  <c r="C89" i="6" s="1"/>
  <c r="N75" i="6"/>
  <c r="M75" i="6"/>
  <c r="N72" i="6"/>
  <c r="M72" i="6"/>
  <c r="M76" i="6"/>
  <c r="N76" i="6"/>
  <c r="N59" i="6"/>
  <c r="M59" i="6"/>
  <c r="C83" i="6" s="1"/>
  <c r="C4" i="7" s="1"/>
  <c r="N57" i="6"/>
  <c r="M57" i="6"/>
  <c r="C84" i="6" s="1"/>
  <c r="D4" i="7" s="1"/>
  <c r="J12" i="3"/>
  <c r="O26" i="3" s="1"/>
  <c r="X4" i="3"/>
  <c r="O8" i="3"/>
  <c r="J11" i="3"/>
  <c r="O25" i="3" s="1"/>
  <c r="J9" i="3"/>
  <c r="O23" i="3" s="1"/>
  <c r="J7" i="3"/>
  <c r="O21" i="3" s="1"/>
  <c r="L24" i="3"/>
  <c r="J24" i="3"/>
  <c r="Y24" i="3"/>
  <c r="E6" i="2"/>
  <c r="D20" i="2" s="1"/>
  <c r="Y4" i="1"/>
  <c r="P81" i="1"/>
  <c r="Q81" i="1" s="1"/>
  <c r="O78" i="1"/>
  <c r="Y78" i="1" s="1"/>
  <c r="Y5" i="3"/>
  <c r="Q86" i="1"/>
  <c r="J4" i="3"/>
  <c r="O6" i="3"/>
  <c r="J6" i="3" s="1"/>
  <c r="O20" i="3" s="1"/>
  <c r="M6" i="3"/>
  <c r="J5" i="3"/>
  <c r="O19" i="3" s="1"/>
  <c r="O63" i="1"/>
  <c r="X62" i="1" s="1"/>
  <c r="L19" i="1"/>
  <c r="N19" i="1" s="1"/>
  <c r="X18" i="1"/>
  <c r="X28" i="1" s="1"/>
  <c r="P22" i="1"/>
  <c r="Q22" i="1" s="1"/>
  <c r="D36" i="1" s="1"/>
  <c r="F4" i="2" s="1"/>
  <c r="Y19" i="1"/>
  <c r="Q13" i="1"/>
  <c r="U12" i="1"/>
  <c r="O12" i="1"/>
  <c r="N12" i="1"/>
  <c r="M12" i="1"/>
  <c r="S11" i="1"/>
  <c r="U11" i="1" s="1"/>
  <c r="J10" i="1"/>
  <c r="Q8" i="1"/>
  <c r="U6" i="1"/>
  <c r="O6" i="1"/>
  <c r="N6" i="1"/>
  <c r="M6" i="1"/>
  <c r="U5" i="1"/>
  <c r="O5" i="1"/>
  <c r="N5" i="1"/>
  <c r="M5" i="1"/>
  <c r="D20" i="5" l="1"/>
  <c r="D20" i="8"/>
  <c r="K4" i="7"/>
  <c r="J6" i="1"/>
  <c r="O20" i="1" s="1"/>
  <c r="L20" i="1" s="1"/>
  <c r="C93" i="6"/>
  <c r="C6" i="7" s="1"/>
  <c r="J4" i="1"/>
  <c r="O18" i="1" s="1"/>
  <c r="Y18" i="1" s="1"/>
  <c r="X4" i="1"/>
  <c r="D5" i="7"/>
  <c r="L18" i="1"/>
  <c r="N18" i="1" s="1"/>
  <c r="J18" i="1"/>
  <c r="J21" i="3"/>
  <c r="L21" i="3"/>
  <c r="M21" i="3" s="1"/>
  <c r="Y21" i="3"/>
  <c r="L19" i="3"/>
  <c r="Y19" i="3"/>
  <c r="J19" i="3"/>
  <c r="L23" i="3"/>
  <c r="M23" i="3" s="1"/>
  <c r="J23" i="3"/>
  <c r="Y23" i="3"/>
  <c r="L25" i="3"/>
  <c r="Y25" i="3"/>
  <c r="J25" i="3"/>
  <c r="J8" i="3"/>
  <c r="O22" i="3" s="1"/>
  <c r="Y8" i="3"/>
  <c r="N24" i="3"/>
  <c r="M24" i="3"/>
  <c r="Y5" i="1"/>
  <c r="L20" i="3"/>
  <c r="J20" i="3"/>
  <c r="Y20" i="3"/>
  <c r="L78" i="1"/>
  <c r="N78" i="1" s="1"/>
  <c r="Y26" i="3"/>
  <c r="J26" i="3"/>
  <c r="L26" i="3"/>
  <c r="O62" i="1"/>
  <c r="J62" i="1" s="1"/>
  <c r="J63" i="1"/>
  <c r="Y20" i="1"/>
  <c r="M19" i="1"/>
  <c r="Y6" i="1"/>
  <c r="J12" i="1"/>
  <c r="Y12" i="1"/>
  <c r="O7" i="1"/>
  <c r="L7" i="1" s="1"/>
  <c r="N7" i="1" s="1"/>
  <c r="O11" i="1"/>
  <c r="J11" i="1" s="1"/>
  <c r="O84" i="1" s="1"/>
  <c r="J5" i="1"/>
  <c r="O79" i="1"/>
  <c r="O77" i="1"/>
  <c r="J78" i="1"/>
  <c r="X77" i="1"/>
  <c r="Y6" i="3"/>
  <c r="L63" i="1"/>
  <c r="N63" i="1" s="1"/>
  <c r="Y63" i="1"/>
  <c r="G5" i="7" l="1"/>
  <c r="K5" i="7"/>
  <c r="H5" i="7"/>
  <c r="I5" i="7"/>
  <c r="J5" i="7"/>
  <c r="H6" i="7"/>
  <c r="G6" i="7"/>
  <c r="O64" i="1"/>
  <c r="J64" i="1" s="1"/>
  <c r="J20" i="1"/>
  <c r="I6" i="7"/>
  <c r="J6" i="7"/>
  <c r="D7" i="7"/>
  <c r="C7" i="7"/>
  <c r="M18" i="1"/>
  <c r="C32" i="1" s="1"/>
  <c r="B4" i="2" s="1"/>
  <c r="J22" i="3"/>
  <c r="L22" i="3"/>
  <c r="Y22" i="3"/>
  <c r="Y11" i="1"/>
  <c r="M20" i="3"/>
  <c r="N20" i="3"/>
  <c r="M25" i="3"/>
  <c r="N25" i="3"/>
  <c r="M26" i="3"/>
  <c r="N26" i="3"/>
  <c r="M19" i="3"/>
  <c r="N19" i="3"/>
  <c r="L11" i="1"/>
  <c r="M11" i="1" s="1"/>
  <c r="M78" i="1"/>
  <c r="J7" i="1"/>
  <c r="Y7" i="1"/>
  <c r="O69" i="1"/>
  <c r="O25" i="1"/>
  <c r="O85" i="1"/>
  <c r="O26" i="1"/>
  <c r="O70" i="1"/>
  <c r="M7" i="1"/>
  <c r="N20" i="1"/>
  <c r="M20" i="1"/>
  <c r="J77" i="1"/>
  <c r="O92" i="1" s="1"/>
  <c r="L77" i="1"/>
  <c r="Y77" i="1"/>
  <c r="J79" i="1"/>
  <c r="O94" i="1" s="1"/>
  <c r="Y79" i="1"/>
  <c r="L79" i="1"/>
  <c r="L64" i="1"/>
  <c r="N64" i="1" s="1"/>
  <c r="Y64" i="1"/>
  <c r="L62" i="1"/>
  <c r="N62" i="1" s="1"/>
  <c r="Y62" i="1"/>
  <c r="M63" i="1"/>
  <c r="N11" i="1"/>
  <c r="O21" i="1" l="1"/>
  <c r="L21" i="1" s="1"/>
  <c r="B12" i="7"/>
  <c r="J7" i="7"/>
  <c r="C12" i="7"/>
  <c r="H7" i="7"/>
  <c r="A6" i="8" s="1"/>
  <c r="C13" i="8" s="1"/>
  <c r="K7" i="7"/>
  <c r="C6" i="8" s="1"/>
  <c r="E13" i="8" s="1"/>
  <c r="C33" i="3"/>
  <c r="O80" i="1"/>
  <c r="C34" i="1"/>
  <c r="D4" i="2" s="1"/>
  <c r="O65" i="1"/>
  <c r="J65" i="1" s="1"/>
  <c r="Y21" i="1"/>
  <c r="J21" i="1"/>
  <c r="J94" i="1"/>
  <c r="Y94" i="1"/>
  <c r="L94" i="1"/>
  <c r="B5" i="4"/>
  <c r="B4" i="4"/>
  <c r="J92" i="1"/>
  <c r="Y92" i="1"/>
  <c r="L92" i="1"/>
  <c r="N22" i="3"/>
  <c r="M22" i="3"/>
  <c r="C34" i="3" s="1"/>
  <c r="J70" i="1"/>
  <c r="L70" i="1"/>
  <c r="Y70" i="1"/>
  <c r="L26" i="1"/>
  <c r="Y26" i="1"/>
  <c r="J26" i="1"/>
  <c r="L25" i="1"/>
  <c r="J25" i="1"/>
  <c r="Y25" i="1"/>
  <c r="L85" i="1"/>
  <c r="J85" i="1"/>
  <c r="O100" i="1" s="1"/>
  <c r="Y85" i="1"/>
  <c r="L84" i="1"/>
  <c r="Y84" i="1"/>
  <c r="J84" i="1"/>
  <c r="O99" i="1" s="1"/>
  <c r="B6" i="2"/>
  <c r="L69" i="1"/>
  <c r="J69" i="1"/>
  <c r="Y69" i="1"/>
  <c r="L65" i="1"/>
  <c r="N65" i="1" s="1"/>
  <c r="M79" i="1"/>
  <c r="N79" i="1"/>
  <c r="M77" i="1"/>
  <c r="N77" i="1"/>
  <c r="M62" i="1"/>
  <c r="M64" i="1"/>
  <c r="H4" i="2" l="1"/>
  <c r="G4" i="2"/>
  <c r="N21" i="1"/>
  <c r="M21" i="1"/>
  <c r="C33" i="1" s="1"/>
  <c r="C4" i="2" s="1"/>
  <c r="B6" i="8"/>
  <c r="L7" i="7"/>
  <c r="Y87" i="1"/>
  <c r="Y4" i="3" s="1"/>
  <c r="J80" i="1"/>
  <c r="O95" i="1" s="1"/>
  <c r="Y80" i="1"/>
  <c r="L80" i="1"/>
  <c r="Y65" i="1"/>
  <c r="M65" i="1"/>
  <c r="Y28" i="1"/>
  <c r="Y72" i="1"/>
  <c r="J99" i="1"/>
  <c r="L99" i="1"/>
  <c r="Y99" i="1"/>
  <c r="L100" i="1"/>
  <c r="J100" i="1"/>
  <c r="Y100" i="1"/>
  <c r="N92" i="1"/>
  <c r="M92" i="1"/>
  <c r="C4" i="4"/>
  <c r="C5" i="4"/>
  <c r="A10" i="4"/>
  <c r="D5" i="4"/>
  <c r="G5" i="4" s="1"/>
  <c r="D4" i="4"/>
  <c r="C10" i="4" s="1"/>
  <c r="M94" i="1"/>
  <c r="N94" i="1"/>
  <c r="M70" i="1"/>
  <c r="N70" i="1"/>
  <c r="N25" i="1"/>
  <c r="M25" i="1"/>
  <c r="C38" i="1" s="1"/>
  <c r="C5" i="2" s="1"/>
  <c r="N84" i="1"/>
  <c r="M84" i="1"/>
  <c r="N26" i="1"/>
  <c r="M26" i="1"/>
  <c r="C39" i="1" s="1"/>
  <c r="D5" i="2" s="1"/>
  <c r="D6" i="2" s="1"/>
  <c r="N85" i="1"/>
  <c r="M85" i="1"/>
  <c r="N69" i="1"/>
  <c r="M69" i="1"/>
  <c r="G4" i="4" l="1"/>
  <c r="K4" i="2"/>
  <c r="J4" i="2"/>
  <c r="L4" i="2" s="1"/>
  <c r="M80" i="1"/>
  <c r="N80" i="1"/>
  <c r="Y18" i="3"/>
  <c r="Y56" i="6"/>
  <c r="I4" i="2"/>
  <c r="C6" i="2"/>
  <c r="J95" i="1"/>
  <c r="L95" i="1"/>
  <c r="Y95" i="1"/>
  <c r="Y4" i="6"/>
  <c r="N99" i="1"/>
  <c r="M99" i="1"/>
  <c r="J4" i="4"/>
  <c r="L4" i="4" s="1"/>
  <c r="J5" i="4"/>
  <c r="I5" i="4"/>
  <c r="B10" i="4"/>
  <c r="I4" i="4"/>
  <c r="K5" i="4"/>
  <c r="C6" i="5" s="1"/>
  <c r="K4" i="4"/>
  <c r="H5" i="4"/>
  <c r="A6" i="5" s="1"/>
  <c r="H4" i="4"/>
  <c r="M100" i="1"/>
  <c r="N100" i="1"/>
  <c r="H5" i="2"/>
  <c r="G5" i="2"/>
  <c r="K5" i="2"/>
  <c r="I5" i="2"/>
  <c r="J5" i="2"/>
  <c r="L5" i="2" s="1"/>
  <c r="B20" i="2"/>
  <c r="N95" i="1" l="1"/>
  <c r="M95" i="1"/>
  <c r="B6" i="5"/>
  <c r="L5" i="4"/>
  <c r="C20" i="2"/>
  <c r="H6" i="2"/>
  <c r="J6" i="2"/>
  <c r="K6" i="2"/>
  <c r="C12" i="2" l="1"/>
  <c r="C16" i="2" s="1"/>
  <c r="E13" i="5"/>
  <c r="A16" i="2"/>
  <c r="C13" i="5"/>
  <c r="L6" i="2"/>
  <c r="B12" i="2"/>
  <c r="B16" i="2" s="1"/>
</calcChain>
</file>

<file path=xl/comments1.xml><?xml version="1.0" encoding="utf-8"?>
<comments xmlns="http://schemas.openxmlformats.org/spreadsheetml/2006/main">
  <authors>
    <author>Microsoft Office User</author>
  </authors>
  <commentList>
    <comment ref="F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u/>
            <sz val="10"/>
            <color rgb="FF000000"/>
            <rFont val="Calibri"/>
            <family val="2"/>
          </rPr>
          <t xml:space="preserve">A choice of: 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Raw material
</t>
        </r>
        <r>
          <rPr>
            <sz val="10"/>
            <color rgb="FF000000"/>
            <rFont val="Calibri"/>
            <family val="2"/>
          </rPr>
          <t xml:space="preserve">Solvent
</t>
        </r>
        <r>
          <rPr>
            <sz val="10"/>
            <color rgb="FF000000"/>
            <rFont val="Calibri"/>
            <family val="2"/>
          </rPr>
          <t xml:space="preserve">Reagent
</t>
        </r>
        <r>
          <rPr>
            <sz val="10"/>
            <color rgb="FF000000"/>
            <rFont val="Calibri"/>
            <family val="2"/>
          </rPr>
          <t xml:space="preserve">Water
</t>
        </r>
        <r>
          <rPr>
            <sz val="10"/>
            <color rgb="FF000000"/>
            <rFont val="Calibri"/>
            <family val="2"/>
          </rPr>
          <t>Intermediate (internal/ external)</t>
        </r>
      </text>
    </comment>
    <comment ref="J3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linked to input mole ratios relative to the smallest quantity of </t>
        </r>
        <r>
          <rPr>
            <b/>
            <sz val="10"/>
            <color indexed="81"/>
            <rFont val="Calibri"/>
            <family val="2"/>
          </rPr>
          <t>RAW MATERIAL OR INTERMEDIATE (EXTERNAL)
DO THIS PER SYNTHESIS STEP!</t>
        </r>
      </text>
    </comment>
    <comment ref="N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input vol=
</t>
        </r>
        <r>
          <rPr>
            <sz val="10"/>
            <color rgb="FF000000"/>
            <rFont val="Calibri"/>
            <family val="2"/>
          </rPr>
          <t>input mass/density</t>
        </r>
      </text>
    </comment>
    <comment ref="U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S5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This raw material has been discontinued by Sigma Aldrich and thus the obtained price is by Apollo Scientific (http://www.apolloscientific.co.uk/display_item.php?id=44361)</t>
        </r>
      </text>
    </comment>
    <comment ref="V9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ote that 100KU=416,67g when using a specific activity of 240mg</t>
        </r>
      </text>
    </comment>
    <comment ref="F17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u/>
            <sz val="10"/>
            <color rgb="FF000000"/>
            <rFont val="Calibri"/>
            <family val="2"/>
          </rPr>
          <t xml:space="preserve">A choice of: 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Raw material
</t>
        </r>
        <r>
          <rPr>
            <sz val="10"/>
            <color rgb="FF000000"/>
            <rFont val="Calibri"/>
            <family val="2"/>
          </rPr>
          <t xml:space="preserve">Solvent
</t>
        </r>
        <r>
          <rPr>
            <sz val="10"/>
            <color rgb="FF000000"/>
            <rFont val="Calibri"/>
            <family val="2"/>
          </rPr>
          <t xml:space="preserve">Reagent
</t>
        </r>
        <r>
          <rPr>
            <sz val="10"/>
            <color rgb="FF000000"/>
            <rFont val="Calibri"/>
            <family val="2"/>
          </rPr>
          <t xml:space="preserve">Water
</t>
        </r>
        <r>
          <rPr>
            <sz val="10"/>
            <color rgb="FF000000"/>
            <rFont val="Calibri"/>
            <family val="2"/>
          </rPr>
          <t>Intermediate (internal/ external)</t>
        </r>
      </text>
    </comment>
    <comment ref="J17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linked to input mole ratios relative to the smallest quantity of </t>
        </r>
        <r>
          <rPr>
            <b/>
            <sz val="10"/>
            <color indexed="81"/>
            <rFont val="Calibri"/>
            <family val="2"/>
          </rPr>
          <t>RAW MATERIAL OR INTERMEDIATE (EXTERNAL)
DO THIS PER SYNTHESIS STEP!</t>
        </r>
      </text>
    </comment>
    <comment ref="N17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input vol=
</t>
        </r>
        <r>
          <rPr>
            <sz val="10"/>
            <color rgb="FF000000"/>
            <rFont val="Calibri"/>
            <family val="2"/>
          </rPr>
          <t>input mass/density</t>
        </r>
      </text>
    </comment>
    <comment ref="U17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S19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This raw material has been discontinued by Sigma Aldrich and thus the obtained price is by Apollo Scientific (http://www.apolloscientific.co.uk/display_item.php?id=44361)</t>
        </r>
      </text>
    </comment>
    <comment ref="V2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ote that 100KU=416,67g when using a specific activity of 240mg</t>
        </r>
      </text>
    </comment>
  </commentList>
</comments>
</file>

<file path=xl/comments2.xml><?xml version="1.0" encoding="utf-8"?>
<comments xmlns="http://schemas.openxmlformats.org/spreadsheetml/2006/main">
  <authors>
    <author>Microsoft Office User</author>
  </authors>
  <commentList>
    <comment ref="F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u/>
            <sz val="10"/>
            <color rgb="FF000000"/>
            <rFont val="Calibri"/>
            <family val="2"/>
          </rPr>
          <t xml:space="preserve">A choice of: 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Raw material
</t>
        </r>
        <r>
          <rPr>
            <sz val="10"/>
            <color rgb="FF000000"/>
            <rFont val="Calibri"/>
            <family val="2"/>
          </rPr>
          <t xml:space="preserve">Solvent
</t>
        </r>
        <r>
          <rPr>
            <sz val="10"/>
            <color rgb="FF000000"/>
            <rFont val="Calibri"/>
            <family val="2"/>
          </rPr>
          <t xml:space="preserve">Reagent
</t>
        </r>
        <r>
          <rPr>
            <sz val="10"/>
            <color rgb="FF000000"/>
            <rFont val="Calibri"/>
            <family val="2"/>
          </rPr>
          <t xml:space="preserve">Water
</t>
        </r>
        <r>
          <rPr>
            <sz val="10"/>
            <color rgb="FF000000"/>
            <rFont val="Calibri"/>
            <family val="2"/>
          </rPr>
          <t>Intermediate (internal/ external)</t>
        </r>
      </text>
    </comment>
    <comment ref="J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linked to input mole ratios relative to the smallest quantity of </t>
        </r>
        <r>
          <rPr>
            <b/>
            <sz val="10"/>
            <color rgb="FF000000"/>
            <rFont val="Calibri"/>
            <family val="2"/>
          </rPr>
          <t xml:space="preserve">RAW MATERIAL OR INTERMEDIATE (EXTERNAL)
</t>
        </r>
        <r>
          <rPr>
            <b/>
            <sz val="10"/>
            <color rgb="FF000000"/>
            <rFont val="Calibri"/>
            <family val="2"/>
          </rPr>
          <t xml:space="preserve">
</t>
        </r>
        <r>
          <rPr>
            <b/>
            <sz val="10"/>
            <color rgb="FF000000"/>
            <rFont val="Calibri"/>
            <family val="2"/>
          </rPr>
          <t>DO THIS PER SYNTHESIS STEP!</t>
        </r>
      </text>
    </comment>
    <comment ref="N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input vol=
</t>
        </r>
        <r>
          <rPr>
            <sz val="10"/>
            <color rgb="FF000000"/>
            <rFont val="Calibri"/>
            <family val="2"/>
          </rPr>
          <t>input mass/density</t>
        </r>
      </text>
    </comment>
    <comment ref="U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F17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u/>
            <sz val="10"/>
            <color rgb="FF000000"/>
            <rFont val="Calibri"/>
            <family val="2"/>
          </rPr>
          <t xml:space="preserve">A choice of: 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Raw material
</t>
        </r>
        <r>
          <rPr>
            <sz val="10"/>
            <color rgb="FF000000"/>
            <rFont val="Calibri"/>
            <family val="2"/>
          </rPr>
          <t xml:space="preserve">Solvent
</t>
        </r>
        <r>
          <rPr>
            <sz val="10"/>
            <color rgb="FF000000"/>
            <rFont val="Calibri"/>
            <family val="2"/>
          </rPr>
          <t xml:space="preserve">Reagent
</t>
        </r>
        <r>
          <rPr>
            <sz val="10"/>
            <color rgb="FF000000"/>
            <rFont val="Calibri"/>
            <family val="2"/>
          </rPr>
          <t xml:space="preserve">Water
</t>
        </r>
        <r>
          <rPr>
            <sz val="10"/>
            <color rgb="FF000000"/>
            <rFont val="Calibri"/>
            <family val="2"/>
          </rPr>
          <t>Intermediate (internal/ external)</t>
        </r>
      </text>
    </comment>
    <comment ref="J17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linked to input mole ratios relative to the smallest quantity of </t>
        </r>
        <r>
          <rPr>
            <b/>
            <sz val="10"/>
            <color rgb="FF000000"/>
            <rFont val="Calibri"/>
            <family val="2"/>
          </rPr>
          <t xml:space="preserve">RAW MATERIAL OR INTERMEDIATE (EXTERNAL)
</t>
        </r>
        <r>
          <rPr>
            <b/>
            <sz val="10"/>
            <color rgb="FF000000"/>
            <rFont val="Calibri"/>
            <family val="2"/>
          </rPr>
          <t xml:space="preserve">
</t>
        </r>
        <r>
          <rPr>
            <b/>
            <sz val="10"/>
            <color rgb="FF000000"/>
            <rFont val="Calibri"/>
            <family val="2"/>
          </rPr>
          <t>DO THIS PER SYNTHESIS STEP!</t>
        </r>
      </text>
    </comment>
    <comment ref="N17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input vol=
</t>
        </r>
        <r>
          <rPr>
            <sz val="10"/>
            <color rgb="FF000000"/>
            <rFont val="Calibri"/>
            <family val="2"/>
          </rPr>
          <t>input mass/density</t>
        </r>
      </text>
    </comment>
    <comment ref="U17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F61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u/>
            <sz val="10"/>
            <color rgb="FF000000"/>
            <rFont val="Calibri"/>
            <family val="2"/>
          </rPr>
          <t xml:space="preserve">A choice of: 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Raw material
</t>
        </r>
        <r>
          <rPr>
            <sz val="10"/>
            <color rgb="FF000000"/>
            <rFont val="Calibri"/>
            <family val="2"/>
          </rPr>
          <t xml:space="preserve">Solvent
</t>
        </r>
        <r>
          <rPr>
            <sz val="10"/>
            <color rgb="FF000000"/>
            <rFont val="Calibri"/>
            <family val="2"/>
          </rPr>
          <t xml:space="preserve">Reagent
</t>
        </r>
        <r>
          <rPr>
            <sz val="10"/>
            <color rgb="FF000000"/>
            <rFont val="Calibri"/>
            <family val="2"/>
          </rPr>
          <t xml:space="preserve">Water
</t>
        </r>
        <r>
          <rPr>
            <sz val="10"/>
            <color rgb="FF000000"/>
            <rFont val="Calibri"/>
            <family val="2"/>
          </rPr>
          <t>Intermediate (internal/ external)</t>
        </r>
      </text>
    </comment>
    <comment ref="J61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linked to input mole ratios relative to the smallest quantity of </t>
        </r>
        <r>
          <rPr>
            <b/>
            <sz val="10"/>
            <color rgb="FF000000"/>
            <rFont val="Calibri"/>
            <family val="2"/>
          </rPr>
          <t xml:space="preserve">RAW MATERIAL OR INTERMEDIATE (EXTERNAL)
</t>
        </r>
        <r>
          <rPr>
            <b/>
            <sz val="10"/>
            <color rgb="FF000000"/>
            <rFont val="Calibri"/>
            <family val="2"/>
          </rPr>
          <t xml:space="preserve">
</t>
        </r>
        <r>
          <rPr>
            <b/>
            <sz val="10"/>
            <color rgb="FF000000"/>
            <rFont val="Calibri"/>
            <family val="2"/>
          </rPr>
          <t>DO THIS PER SYNTHESIS STEP!</t>
        </r>
      </text>
    </comment>
    <comment ref="N61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input vol=
</t>
        </r>
        <r>
          <rPr>
            <sz val="10"/>
            <color rgb="FF000000"/>
            <rFont val="Calibri"/>
            <family val="2"/>
          </rPr>
          <t>input mass/density</t>
        </r>
      </text>
    </comment>
    <comment ref="U61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F76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u/>
            <sz val="10"/>
            <color rgb="FF000000"/>
            <rFont val="Calibri"/>
            <family val="2"/>
          </rPr>
          <t xml:space="preserve">A choice of: 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Raw material
</t>
        </r>
        <r>
          <rPr>
            <sz val="10"/>
            <color rgb="FF000000"/>
            <rFont val="Calibri"/>
            <family val="2"/>
          </rPr>
          <t xml:space="preserve">Solvent
</t>
        </r>
        <r>
          <rPr>
            <sz val="10"/>
            <color rgb="FF000000"/>
            <rFont val="Calibri"/>
            <family val="2"/>
          </rPr>
          <t xml:space="preserve">Reagent
</t>
        </r>
        <r>
          <rPr>
            <sz val="10"/>
            <color rgb="FF000000"/>
            <rFont val="Calibri"/>
            <family val="2"/>
          </rPr>
          <t xml:space="preserve">Water
</t>
        </r>
        <r>
          <rPr>
            <sz val="10"/>
            <color rgb="FF000000"/>
            <rFont val="Calibri"/>
            <family val="2"/>
          </rPr>
          <t>Intermediate (internal/ external)</t>
        </r>
      </text>
    </comment>
    <comment ref="J76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linked to input mole ratios relative to the smallest quantity of </t>
        </r>
        <r>
          <rPr>
            <b/>
            <sz val="10"/>
            <color rgb="FF000000"/>
            <rFont val="Calibri"/>
            <family val="2"/>
          </rPr>
          <t xml:space="preserve">RAW MATERIAL OR INTERMEDIATE (EXTERNAL)
</t>
        </r>
        <r>
          <rPr>
            <b/>
            <sz val="10"/>
            <color rgb="FF000000"/>
            <rFont val="Calibri"/>
            <family val="2"/>
          </rPr>
          <t xml:space="preserve">
</t>
        </r>
        <r>
          <rPr>
            <b/>
            <sz val="10"/>
            <color rgb="FF000000"/>
            <rFont val="Calibri"/>
            <family val="2"/>
          </rPr>
          <t>DO THIS PER SYNTHESIS STEP!</t>
        </r>
      </text>
    </comment>
    <comment ref="N76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input vol=
</t>
        </r>
        <r>
          <rPr>
            <sz val="10"/>
            <color rgb="FF000000"/>
            <rFont val="Calibri"/>
            <family val="2"/>
          </rPr>
          <t>input mass/density</t>
        </r>
      </text>
    </comment>
    <comment ref="U76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F91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u/>
            <sz val="10"/>
            <color rgb="FF000000"/>
            <rFont val="Calibri"/>
            <family val="2"/>
          </rPr>
          <t xml:space="preserve">A choice of: 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Raw material
</t>
        </r>
        <r>
          <rPr>
            <sz val="10"/>
            <color rgb="FF000000"/>
            <rFont val="Calibri"/>
            <family val="2"/>
          </rPr>
          <t xml:space="preserve">Solvent
</t>
        </r>
        <r>
          <rPr>
            <sz val="10"/>
            <color rgb="FF000000"/>
            <rFont val="Calibri"/>
            <family val="2"/>
          </rPr>
          <t xml:space="preserve">Reagent
</t>
        </r>
        <r>
          <rPr>
            <sz val="10"/>
            <color rgb="FF000000"/>
            <rFont val="Calibri"/>
            <family val="2"/>
          </rPr>
          <t xml:space="preserve">Water
</t>
        </r>
        <r>
          <rPr>
            <sz val="10"/>
            <color rgb="FF000000"/>
            <rFont val="Calibri"/>
            <family val="2"/>
          </rPr>
          <t>Intermediate (internal/ external)</t>
        </r>
      </text>
    </comment>
    <comment ref="J91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linked to input mole ratios relative to the smallest quantity of </t>
        </r>
        <r>
          <rPr>
            <b/>
            <sz val="10"/>
            <color rgb="FF000000"/>
            <rFont val="Calibri"/>
            <family val="2"/>
          </rPr>
          <t xml:space="preserve">RAW MATERIAL OR INTERMEDIATE (EXTERNAL)
</t>
        </r>
        <r>
          <rPr>
            <b/>
            <sz val="10"/>
            <color rgb="FF000000"/>
            <rFont val="Calibri"/>
            <family val="2"/>
          </rPr>
          <t xml:space="preserve">
</t>
        </r>
        <r>
          <rPr>
            <b/>
            <sz val="10"/>
            <color rgb="FF000000"/>
            <rFont val="Calibri"/>
            <family val="2"/>
          </rPr>
          <t>DO THIS PER SYNTHESIS STEP!</t>
        </r>
      </text>
    </comment>
    <comment ref="N91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input vol=
</t>
        </r>
        <r>
          <rPr>
            <sz val="10"/>
            <color rgb="FF000000"/>
            <rFont val="Calibri"/>
            <family val="2"/>
          </rPr>
          <t>input mass/density</t>
        </r>
      </text>
    </comment>
    <comment ref="U91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Microsoft Office User</author>
  </authors>
  <commentList>
    <comment ref="F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u/>
            <sz val="10"/>
            <color rgb="FF000000"/>
            <rFont val="Calibri"/>
            <family val="2"/>
          </rPr>
          <t xml:space="preserve">A choice of: 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Raw material
</t>
        </r>
        <r>
          <rPr>
            <sz val="10"/>
            <color rgb="FF000000"/>
            <rFont val="Calibri"/>
            <family val="2"/>
          </rPr>
          <t xml:space="preserve">Solvent
</t>
        </r>
        <r>
          <rPr>
            <sz val="10"/>
            <color rgb="FF000000"/>
            <rFont val="Calibri"/>
            <family val="2"/>
          </rPr>
          <t xml:space="preserve">Reagent
</t>
        </r>
        <r>
          <rPr>
            <sz val="10"/>
            <color rgb="FF000000"/>
            <rFont val="Calibri"/>
            <family val="2"/>
          </rPr>
          <t xml:space="preserve">Water
</t>
        </r>
        <r>
          <rPr>
            <sz val="10"/>
            <color rgb="FF000000"/>
            <rFont val="Calibri"/>
            <family val="2"/>
          </rPr>
          <t>Intermediate (internal/ external)</t>
        </r>
      </text>
    </comment>
    <comment ref="J3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linked to input mole ratios relative to the smallest quantity of </t>
        </r>
        <r>
          <rPr>
            <b/>
            <sz val="10"/>
            <color indexed="81"/>
            <rFont val="Calibri"/>
            <family val="2"/>
          </rPr>
          <t>RAW MATERIAL OR INTERMEDIATE (EXTERNAL)
DO THIS PER SYNTHESIS STEP!</t>
        </r>
      </text>
    </comment>
    <comment ref="N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input vol=
</t>
        </r>
        <r>
          <rPr>
            <sz val="10"/>
            <color rgb="FF000000"/>
            <rFont val="Calibri"/>
            <family val="2"/>
          </rPr>
          <t>input mass/density</t>
        </r>
      </text>
    </comment>
    <comment ref="U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S5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This raw material has been discontinued by Sigma Aldrich and thus the obtained price is by Apollo Scientific (http://www.apolloscientific.co.uk/display_item.php?id=44361)</t>
        </r>
      </text>
    </comment>
    <comment ref="V21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ote that 100KU=416,67g when using a specific activity of 240mg</t>
        </r>
      </text>
    </comment>
    <comment ref="F29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u/>
            <sz val="10"/>
            <color rgb="FF000000"/>
            <rFont val="Calibri"/>
            <family val="2"/>
          </rPr>
          <t xml:space="preserve">A choice of: 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Raw material
</t>
        </r>
        <r>
          <rPr>
            <sz val="10"/>
            <color rgb="FF000000"/>
            <rFont val="Calibri"/>
            <family val="2"/>
          </rPr>
          <t xml:space="preserve">Solvent
</t>
        </r>
        <r>
          <rPr>
            <sz val="10"/>
            <color rgb="FF000000"/>
            <rFont val="Calibri"/>
            <family val="2"/>
          </rPr>
          <t xml:space="preserve">Reagent
</t>
        </r>
        <r>
          <rPr>
            <sz val="10"/>
            <color rgb="FF000000"/>
            <rFont val="Calibri"/>
            <family val="2"/>
          </rPr>
          <t xml:space="preserve">Water
</t>
        </r>
        <r>
          <rPr>
            <sz val="10"/>
            <color rgb="FF000000"/>
            <rFont val="Calibri"/>
            <family val="2"/>
          </rPr>
          <t>Intermediate (internal/ external)</t>
        </r>
      </text>
    </comment>
    <comment ref="J29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linked to input mole ratios relative to the smallest quantity of </t>
        </r>
        <r>
          <rPr>
            <b/>
            <sz val="10"/>
            <color rgb="FF000000"/>
            <rFont val="Calibri"/>
            <family val="2"/>
          </rPr>
          <t xml:space="preserve">RAW MATERIAL OR INTERMEDIATE (EXTERNAL)
</t>
        </r>
        <r>
          <rPr>
            <b/>
            <sz val="10"/>
            <color rgb="FF000000"/>
            <rFont val="Calibri"/>
            <family val="2"/>
          </rPr>
          <t xml:space="preserve">
</t>
        </r>
        <r>
          <rPr>
            <b/>
            <sz val="10"/>
            <color rgb="FF000000"/>
            <rFont val="Calibri"/>
            <family val="2"/>
          </rPr>
          <t>DO THIS PER SYNTHESIS STEP!</t>
        </r>
      </text>
    </comment>
    <comment ref="N29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input vol=
</t>
        </r>
        <r>
          <rPr>
            <sz val="10"/>
            <color rgb="FF000000"/>
            <rFont val="Calibri"/>
            <family val="2"/>
          </rPr>
          <t>input mass/density</t>
        </r>
      </text>
    </comment>
    <comment ref="U29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S31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This raw material has been discontinued by Sigma Aldrich and thus the obtained price is by Apollo Scientific (http://www.apolloscientific.co.uk/display_item.php?id=44361)</t>
        </r>
      </text>
    </comment>
    <comment ref="V47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ote that 100KU=416,67g when using a specific activity of 240mg</t>
        </r>
      </text>
    </comment>
    <comment ref="F55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u/>
            <sz val="10"/>
            <color rgb="FF000000"/>
            <rFont val="Calibri"/>
            <family val="2"/>
          </rPr>
          <t xml:space="preserve">A choice of: 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Raw material
</t>
        </r>
        <r>
          <rPr>
            <sz val="10"/>
            <color rgb="FF000000"/>
            <rFont val="Calibri"/>
            <family val="2"/>
          </rPr>
          <t xml:space="preserve">Solvent
</t>
        </r>
        <r>
          <rPr>
            <sz val="10"/>
            <color rgb="FF000000"/>
            <rFont val="Calibri"/>
            <family val="2"/>
          </rPr>
          <t xml:space="preserve">Reagent
</t>
        </r>
        <r>
          <rPr>
            <sz val="10"/>
            <color rgb="FF000000"/>
            <rFont val="Calibri"/>
            <family val="2"/>
          </rPr>
          <t xml:space="preserve">Water
</t>
        </r>
        <r>
          <rPr>
            <sz val="10"/>
            <color rgb="FF000000"/>
            <rFont val="Calibri"/>
            <family val="2"/>
          </rPr>
          <t>Intermediate (internal/ external)</t>
        </r>
      </text>
    </comment>
    <comment ref="J55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linked to input mole ratios relative to the smallest quantity of </t>
        </r>
        <r>
          <rPr>
            <b/>
            <sz val="10"/>
            <color indexed="81"/>
            <rFont val="Calibri"/>
            <family val="2"/>
          </rPr>
          <t>RAW MATERIAL OR INTERMEDIATE (EXTERNAL)
DO THIS PER SYNTHESIS STEP!</t>
        </r>
      </text>
    </comment>
    <comment ref="N55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input vol=
</t>
        </r>
        <r>
          <rPr>
            <sz val="10"/>
            <color rgb="FF000000"/>
            <rFont val="Calibri"/>
            <family val="2"/>
          </rPr>
          <t>input mass/density</t>
        </r>
      </text>
    </comment>
    <comment ref="U55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S57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This raw material has been discontinued by Sigma Aldrich and thus the obtained price is by Apollo Scientific (http://www.apolloscientific.co.uk/display_item.php?id=44361)</t>
        </r>
      </text>
    </comment>
    <comment ref="V7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ote that 100KU=416,67g when using a specific activity of 240mg</t>
        </r>
      </text>
    </comment>
  </commentList>
</comments>
</file>

<file path=xl/sharedStrings.xml><?xml version="1.0" encoding="utf-8"?>
<sst xmlns="http://schemas.openxmlformats.org/spreadsheetml/2006/main" count="1207" uniqueCount="218">
  <si>
    <t>Step No.</t>
  </si>
  <si>
    <t>Input Schematic No.</t>
  </si>
  <si>
    <t>Output Schematic No.</t>
  </si>
  <si>
    <t>Input Material Name</t>
  </si>
  <si>
    <t>Condensed Chemical Formula</t>
  </si>
  <si>
    <t>Material Category</t>
  </si>
  <si>
    <t>Output Material Name</t>
  </si>
  <si>
    <t>Molecular Weight (g/mol)</t>
  </si>
  <si>
    <t>Density (g/ml)</t>
  </si>
  <si>
    <t>Molar Equivalence</t>
  </si>
  <si>
    <t>Concentration</t>
  </si>
  <si>
    <t>Input Mass (g)</t>
  </si>
  <si>
    <t>Input Mass (kg)</t>
  </si>
  <si>
    <t>Input Volume (ml)</t>
  </si>
  <si>
    <t>Input mol</t>
  </si>
  <si>
    <t>Output Mass (g)</t>
  </si>
  <si>
    <t>Output Mass (kg)</t>
  </si>
  <si>
    <t>Output mol</t>
  </si>
  <si>
    <r>
      <t xml:space="preserve">Sigma-Aldrich Catalogue Price ($/unit) - </t>
    </r>
    <r>
      <rPr>
        <b/>
        <sz val="12"/>
        <color theme="1"/>
        <rFont val="Calibri (Body)_x0000_"/>
      </rPr>
      <t>February 2019</t>
    </r>
  </si>
  <si>
    <t>Unit</t>
  </si>
  <si>
    <t>Cost per mol ($/mol)</t>
  </si>
  <si>
    <t>Sigma-Aldrich Catalogue No.</t>
  </si>
  <si>
    <t>CAS No.</t>
  </si>
  <si>
    <t>Yield</t>
  </si>
  <si>
    <t>Cost of Material ($)</t>
  </si>
  <si>
    <t>Temperature (℃)</t>
  </si>
  <si>
    <t xml:space="preserve"> Pressure (atm)</t>
  </si>
  <si>
    <t>Reaction Time (hr)</t>
  </si>
  <si>
    <t>Benzyl Chloroformate (CbzCl)</t>
  </si>
  <si>
    <r>
      <t>C</t>
    </r>
    <r>
      <rPr>
        <vertAlign val="subscript"/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ClO</t>
    </r>
    <r>
      <rPr>
        <vertAlign val="subscript"/>
        <sz val="12"/>
        <color theme="1"/>
        <rFont val="Calibri"/>
        <family val="2"/>
        <scheme val="minor"/>
      </rPr>
      <t>2</t>
    </r>
  </si>
  <si>
    <t>250 ml</t>
  </si>
  <si>
    <t>501-53-1</t>
  </si>
  <si>
    <t>Pyridine (Py)</t>
  </si>
  <si>
    <r>
      <t>C</t>
    </r>
    <r>
      <rPr>
        <vertAlign val="subscript"/>
        <sz val="12"/>
        <color theme="1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>N</t>
    </r>
  </si>
  <si>
    <t>Reagent</t>
  </si>
  <si>
    <t>8 L</t>
  </si>
  <si>
    <t>270970-4X2L</t>
  </si>
  <si>
    <t>110-86-1</t>
  </si>
  <si>
    <t>Glycerol</t>
  </si>
  <si>
    <r>
      <t>C</t>
    </r>
    <r>
      <rPr>
        <vertAlign val="sub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</t>
    </r>
  </si>
  <si>
    <t>56-81-5</t>
  </si>
  <si>
    <t>Ethyl Acetate (EtOAc)</t>
  </si>
  <si>
    <r>
      <t>C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</t>
    </r>
  </si>
  <si>
    <t>141-78-6</t>
  </si>
  <si>
    <t>Intermediate (external)</t>
  </si>
  <si>
    <t xml:space="preserve"> Cbz-protected glycol</t>
  </si>
  <si>
    <r>
      <t>CH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O</t>
    </r>
  </si>
  <si>
    <t>Solvent</t>
  </si>
  <si>
    <t>20 L</t>
  </si>
  <si>
    <t>179337-20L</t>
  </si>
  <si>
    <t>67-56-1</t>
  </si>
  <si>
    <t>Sodium Periodate</t>
  </si>
  <si>
    <r>
      <t>NaIO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 xml:space="preserve"> </t>
    </r>
  </si>
  <si>
    <t>2,5 L</t>
  </si>
  <si>
    <t>311448-2.5L</t>
  </si>
  <si>
    <t>7790-28-5</t>
  </si>
  <si>
    <t>2b</t>
  </si>
  <si>
    <r>
      <t>C</t>
    </r>
    <r>
      <rPr>
        <vertAlign val="subscript"/>
        <sz val="12"/>
        <color theme="1" tint="4.9989318521683403E-2"/>
        <rFont val="Calibri"/>
        <family val="2"/>
        <scheme val="minor"/>
      </rPr>
      <t>10</t>
    </r>
    <r>
      <rPr>
        <sz val="12"/>
        <color theme="1" tint="4.9989318521683403E-2"/>
        <rFont val="Calibri"/>
        <family val="2"/>
        <scheme val="minor"/>
      </rPr>
      <t>H</t>
    </r>
    <r>
      <rPr>
        <vertAlign val="subscript"/>
        <sz val="12"/>
        <color theme="1" tint="4.9989318521683403E-2"/>
        <rFont val="Calibri"/>
        <family val="2"/>
        <scheme val="minor"/>
      </rPr>
      <t>10</t>
    </r>
    <r>
      <rPr>
        <sz val="12"/>
        <color theme="1" tint="4.9989318521683403E-2"/>
        <rFont val="Calibri"/>
        <family val="2"/>
        <scheme val="minor"/>
      </rPr>
      <t>O</t>
    </r>
    <r>
      <rPr>
        <vertAlign val="subscript"/>
        <sz val="12"/>
        <color theme="1" tint="4.9989318521683403E-2"/>
        <rFont val="Calibri"/>
        <family val="2"/>
        <scheme val="minor"/>
      </rPr>
      <t>4</t>
    </r>
  </si>
  <si>
    <t>Cbz-protected aldehyde</t>
  </si>
  <si>
    <t>Advanced Starting Material</t>
  </si>
  <si>
    <t>G7893 - 200L</t>
  </si>
  <si>
    <t>200 L</t>
  </si>
  <si>
    <t>0 - 25</t>
  </si>
  <si>
    <t>18 L</t>
  </si>
  <si>
    <t>270989-18L</t>
  </si>
  <si>
    <t>Step No.:</t>
  </si>
  <si>
    <t>Material Accumulated (kg)</t>
  </si>
  <si>
    <t>Step Product (kg)</t>
  </si>
  <si>
    <t>Water</t>
  </si>
  <si>
    <t>-</t>
  </si>
  <si>
    <t>Step No. </t>
  </si>
  <si>
    <t>Process Complexity</t>
  </si>
  <si>
    <t>Total</t>
  </si>
  <si>
    <t>sEF</t>
  </si>
  <si>
    <t>cEF</t>
  </si>
  <si>
    <t>E-factor</t>
  </si>
  <si>
    <r>
      <t>C</t>
    </r>
    <r>
      <rPr>
        <vertAlign val="subscript"/>
        <sz val="12"/>
        <color rgb="FF0D0D0D"/>
        <rFont val="Calibri"/>
        <family val="2"/>
        <scheme val="minor"/>
      </rPr>
      <t>10</t>
    </r>
    <r>
      <rPr>
        <sz val="12"/>
        <color rgb="FF0D0D0D"/>
        <rFont val="Calibri"/>
        <family val="2"/>
        <scheme val="minor"/>
      </rPr>
      <t>H</t>
    </r>
    <r>
      <rPr>
        <vertAlign val="subscript"/>
        <sz val="12"/>
        <color rgb="FF0D0D0D"/>
        <rFont val="Calibri"/>
        <family val="2"/>
        <scheme val="minor"/>
      </rPr>
      <t>10</t>
    </r>
    <r>
      <rPr>
        <sz val="12"/>
        <color rgb="FF0D0D0D"/>
        <rFont val="Calibri"/>
        <family val="2"/>
        <scheme val="minor"/>
      </rPr>
      <t>O</t>
    </r>
    <r>
      <rPr>
        <vertAlign val="subscript"/>
        <sz val="12"/>
        <color rgb="FF0D0D0D"/>
        <rFont val="Calibri"/>
        <family val="2"/>
        <scheme val="minor"/>
      </rPr>
      <t>4</t>
    </r>
  </si>
  <si>
    <t>1b</t>
  </si>
  <si>
    <t>Furan</t>
  </si>
  <si>
    <r>
      <t>C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O</t>
    </r>
  </si>
  <si>
    <t>≥ 99%</t>
  </si>
  <si>
    <t>500 ml</t>
  </si>
  <si>
    <t>185922-500ML</t>
  </si>
  <si>
    <t>110-00-9</t>
  </si>
  <si>
    <r>
      <t>C</t>
    </r>
    <r>
      <rPr>
        <vertAlign val="subscript"/>
        <sz val="12"/>
        <color theme="1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12</t>
    </r>
    <r>
      <rPr>
        <sz val="12"/>
        <color theme="1"/>
        <rFont val="Calibri"/>
        <family val="2"/>
        <scheme val="minor"/>
      </rPr>
      <t xml:space="preserve">O </t>
    </r>
  </si>
  <si>
    <t>1634-04-4</t>
  </si>
  <si>
    <r>
      <t>C</t>
    </r>
    <r>
      <rPr>
        <vertAlign val="subscript"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12</t>
    </r>
  </si>
  <si>
    <t>110-82-7</t>
  </si>
  <si>
    <r>
      <t>C</t>
    </r>
    <r>
      <rPr>
        <vertAlign val="subscript"/>
        <sz val="12"/>
        <color rgb="FF000000"/>
        <rFont val="Calibri"/>
        <family val="2"/>
        <scheme val="minor"/>
      </rPr>
      <t>14</t>
    </r>
    <r>
      <rPr>
        <sz val="12"/>
        <color rgb="FF000000"/>
        <rFont val="Calibri"/>
        <family val="2"/>
        <scheme val="minor"/>
      </rPr>
      <t>H</t>
    </r>
    <r>
      <rPr>
        <vertAlign val="subscript"/>
        <sz val="12"/>
        <color rgb="FF000000"/>
        <rFont val="Calibri"/>
        <family val="2"/>
        <scheme val="minor"/>
      </rPr>
      <t>14</t>
    </r>
    <r>
      <rPr>
        <sz val="12"/>
        <color rgb="FF000000"/>
        <rFont val="Calibri"/>
        <family val="2"/>
        <scheme val="minor"/>
      </rPr>
      <t>O</t>
    </r>
    <r>
      <rPr>
        <vertAlign val="subscript"/>
        <sz val="12"/>
        <color rgb="FF000000"/>
        <rFont val="Calibri"/>
        <family val="2"/>
        <scheme val="minor"/>
      </rPr>
      <t>5</t>
    </r>
  </si>
  <si>
    <t>exo-2,7-Dioxabicyclo [3.2.0] hept-3-en-6-ylmethyl Benzyl Carbonate</t>
  </si>
  <si>
    <t xml:space="preserve">Total </t>
  </si>
  <si>
    <t>Methyl tert-butyl ether (MTBE)</t>
  </si>
  <si>
    <t>Catalyst</t>
  </si>
  <si>
    <t>10% Pd</t>
  </si>
  <si>
    <t>Hydrogen</t>
  </si>
  <si>
    <r>
      <t>H</t>
    </r>
    <r>
      <rPr>
        <vertAlign val="subscript"/>
        <sz val="12"/>
        <color theme="1"/>
        <rFont val="Calibri"/>
        <family val="2"/>
        <scheme val="minor"/>
      </rPr>
      <t>2</t>
    </r>
  </si>
  <si>
    <t>1333-74-0</t>
  </si>
  <si>
    <t>≥ 99,99%</t>
  </si>
  <si>
    <t>295396-56L</t>
  </si>
  <si>
    <t>56 L</t>
  </si>
  <si>
    <t>9001-62-1</t>
  </si>
  <si>
    <t>Bio-catalyst</t>
  </si>
  <si>
    <t>500 g</t>
  </si>
  <si>
    <t>L3126-500G</t>
  </si>
  <si>
    <t>Palladium on activated charcoal (Pd/C)</t>
  </si>
  <si>
    <t>Pd-C</t>
  </si>
  <si>
    <t>Procine Pancrease Lipase (PPL)</t>
  </si>
  <si>
    <r>
      <t>C</t>
    </r>
    <r>
      <rPr>
        <vertAlign val="subscript"/>
        <sz val="8"/>
        <color rgb="FF212121"/>
        <rFont val="Calibri"/>
        <family val="2"/>
        <scheme val="minor"/>
      </rPr>
      <t>11</t>
    </r>
    <r>
      <rPr>
        <sz val="10.5"/>
        <color rgb="FF212121"/>
        <rFont val="Calibri"/>
        <family val="2"/>
        <scheme val="minor"/>
      </rPr>
      <t>H</t>
    </r>
    <r>
      <rPr>
        <vertAlign val="subscript"/>
        <sz val="8"/>
        <color rgb="FF212121"/>
        <rFont val="Calibri"/>
        <family val="2"/>
        <scheme val="minor"/>
      </rPr>
      <t>9</t>
    </r>
    <r>
      <rPr>
        <sz val="10.5"/>
        <color rgb="FF212121"/>
        <rFont val="Calibri"/>
        <family val="2"/>
        <scheme val="minor"/>
      </rPr>
      <t>N</t>
    </r>
    <r>
      <rPr>
        <vertAlign val="subscript"/>
        <sz val="8"/>
        <color rgb="FF212121"/>
        <rFont val="Calibri"/>
        <family val="2"/>
        <scheme val="minor"/>
      </rPr>
      <t>3</t>
    </r>
    <r>
      <rPr>
        <sz val="10.5"/>
        <color rgb="FF212121"/>
        <rFont val="Calibri"/>
        <family val="2"/>
        <scheme val="minor"/>
      </rPr>
      <t>NaO</t>
    </r>
    <r>
      <rPr>
        <vertAlign val="subscript"/>
        <sz val="8"/>
        <color rgb="FF212121"/>
        <rFont val="Calibri"/>
        <family val="2"/>
        <scheme val="minor"/>
      </rPr>
      <t>2</t>
    </r>
    <r>
      <rPr>
        <vertAlign val="superscript"/>
        <sz val="8"/>
        <color rgb="FF212121"/>
        <rFont val="Calibri"/>
        <family val="2"/>
        <scheme val="minor"/>
      </rPr>
      <t>+</t>
    </r>
  </si>
  <si>
    <t>10% w/w</t>
  </si>
  <si>
    <r>
      <t>C</t>
    </r>
    <r>
      <rPr>
        <vertAlign val="subscript"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10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</t>
    </r>
  </si>
  <si>
    <t>123-62-6</t>
  </si>
  <si>
    <t>Bis-THF Alcohol</t>
  </si>
  <si>
    <r>
      <t>C</t>
    </r>
    <r>
      <rPr>
        <vertAlign val="subscript"/>
        <sz val="12"/>
        <color rgb="FF000000"/>
        <rFont val="Calibri"/>
        <family val="2"/>
        <scheme val="minor"/>
      </rPr>
      <t>6</t>
    </r>
    <r>
      <rPr>
        <sz val="12"/>
        <color rgb="FF000000"/>
        <rFont val="Calibri"/>
        <family val="2"/>
        <scheme val="minor"/>
      </rPr>
      <t>H</t>
    </r>
    <r>
      <rPr>
        <vertAlign val="subscript"/>
        <sz val="12"/>
        <color rgb="FF000000"/>
        <rFont val="Calibri"/>
        <family val="2"/>
        <scheme val="minor"/>
      </rPr>
      <t>10</t>
    </r>
    <r>
      <rPr>
        <sz val="12"/>
        <color rgb="FF000000"/>
        <rFont val="Calibri"/>
        <family val="2"/>
        <scheme val="minor"/>
      </rPr>
      <t>O</t>
    </r>
    <r>
      <rPr>
        <vertAlign val="subscript"/>
        <sz val="12"/>
        <color rgb="FF000000"/>
        <rFont val="Calibri"/>
        <family val="2"/>
        <scheme val="minor"/>
      </rPr>
      <t>3</t>
    </r>
  </si>
  <si>
    <r>
      <t>(3</t>
    </r>
    <r>
      <rPr>
        <i/>
        <sz val="12"/>
        <color rgb="FF000000"/>
        <rFont val="Calibri"/>
        <family val="2"/>
        <scheme val="minor"/>
      </rPr>
      <t>R</t>
    </r>
    <r>
      <rPr>
        <sz val="12"/>
        <color rgb="FF000000"/>
        <rFont val="Calibri"/>
        <family val="2"/>
        <scheme val="minor"/>
      </rPr>
      <t>,3</t>
    </r>
    <r>
      <rPr>
        <i/>
        <sz val="12"/>
        <color rgb="FF000000"/>
        <rFont val="Calibri"/>
        <family val="2"/>
        <scheme val="minor"/>
      </rPr>
      <t>aS</t>
    </r>
    <r>
      <rPr>
        <sz val="12"/>
        <color rgb="FF000000"/>
        <rFont val="Calibri"/>
        <family val="2"/>
        <scheme val="minor"/>
      </rPr>
      <t>,6</t>
    </r>
    <r>
      <rPr>
        <i/>
        <sz val="12"/>
        <color rgb="FF000000"/>
        <rFont val="Calibri"/>
        <family val="2"/>
        <scheme val="minor"/>
      </rPr>
      <t>aR</t>
    </r>
    <r>
      <rPr>
        <sz val="12"/>
        <color rgb="FF000000"/>
        <rFont val="Calibri"/>
        <family val="2"/>
        <scheme val="minor"/>
      </rPr>
      <t>)-Hexahydrofuro[2,3-</t>
    </r>
    <r>
      <rPr>
        <i/>
        <sz val="12"/>
        <color rgb="FF000000"/>
        <rFont val="Calibri"/>
        <family val="2"/>
        <scheme val="minor"/>
      </rPr>
      <t>b</t>
    </r>
    <r>
      <rPr>
        <sz val="12"/>
        <color rgb="FF000000"/>
        <rFont val="Calibri"/>
        <family val="2"/>
        <scheme val="minor"/>
      </rPr>
      <t>]furan-3-ol</t>
    </r>
  </si>
  <si>
    <t>Solvent (work up)</t>
  </si>
  <si>
    <t>319902-200L</t>
  </si>
  <si>
    <t>Target molecule</t>
  </si>
  <si>
    <t>Complexity =      Construction steps</t>
  </si>
  <si>
    <t xml:space="preserve">anti-Hexahydrofuro[2,3-b]furan-3-ol </t>
  </si>
  <si>
    <t xml:space="preserve">Overall exp yield </t>
  </si>
  <si>
    <t>Ste-by-step procedure route B E-Factors</t>
  </si>
  <si>
    <t>Table 3B: Summation of chemical materials per category per synthesis step for the production of 1kg Cbz-protected glycol</t>
  </si>
  <si>
    <t xml:space="preserve">Table 4B: Simple, complete and traditional E-Factor calculations for route B synthesis to 1kg bis-THF alcohol </t>
  </si>
  <si>
    <r>
      <t xml:space="preserve">Table 7B: Chemical material quantities, cost and operating conditions per synthesis step to produce 1kg of Cbz-protected aldehyde - </t>
    </r>
    <r>
      <rPr>
        <b/>
        <sz val="12"/>
        <color rgb="FFFF0000"/>
        <rFont val="Calibri (Body)_x0000_"/>
      </rPr>
      <t>Masses between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 (Body)_x0000_"/>
      </rPr>
      <t>synthesis step balance</t>
    </r>
  </si>
  <si>
    <t>Table 8B: Summation of chemical materials per category per synthesis step for the production of 1kg Cbz-protected glycol</t>
  </si>
  <si>
    <r>
      <t xml:space="preserve">Table 10B: Chemical material quantities, cost and operating conditions per synthesis step to produce 1,94kg of Cbz-protected aldehyde - </t>
    </r>
    <r>
      <rPr>
        <b/>
        <sz val="12"/>
        <color rgb="FFFF0000"/>
        <rFont val="Calibri (Body)_x0000_"/>
      </rPr>
      <t>Masses between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 (Body)_x0000_"/>
      </rPr>
      <t>synthesis step balance</t>
    </r>
  </si>
  <si>
    <r>
      <t xml:space="preserve">Table 11B: Chemical material quantities, cost and operating conditions per synthesis step to produce 0,194kg of Cbz-protected aldehyde - </t>
    </r>
    <r>
      <rPr>
        <b/>
        <sz val="12"/>
        <color rgb="FFFF0000"/>
        <rFont val="Calibri (Body)_x0000_"/>
      </rPr>
      <t>Masses between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 (Body)_x0000_"/>
      </rPr>
      <t>synthesis step balance</t>
    </r>
  </si>
  <si>
    <t>Table 13B: Conversion from Intrinsic E-Factor to E-factor contributions to Cbz-Protected aldehyde (2b)</t>
  </si>
  <si>
    <r>
      <t>C</t>
    </r>
    <r>
      <rPr>
        <vertAlign val="subscript"/>
        <sz val="12"/>
        <color theme="1" tint="4.9989318521683403E-2"/>
        <rFont val="Calibri"/>
        <family val="2"/>
        <scheme val="minor"/>
      </rPr>
      <t>11</t>
    </r>
    <r>
      <rPr>
        <sz val="12"/>
        <color theme="1" tint="4.9989318521683403E-2"/>
        <rFont val="Calibri"/>
        <family val="2"/>
        <scheme val="minor"/>
      </rPr>
      <t>H</t>
    </r>
    <r>
      <rPr>
        <vertAlign val="subscript"/>
        <sz val="12"/>
        <color theme="1" tint="4.9989318521683403E-2"/>
        <rFont val="Calibri"/>
        <family val="2"/>
        <scheme val="minor"/>
      </rPr>
      <t>14</t>
    </r>
    <r>
      <rPr>
        <sz val="12"/>
        <color theme="1" tint="4.9989318521683403E-2"/>
        <rFont val="Calibri"/>
        <family val="2"/>
        <scheme val="minor"/>
      </rPr>
      <t>O</t>
    </r>
    <r>
      <rPr>
        <vertAlign val="subscript"/>
        <sz val="12"/>
        <color theme="1" tint="4.9989318521683403E-2"/>
        <rFont val="Calibri"/>
        <family val="2"/>
        <scheme val="minor"/>
      </rPr>
      <t>5</t>
    </r>
  </si>
  <si>
    <t>Target Molecule</t>
  </si>
  <si>
    <r>
      <t xml:space="preserve">Table 6B: Chemical material quantities, cost and operating conditions per synthesis step to produce Cbz-protected aldehyde  as per constructed experimental procedure (Sevenich et al., 2017) - </t>
    </r>
    <r>
      <rPr>
        <b/>
        <sz val="12"/>
        <color rgb="FFFF0000"/>
        <rFont val="Calibri (Body)_x0000_"/>
      </rPr>
      <t>Masses between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 (Body)_x0000_"/>
      </rPr>
      <t>synthesis step balance</t>
    </r>
  </si>
  <si>
    <t>Cyclohexane (c-hexane)</t>
  </si>
  <si>
    <t>Cbz-protected glycol aldehyde</t>
  </si>
  <si>
    <t>Methanol (MeOH)</t>
  </si>
  <si>
    <r>
      <t>Propionic anhydride (PrCO)</t>
    </r>
    <r>
      <rPr>
        <vertAlign val="sub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>O</t>
    </r>
  </si>
  <si>
    <r>
      <t xml:space="preserve">Table 9B: Chemical material quantities, cost and operating conditions per synthesis step to produce 4,15kg of Cbz-protected aldehyde - </t>
    </r>
    <r>
      <rPr>
        <b/>
        <sz val="12"/>
        <color rgb="FFFF0000"/>
        <rFont val="Calibri (Body)_x0000_"/>
      </rPr>
      <t>Masses between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 (Body)_x0000_"/>
      </rPr>
      <t>synthesis step balance</t>
    </r>
  </si>
  <si>
    <t>Overall yield</t>
  </si>
  <si>
    <t>distillation at 105</t>
  </si>
  <si>
    <t>distillation at 1</t>
  </si>
  <si>
    <t>2 g</t>
  </si>
  <si>
    <t>2g</t>
  </si>
  <si>
    <t>MX0819-30</t>
  </si>
  <si>
    <t>CX2290-30</t>
  </si>
  <si>
    <t>1 L</t>
  </si>
  <si>
    <t>Table 1B: Route B materias table for One Pot procedure for the synthesis of bis-THF alcohol as per experimental procedure (Sevenich et al., 2017)</t>
  </si>
  <si>
    <t>Table 2B: Route B materias table for One Pot procedure for the synthesis of 1kg bis-THF alcohol</t>
  </si>
  <si>
    <t>Table 12B: Simple, complete and traditional E-Factor calculations for route B synthesis to 1kg Cbz-protected aldehyde</t>
  </si>
  <si>
    <t>sEF, cEF and E-Factor summary for route B sub and one-pot synthesis</t>
  </si>
  <si>
    <t xml:space="preserve">sEF, cEF and E-Factor summary for route B sub and step-by-step synthesis		</t>
  </si>
  <si>
    <t>Table 14B: Conversion from Intrinsic E-Factor to E-factor contributions to Cbz-Protected aldehyde (2b)</t>
  </si>
  <si>
    <t>Table 15B: Total amount of material categories for route B sub-synthesis</t>
  </si>
  <si>
    <r>
      <t>Table 16B</t>
    </r>
    <r>
      <rPr>
        <b/>
        <sz val="12"/>
        <color theme="1"/>
        <rFont val="Calibri (Body)_x0000_"/>
      </rPr>
      <t>:</t>
    </r>
    <r>
      <rPr>
        <b/>
        <sz val="12"/>
        <color theme="1"/>
        <rFont val="Calibri"/>
        <family val="2"/>
        <scheme val="minor"/>
      </rPr>
      <t xml:space="preserve"> Summary of E-factor values calculated for main route B (starting from compound 2b)</t>
    </r>
  </si>
  <si>
    <t>Table 17B: Summary of E-factor values calculated for one-pot advanced starting material route B</t>
  </si>
  <si>
    <r>
      <rPr>
        <b/>
        <sz val="12"/>
        <color theme="1"/>
        <rFont val="Calibri (Body)_x0000_"/>
      </rPr>
      <t>Table 18B:</t>
    </r>
    <r>
      <rPr>
        <b/>
        <sz val="12"/>
        <color rgb="FF00B050"/>
        <rFont val="Calibri"/>
        <family val="2"/>
        <scheme val="minor"/>
      </rPr>
      <t xml:space="preserve"> Green Score card input data</t>
    </r>
  </si>
  <si>
    <t xml:space="preserve">Table 19B: Total amount of material categories for route B one-pot procedure and sub-synthesis </t>
  </si>
  <si>
    <r>
      <t xml:space="preserve">Table 20B: Route B materias table for step-by-step procedure for the synthesis of bis-THF alcohol as per experimental procedure (Sevenich et al., 2017) - </t>
    </r>
    <r>
      <rPr>
        <b/>
        <sz val="12"/>
        <color rgb="FFFF0000"/>
        <rFont val="Calibri (Body)"/>
      </rPr>
      <t>Masses between synthesis steps do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 (Body)"/>
      </rPr>
      <t>not balance</t>
    </r>
  </si>
  <si>
    <t>Table 23B: Summation of chemical materials per category per synthesis step for the production of 1kg bis-THF alcohol</t>
  </si>
  <si>
    <t xml:space="preserve">Table 24B: Simple, complete and traditional E-Factor calculations for route B synthesis to 1kg bis-THF alcohol </t>
  </si>
  <si>
    <r>
      <t>Table 26B</t>
    </r>
    <r>
      <rPr>
        <b/>
        <sz val="12"/>
        <color theme="1"/>
        <rFont val="Calibri (Body)_x0000_"/>
      </rPr>
      <t>:</t>
    </r>
    <r>
      <rPr>
        <b/>
        <sz val="12"/>
        <color theme="1"/>
        <rFont val="Calibri"/>
        <family val="2"/>
        <scheme val="minor"/>
      </rPr>
      <t xml:space="preserve"> Summary of E-factor values calculated for main route B (starting from compound 2b)</t>
    </r>
  </si>
  <si>
    <t>Table 27B: Summary of E-factor values calculated for step-by-step advanced starting material route B</t>
  </si>
  <si>
    <r>
      <rPr>
        <b/>
        <sz val="12"/>
        <color theme="1"/>
        <rFont val="Calibri (Body)_x0000_"/>
      </rPr>
      <t>Table 28B:</t>
    </r>
    <r>
      <rPr>
        <b/>
        <sz val="12"/>
        <color rgb="FF00B050"/>
        <rFont val="Calibri"/>
        <family val="2"/>
        <scheme val="minor"/>
      </rPr>
      <t xml:space="preserve"> Green Score card input data</t>
    </r>
  </si>
  <si>
    <t>Table 29B: Total amount of material categories for route B step-by-step procedure and sub-synthesis</t>
  </si>
  <si>
    <t xml:space="preserve"> </t>
  </si>
  <si>
    <t>ROUTE B: Main synthesis one-pot procedure</t>
  </si>
  <si>
    <t>ROUTE B: E-Factor main synthesis one-pot procedure</t>
  </si>
  <si>
    <t>ROUTE B: E-Factor sub-synthesis advanced starting material (ASM)</t>
  </si>
  <si>
    <t>ROUTE B: E-Factor main synthesis step-by-step procedure</t>
  </si>
  <si>
    <t>ROUTE B: Sub-synthesis advanced strating material (ASM)</t>
  </si>
  <si>
    <t>ROUTE B: Cummulative E-Factor one -pot procedure and sub-synthesis advanced starting material (ASM)</t>
  </si>
  <si>
    <t>ROUTE B: Cummulative E-Factor step-by-step procedure and sub-synthesis advanced starting material (ASM)</t>
  </si>
  <si>
    <t>One-pot procedure route B E-Factors</t>
  </si>
  <si>
    <t>Table 5B: Total material mass per category for route B one-pot procedure</t>
  </si>
  <si>
    <t>Table 25B: Total material mass per category for route B step-by-step procedure</t>
  </si>
  <si>
    <t>Solvents (kg)</t>
  </si>
  <si>
    <t>Reagents (kg)</t>
  </si>
  <si>
    <t>Water (kg)</t>
  </si>
  <si>
    <t>Step sE-factor (kg/kg)</t>
  </si>
  <si>
    <t>sE-Factor Contribution to Process (kg/kg)</t>
  </si>
  <si>
    <t>Step cE-Factor (kg/kg)</t>
  </si>
  <si>
    <t>cE-Factor Contribution to Process (kg/kg)</t>
  </si>
  <si>
    <t>E-Factor Contribution to Process (kg/kg)</t>
  </si>
  <si>
    <t>Process Mass Intensity (PMI) (kg/kg)</t>
  </si>
  <si>
    <t>Product (kg)</t>
  </si>
  <si>
    <t>Contribution to compound 2b sub-process (kg/kg)</t>
  </si>
  <si>
    <r>
      <t xml:space="preserve">Contribution to Route B </t>
    </r>
    <r>
      <rPr>
        <b/>
        <i/>
        <sz val="12"/>
        <color theme="1"/>
        <rFont val="Calibri"/>
        <family val="2"/>
        <scheme val="minor"/>
      </rPr>
      <t>One-Pot</t>
    </r>
    <r>
      <rPr>
        <i/>
        <sz val="12"/>
        <color theme="1"/>
        <rFont val="Calibri"/>
        <family val="2"/>
        <scheme val="minor"/>
      </rPr>
      <t xml:space="preserve"> synthesis to bis-THF alcohol (kg/kg)</t>
    </r>
  </si>
  <si>
    <t>x Quantity required to produce 1kg of bis-THF alcohol (kg)</t>
  </si>
  <si>
    <r>
      <t xml:space="preserve">Contribution to Route B </t>
    </r>
    <r>
      <rPr>
        <b/>
        <i/>
        <sz val="12"/>
        <color theme="1"/>
        <rFont val="Calibri"/>
        <family val="2"/>
        <scheme val="minor"/>
      </rPr>
      <t>step-by-step</t>
    </r>
    <r>
      <rPr>
        <i/>
        <sz val="12"/>
        <color theme="1"/>
        <rFont val="Calibri"/>
        <family val="2"/>
        <scheme val="minor"/>
      </rPr>
      <t xml:space="preserve"> synthesis to bis-THF alcohol (kg/kg)</t>
    </r>
  </si>
  <si>
    <t>sEF (kg/kg)</t>
  </si>
  <si>
    <t>cEF (kg/kg)</t>
  </si>
  <si>
    <t>E-factor (kg/kg)</t>
  </si>
  <si>
    <t>Starting Material</t>
  </si>
  <si>
    <t>Advanced Strating Material</t>
  </si>
  <si>
    <t>Starting Material/ Intermediate (external) (kg)</t>
  </si>
  <si>
    <t>Starting Material (kg)</t>
  </si>
  <si>
    <t xml:space="preserve">Advanced Starting Material route B E-Factors </t>
  </si>
  <si>
    <t>Advanced Starting Material route B E-Factor</t>
  </si>
  <si>
    <r>
      <t xml:space="preserve">Table 22B: Route B materias table for step-by-step procedure for the synthesis of 1kg bis-THF alcohol  - </t>
    </r>
    <r>
      <rPr>
        <b/>
        <sz val="12"/>
        <color rgb="FFFF0000"/>
        <rFont val="Calibri (Body)"/>
      </rPr>
      <t>Masses between synthesis steps balance</t>
    </r>
  </si>
  <si>
    <r>
      <t xml:space="preserve">Table 21B: Route B materias table for step-by-step procedure for the synthesis of 0,056g bis-THF alcohol - </t>
    </r>
    <r>
      <rPr>
        <b/>
        <sz val="12"/>
        <color rgb="FFFF0000"/>
        <rFont val="Calibri (Body)"/>
      </rPr>
      <t>Masses between synthesis steps balance</t>
    </r>
  </si>
  <si>
    <r>
      <t>1B</t>
    </r>
    <r>
      <rPr>
        <b/>
        <vertAlign val="superscript"/>
        <sz val="12"/>
        <color rgb="FF000000"/>
        <rFont val="Calibri"/>
        <family val="2"/>
        <scheme val="minor"/>
      </rPr>
      <t>a</t>
    </r>
  </si>
  <si>
    <r>
      <t>1B</t>
    </r>
    <r>
      <rPr>
        <b/>
        <vertAlign val="superscript"/>
        <sz val="12"/>
        <color rgb="FF000000"/>
        <rFont val="Calibri"/>
        <family val="2"/>
        <scheme val="minor"/>
      </rPr>
      <t>b</t>
    </r>
  </si>
  <si>
    <r>
      <t>1B</t>
    </r>
    <r>
      <rPr>
        <b/>
        <vertAlign val="superscript"/>
        <sz val="12"/>
        <color rgb="FF000000"/>
        <rFont val="Calibri"/>
        <family val="2"/>
        <scheme val="minor"/>
      </rPr>
      <t>c</t>
    </r>
  </si>
  <si>
    <r>
      <t>1B</t>
    </r>
    <r>
      <rPr>
        <b/>
        <vertAlign val="superscript"/>
        <sz val="12"/>
        <color rgb="FF000000"/>
        <rFont val="Calibri"/>
        <family val="2"/>
        <scheme val="minor"/>
      </rPr>
      <t>a-c</t>
    </r>
    <r>
      <rPr>
        <b/>
        <sz val="12"/>
        <color rgb="FF000000"/>
        <rFont val="Calibri"/>
        <family val="2"/>
        <scheme val="minor"/>
      </rPr>
      <t xml:space="preserve">  </t>
    </r>
  </si>
  <si>
    <t>(</t>
  </si>
  <si>
    <t>1B</t>
  </si>
  <si>
    <t>2B</t>
  </si>
  <si>
    <t>3B</t>
  </si>
  <si>
    <r>
      <t>(-)-1</t>
    </r>
    <r>
      <rPr>
        <b/>
        <sz val="12"/>
        <color rgb="FFFF0000"/>
        <rFont val="Calibri (Body)"/>
      </rPr>
      <t xml:space="preserve"> </t>
    </r>
  </si>
  <si>
    <t xml:space="preserve">1b </t>
  </si>
  <si>
    <r>
      <rPr>
        <b/>
        <sz val="12"/>
        <color theme="1"/>
        <rFont val="Calibri (Body)"/>
      </rPr>
      <t>2b</t>
    </r>
    <r>
      <rPr>
        <b/>
        <sz val="12"/>
        <color rgb="FFFF0000"/>
        <rFont val="Calibri (Body)"/>
      </rPr>
      <t xml:space="preserve"> </t>
    </r>
  </si>
  <si>
    <t xml:space="preserve">1B </t>
  </si>
  <si>
    <t xml:space="preserve">rac-12 </t>
  </si>
  <si>
    <r>
      <t>2B</t>
    </r>
    <r>
      <rPr>
        <b/>
        <vertAlign val="superscript"/>
        <sz val="12"/>
        <color rgb="FF000000"/>
        <rFont val="Calibri"/>
        <family val="2"/>
        <scheme val="minor"/>
      </rPr>
      <t>a</t>
    </r>
    <r>
      <rPr>
        <b/>
        <sz val="12"/>
        <color rgb="FF000000"/>
        <rFont val="Calibri"/>
        <family val="2"/>
        <scheme val="minor"/>
      </rPr>
      <t xml:space="preserve"> </t>
    </r>
  </si>
  <si>
    <r>
      <t>2B</t>
    </r>
    <r>
      <rPr>
        <b/>
        <vertAlign val="superscript"/>
        <sz val="12"/>
        <color rgb="FF000000"/>
        <rFont val="Calibri"/>
        <family val="2"/>
        <scheme val="minor"/>
      </rPr>
      <t>b</t>
    </r>
    <r>
      <rPr>
        <b/>
        <sz val="12"/>
        <color rgb="FF000000"/>
        <rFont val="Calibri"/>
        <family val="2"/>
        <scheme val="minor"/>
      </rPr>
      <t xml:space="preserve"> </t>
    </r>
  </si>
  <si>
    <t xml:space="preserve">3B </t>
  </si>
  <si>
    <t xml:space="preserve">rac-1 </t>
  </si>
  <si>
    <t xml:space="preserve">rac-13 </t>
  </si>
  <si>
    <t xml:space="preserve">(-)-1 </t>
  </si>
  <si>
    <t>x 4.146 to make 1kg Bis-THF (the percentage contribution will remain the same)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</si>
</sst>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0"/>
    <numFmt numFmtId="165" formatCode="0.000"/>
    <numFmt numFmtId="166" formatCode="0.0000"/>
    <numFmt numFmtId="167" formatCode="0.000000"/>
    <numFmt numFmtId="168" formatCode="0.0000000"/>
    <numFmt numFmtId="169" formatCode="0.0E+00"/>
  </numFmts>
  <fonts count="40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rgb="FFFF0000"/>
      <name val="Calibri (Body)_x0000_"/>
    </font>
    <font>
      <b/>
      <sz val="12"/>
      <color rgb="FF000000"/>
      <name val="Calibri"/>
      <family val="2"/>
      <scheme val="minor"/>
    </font>
    <font>
      <b/>
      <sz val="12"/>
      <color theme="1"/>
      <name val="Calibri (Body)_x0000_"/>
    </font>
    <font>
      <b/>
      <sz val="12"/>
      <color theme="1"/>
      <name val="Calibri (Body)"/>
    </font>
    <font>
      <b/>
      <sz val="10"/>
      <color indexed="81"/>
      <name val="Calibri"/>
      <family val="2"/>
    </font>
    <font>
      <sz val="10"/>
      <color indexed="81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vertAlign val="subscript"/>
      <sz val="12"/>
      <color theme="1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vertAlign val="subscript"/>
      <sz val="12"/>
      <color theme="1" tint="4.9989318521683403E-2"/>
      <name val="Calibri"/>
      <family val="2"/>
      <scheme val="minor"/>
    </font>
    <font>
      <b/>
      <sz val="12"/>
      <color rgb="FFFF2F92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FFC000"/>
      <name val="Calibri"/>
      <family val="2"/>
      <scheme val="minor"/>
    </font>
    <font>
      <u/>
      <sz val="10"/>
      <color rgb="FF000000"/>
      <name val="Calibri"/>
      <family val="2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0"/>
      <color theme="1"/>
      <name val="Calibri (Body)_x0000_"/>
    </font>
    <font>
      <sz val="12"/>
      <color rgb="FF0D0D0D"/>
      <name val="Calibri"/>
      <family val="2"/>
      <scheme val="minor"/>
    </font>
    <font>
      <vertAlign val="subscript"/>
      <sz val="12"/>
      <color rgb="FF0D0D0D"/>
      <name val="Calibri"/>
      <family val="2"/>
      <scheme val="minor"/>
    </font>
    <font>
      <vertAlign val="subscript"/>
      <sz val="12"/>
      <color rgb="FF000000"/>
      <name val="Calibri"/>
      <family val="2"/>
      <scheme val="minor"/>
    </font>
    <font>
      <b/>
      <vertAlign val="superscript"/>
      <sz val="12"/>
      <color rgb="FF000000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2"/>
      <color theme="7" tint="-0.249977111117893"/>
      <name val="Calibri"/>
      <family val="2"/>
      <scheme val="minor"/>
    </font>
    <font>
      <sz val="10.5"/>
      <color rgb="FF212121"/>
      <name val="Calibri"/>
      <family val="2"/>
      <scheme val="minor"/>
    </font>
    <font>
      <vertAlign val="subscript"/>
      <sz val="8"/>
      <color rgb="FF212121"/>
      <name val="Calibri"/>
      <family val="2"/>
      <scheme val="minor"/>
    </font>
    <font>
      <vertAlign val="superscript"/>
      <sz val="8"/>
      <color rgb="FF21212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 (Body)"/>
    </font>
    <font>
      <sz val="20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B5FF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6F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A1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73FB79"/>
        <bgColor indexed="64"/>
      </patternFill>
    </fill>
    <fill>
      <patternFill patternType="solid">
        <fgColor rgb="FF00D24B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 style="thin">
        <color auto="1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thin">
        <color auto="1"/>
      </right>
      <top/>
      <bottom style="mediumDashed">
        <color indexed="64"/>
      </bottom>
      <diagonal/>
    </border>
    <border>
      <left style="thin">
        <color auto="1"/>
      </left>
      <right style="thin">
        <color auto="1"/>
      </right>
      <top/>
      <bottom style="mediumDashed">
        <color indexed="64"/>
      </bottom>
      <diagonal/>
    </border>
    <border>
      <left style="thin">
        <color auto="1"/>
      </left>
      <right/>
      <top style="mediumDash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341">
    <xf numFmtId="0" fontId="0" fillId="0" borderId="0" xfId="0"/>
    <xf numFmtId="0" fontId="3" fillId="0" borderId="7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2" fontId="0" fillId="0" borderId="1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14" fillId="0" borderId="5" xfId="0" applyFont="1" applyBorder="1" applyAlignment="1">
      <alignment horizontal="center"/>
    </xf>
    <xf numFmtId="2" fontId="0" fillId="0" borderId="5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13" xfId="0" applyBorder="1" applyAlignment="1">
      <alignment horizontal="center" vertical="center"/>
    </xf>
    <xf numFmtId="2" fontId="0" fillId="0" borderId="13" xfId="0" applyNumberFormat="1" applyBorder="1" applyAlignment="1">
      <alignment horizontal="center"/>
    </xf>
    <xf numFmtId="2" fontId="0" fillId="0" borderId="13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0" fillId="4" borderId="0" xfId="0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 vertical="center"/>
    </xf>
    <xf numFmtId="164" fontId="0" fillId="3" borderId="0" xfId="0" applyNumberForma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0" fontId="20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6" borderId="0" xfId="0" applyFill="1" applyAlignment="1">
      <alignment horizontal="center"/>
    </xf>
    <xf numFmtId="0" fontId="14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 vertical="center"/>
    </xf>
    <xf numFmtId="2" fontId="0" fillId="7" borderId="5" xfId="0" applyNumberFormat="1" applyFill="1" applyBorder="1" applyAlignment="1">
      <alignment horizontal="center" vertical="center"/>
    </xf>
    <xf numFmtId="164" fontId="0" fillId="7" borderId="0" xfId="0" applyNumberFormat="1" applyFill="1" applyAlignment="1">
      <alignment horizontal="center" vertical="center"/>
    </xf>
    <xf numFmtId="164" fontId="0" fillId="7" borderId="5" xfId="0" applyNumberFormat="1" applyFill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0" fontId="0" fillId="8" borderId="10" xfId="0" applyFill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9" borderId="13" xfId="0" applyFill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7" borderId="10" xfId="0" applyFill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3" borderId="0" xfId="0" applyNumberFormat="1" applyFill="1" applyBorder="1" applyAlignment="1">
      <alignment horizontal="center" vertical="center"/>
    </xf>
    <xf numFmtId="2" fontId="0" fillId="7" borderId="0" xfId="0" applyNumberFormat="1" applyFill="1" applyAlignment="1">
      <alignment horizontal="center" vertical="center"/>
    </xf>
    <xf numFmtId="165" fontId="0" fillId="0" borderId="0" xfId="0" applyNumberFormat="1" applyAlignment="1">
      <alignment horizontal="center"/>
    </xf>
    <xf numFmtId="0" fontId="0" fillId="10" borderId="13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2" fontId="0" fillId="0" borderId="0" xfId="0" applyNumberFormat="1"/>
    <xf numFmtId="0" fontId="3" fillId="0" borderId="7" xfId="0" applyFont="1" applyBorder="1" applyAlignment="1">
      <alignment horizontal="center"/>
    </xf>
    <xf numFmtId="0" fontId="3" fillId="11" borderId="7" xfId="0" applyFont="1" applyFill="1" applyBorder="1" applyAlignment="1">
      <alignment horizontal="center"/>
    </xf>
    <xf numFmtId="0" fontId="3" fillId="9" borderId="7" xfId="0" applyFont="1" applyFill="1" applyBorder="1" applyAlignment="1">
      <alignment horizontal="center"/>
    </xf>
    <xf numFmtId="0" fontId="3" fillId="10" borderId="7" xfId="0" applyFont="1" applyFill="1" applyBorder="1" applyAlignment="1">
      <alignment horizontal="center"/>
    </xf>
    <xf numFmtId="0" fontId="3" fillId="12" borderId="7" xfId="0" applyFont="1" applyFill="1" applyBorder="1" applyAlignment="1">
      <alignment horizontal="center"/>
    </xf>
    <xf numFmtId="165" fontId="0" fillId="7" borderId="5" xfId="0" applyNumberFormat="1" applyFill="1" applyBorder="1" applyAlignment="1">
      <alignment horizontal="center" vertical="center"/>
    </xf>
    <xf numFmtId="0" fontId="2" fillId="13" borderId="14" xfId="0" applyFont="1" applyFill="1" applyBorder="1" applyAlignment="1">
      <alignment horizontal="center"/>
    </xf>
    <xf numFmtId="2" fontId="2" fillId="13" borderId="5" xfId="0" applyNumberFormat="1" applyFont="1" applyFill="1" applyBorder="1" applyAlignment="1">
      <alignment horizontal="center"/>
    </xf>
    <xf numFmtId="0" fontId="2" fillId="13" borderId="5" xfId="0" applyFont="1" applyFill="1" applyBorder="1"/>
    <xf numFmtId="0" fontId="2" fillId="13" borderId="6" xfId="0" applyFon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0" fillId="0" borderId="0" xfId="2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26" fillId="0" borderId="11" xfId="0" applyFon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11" xfId="0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2" fontId="0" fillId="0" borderId="22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5" fontId="0" fillId="0" borderId="22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2" fontId="0" fillId="0" borderId="24" xfId="0" applyNumberFormat="1" applyBorder="1" applyAlignment="1">
      <alignment horizontal="center"/>
    </xf>
    <xf numFmtId="0" fontId="0" fillId="0" borderId="15" xfId="0" applyBorder="1"/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65" fontId="0" fillId="5" borderId="0" xfId="0" applyNumberFormat="1" applyFill="1" applyAlignment="1">
      <alignment horizontal="center" vertical="center"/>
    </xf>
    <xf numFmtId="165" fontId="0" fillId="4" borderId="0" xfId="0" applyNumberForma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2" fontId="0" fillId="0" borderId="11" xfId="0" applyNumberFormat="1" applyFont="1" applyBorder="1" applyAlignment="1">
      <alignment horizontal="center"/>
    </xf>
    <xf numFmtId="2" fontId="0" fillId="8" borderId="11" xfId="0" applyNumberFormat="1" applyFont="1" applyFill="1" applyBorder="1" applyAlignment="1">
      <alignment horizontal="center"/>
    </xf>
    <xf numFmtId="164" fontId="0" fillId="3" borderId="11" xfId="0" applyNumberFormat="1" applyFont="1" applyFill="1" applyBorder="1" applyAlignment="1">
      <alignment horizontal="center"/>
    </xf>
    <xf numFmtId="165" fontId="0" fillId="8" borderId="11" xfId="0" applyNumberFormat="1" applyFont="1" applyFill="1" applyBorder="1" applyAlignment="1">
      <alignment horizontal="center"/>
    </xf>
    <xf numFmtId="0" fontId="6" fillId="0" borderId="0" xfId="0" applyFont="1" applyBorder="1" applyAlignment="1">
      <alignment vertical="center"/>
    </xf>
    <xf numFmtId="166" fontId="0" fillId="0" borderId="22" xfId="0" applyNumberFormat="1" applyBorder="1" applyAlignment="1">
      <alignment horizontal="center"/>
    </xf>
    <xf numFmtId="0" fontId="30" fillId="0" borderId="0" xfId="0" applyFont="1" applyAlignment="1">
      <alignment horizontal="center"/>
    </xf>
    <xf numFmtId="2" fontId="30" fillId="0" borderId="0" xfId="0" applyNumberFormat="1" applyFont="1" applyAlignment="1">
      <alignment horizontal="center"/>
    </xf>
    <xf numFmtId="165" fontId="30" fillId="0" borderId="0" xfId="0" applyNumberFormat="1" applyFont="1" applyAlignment="1">
      <alignment horizontal="center"/>
    </xf>
    <xf numFmtId="164" fontId="30" fillId="0" borderId="0" xfId="0" applyNumberFormat="1" applyFont="1" applyAlignment="1">
      <alignment horizontal="center"/>
    </xf>
    <xf numFmtId="2" fontId="30" fillId="0" borderId="12" xfId="0" applyNumberFormat="1" applyFont="1" applyBorder="1" applyAlignment="1">
      <alignment horizontal="center"/>
    </xf>
    <xf numFmtId="0" fontId="30" fillId="0" borderId="0" xfId="0" applyFont="1"/>
    <xf numFmtId="0" fontId="30" fillId="0" borderId="20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7" fillId="0" borderId="22" xfId="0" applyFont="1" applyBorder="1" applyAlignment="1">
      <alignment horizontal="center"/>
    </xf>
    <xf numFmtId="168" fontId="0" fillId="0" borderId="22" xfId="0" applyNumberFormat="1" applyBorder="1" applyAlignment="1">
      <alignment horizontal="center"/>
    </xf>
    <xf numFmtId="0" fontId="0" fillId="0" borderId="22" xfId="0" applyFill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0" fontId="0" fillId="0" borderId="10" xfId="0" applyBorder="1"/>
    <xf numFmtId="0" fontId="32" fillId="0" borderId="0" xfId="0" applyFont="1" applyAlignment="1">
      <alignment horizontal="center"/>
    </xf>
    <xf numFmtId="2" fontId="32" fillId="0" borderId="0" xfId="0" applyNumberFormat="1" applyFont="1" applyAlignment="1">
      <alignment horizontal="center"/>
    </xf>
    <xf numFmtId="164" fontId="32" fillId="0" borderId="0" xfId="0" applyNumberFormat="1" applyFont="1" applyAlignment="1">
      <alignment horizontal="center"/>
    </xf>
    <xf numFmtId="165" fontId="32" fillId="0" borderId="0" xfId="0" applyNumberFormat="1" applyFont="1" applyAlignment="1">
      <alignment horizontal="center"/>
    </xf>
    <xf numFmtId="0" fontId="32" fillId="0" borderId="0" xfId="0" applyFont="1"/>
    <xf numFmtId="0" fontId="33" fillId="0" borderId="0" xfId="0" applyFont="1" applyAlignment="1">
      <alignment horizontal="center"/>
    </xf>
    <xf numFmtId="166" fontId="30" fillId="0" borderId="0" xfId="0" applyNumberFormat="1" applyFont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/>
    </xf>
    <xf numFmtId="2" fontId="32" fillId="0" borderId="0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3" borderId="11" xfId="0" applyNumberFormat="1" applyFont="1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10" borderId="12" xfId="0" applyFill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2" fontId="3" fillId="14" borderId="7" xfId="0" applyNumberFormat="1" applyFont="1" applyFill="1" applyBorder="1" applyAlignment="1">
      <alignment horizontal="center"/>
    </xf>
    <xf numFmtId="0" fontId="3" fillId="0" borderId="0" xfId="0" applyFont="1" applyBorder="1" applyAlignment="1"/>
    <xf numFmtId="0" fontId="3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2" fontId="30" fillId="0" borderId="13" xfId="0" applyNumberFormat="1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9" fontId="0" fillId="0" borderId="5" xfId="0" applyNumberFormat="1" applyBorder="1" applyAlignment="1">
      <alignment horizontal="center"/>
    </xf>
    <xf numFmtId="0" fontId="20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20" fillId="7" borderId="0" xfId="0" applyFon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165" fontId="0" fillId="7" borderId="5" xfId="0" applyNumberFormat="1" applyFont="1" applyFill="1" applyBorder="1" applyAlignment="1">
      <alignment horizontal="center"/>
    </xf>
    <xf numFmtId="164" fontId="0" fillId="7" borderId="5" xfId="0" applyNumberFormat="1" applyFont="1" applyFill="1" applyBorder="1" applyAlignment="1">
      <alignment horizontal="center"/>
    </xf>
    <xf numFmtId="2" fontId="0" fillId="7" borderId="0" xfId="0" applyNumberFormat="1" applyFont="1" applyFill="1" applyBorder="1" applyAlignment="1">
      <alignment horizontal="center"/>
    </xf>
    <xf numFmtId="164" fontId="0" fillId="7" borderId="0" xfId="0" applyNumberFormat="1" applyFont="1" applyFill="1" applyBorder="1" applyAlignment="1">
      <alignment horizontal="center"/>
    </xf>
    <xf numFmtId="165" fontId="0" fillId="7" borderId="0" xfId="0" applyNumberFormat="1" applyFont="1" applyFill="1" applyBorder="1" applyAlignment="1">
      <alignment horizontal="center"/>
    </xf>
    <xf numFmtId="167" fontId="0" fillId="7" borderId="5" xfId="0" applyNumberFormat="1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0" fontId="20" fillId="7" borderId="0" xfId="0" applyFont="1" applyFill="1" applyAlignment="1">
      <alignment horizontal="center"/>
    </xf>
    <xf numFmtId="2" fontId="0" fillId="7" borderId="0" xfId="0" applyNumberFormat="1" applyFill="1" applyAlignment="1">
      <alignment horizontal="center"/>
    </xf>
    <xf numFmtId="164" fontId="0" fillId="7" borderId="0" xfId="0" applyNumberFormat="1" applyFill="1" applyAlignment="1">
      <alignment horizontal="center"/>
    </xf>
    <xf numFmtId="165" fontId="0" fillId="7" borderId="0" xfId="0" applyNumberFormat="1" applyFill="1" applyAlignment="1">
      <alignment horizontal="center"/>
    </xf>
    <xf numFmtId="2" fontId="0" fillId="7" borderId="5" xfId="0" applyNumberFormat="1" applyFont="1" applyFill="1" applyBorder="1" applyAlignment="1">
      <alignment horizontal="center"/>
    </xf>
    <xf numFmtId="9" fontId="3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0" fillId="0" borderId="11" xfId="0" applyNumberFormat="1" applyBorder="1"/>
    <xf numFmtId="2" fontId="0" fillId="0" borderId="0" xfId="0" applyNumberFormat="1" applyBorder="1"/>
    <xf numFmtId="0" fontId="3" fillId="11" borderId="7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0" fontId="3" fillId="12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2" fillId="13" borderId="0" xfId="0" applyNumberFormat="1" applyFont="1" applyFill="1" applyAlignment="1">
      <alignment horizontal="center" vertical="center"/>
    </xf>
    <xf numFmtId="0" fontId="2" fillId="13" borderId="0" xfId="0" applyFont="1" applyFill="1" applyAlignment="1">
      <alignment horizontal="center" vertical="center"/>
    </xf>
    <xf numFmtId="0" fontId="2" fillId="13" borderId="0" xfId="0" applyFont="1" applyFill="1" applyBorder="1" applyAlignment="1">
      <alignment horizontal="center" vertical="center"/>
    </xf>
    <xf numFmtId="2" fontId="2" fillId="13" borderId="0" xfId="0" applyNumberFormat="1" applyFont="1" applyFill="1" applyAlignment="1">
      <alignment horizontal="center"/>
    </xf>
    <xf numFmtId="0" fontId="2" fillId="13" borderId="12" xfId="0" applyFont="1" applyFill="1" applyBorder="1" applyAlignment="1">
      <alignment horizontal="center"/>
    </xf>
    <xf numFmtId="0" fontId="3" fillId="0" borderId="0" xfId="0" applyFont="1"/>
    <xf numFmtId="0" fontId="0" fillId="0" borderId="12" xfId="0" applyBorder="1" applyAlignment="1">
      <alignment horizontal="center" vertical="center"/>
    </xf>
    <xf numFmtId="0" fontId="2" fillId="13" borderId="1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4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0" fontId="3" fillId="15" borderId="7" xfId="0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66" fontId="0" fillId="0" borderId="0" xfId="0" applyNumberFormat="1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0" fontId="3" fillId="15" borderId="7" xfId="0" applyFont="1" applyFill="1" applyBorder="1" applyAlignment="1">
      <alignment horizontal="center" vertical="center"/>
    </xf>
    <xf numFmtId="0" fontId="0" fillId="15" borderId="12" xfId="0" applyFill="1" applyBorder="1" applyAlignment="1">
      <alignment horizontal="center"/>
    </xf>
    <xf numFmtId="0" fontId="0" fillId="15" borderId="13" xfId="0" applyFill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20" fillId="0" borderId="22" xfId="0" applyFont="1" applyBorder="1" applyAlignment="1">
      <alignment horizontal="center"/>
    </xf>
    <xf numFmtId="0" fontId="30" fillId="0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0" fontId="0" fillId="0" borderId="0" xfId="0" applyFill="1" applyBorder="1"/>
    <xf numFmtId="165" fontId="0" fillId="0" borderId="0" xfId="0" applyNumberForma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20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3" fillId="0" borderId="7" xfId="0" applyFont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/>
    <xf numFmtId="0" fontId="3" fillId="0" borderId="0" xfId="0" applyFont="1" applyFill="1" applyBorder="1" applyAlignment="1"/>
    <xf numFmtId="0" fontId="22" fillId="0" borderId="0" xfId="0" applyFont="1" applyFill="1" applyBorder="1" applyAlignment="1"/>
    <xf numFmtId="1" fontId="3" fillId="0" borderId="0" xfId="0" applyNumberFormat="1" applyFont="1" applyFill="1" applyBorder="1" applyAlignment="1"/>
    <xf numFmtId="2" fontId="3" fillId="0" borderId="5" xfId="0" applyNumberFormat="1" applyFont="1" applyBorder="1" applyAlignment="1">
      <alignment horizontal="center" vertical="center"/>
    </xf>
    <xf numFmtId="164" fontId="3" fillId="3" borderId="5" xfId="0" applyNumberFormat="1" applyFont="1" applyFill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/>
    </xf>
    <xf numFmtId="2" fontId="3" fillId="3" borderId="5" xfId="0" applyNumberFormat="1" applyFont="1" applyFill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/>
    </xf>
    <xf numFmtId="2" fontId="3" fillId="3" borderId="5" xfId="0" applyNumberFormat="1" applyFont="1" applyFill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9" fontId="3" fillId="3" borderId="5" xfId="0" applyNumberFormat="1" applyFont="1" applyFill="1" applyBorder="1" applyAlignment="1">
      <alignment horizontal="center"/>
    </xf>
    <xf numFmtId="165" fontId="0" fillId="3" borderId="11" xfId="0" applyNumberFormat="1" applyFont="1" applyFill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0" fontId="0" fillId="0" borderId="0" xfId="0" applyFont="1"/>
    <xf numFmtId="2" fontId="0" fillId="0" borderId="0" xfId="0" applyNumberFormat="1" applyFill="1"/>
    <xf numFmtId="0" fontId="18" fillId="0" borderId="22" xfId="0" applyFont="1" applyFill="1" applyBorder="1" applyAlignment="1">
      <alignment horizontal="center"/>
    </xf>
    <xf numFmtId="2" fontId="0" fillId="0" borderId="22" xfId="0" applyNumberForma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2" fontId="0" fillId="0" borderId="23" xfId="0" applyNumberFormat="1" applyFill="1" applyBorder="1" applyAlignment="1">
      <alignment horizontal="center"/>
    </xf>
    <xf numFmtId="2" fontId="0" fillId="0" borderId="12" xfId="0" applyNumberFormat="1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2" fontId="3" fillId="9" borderId="0" xfId="0" applyNumberFormat="1" applyFont="1" applyFill="1" applyAlignment="1">
      <alignment horizontal="center"/>
    </xf>
    <xf numFmtId="0" fontId="3" fillId="0" borderId="5" xfId="0" applyFont="1" applyBorder="1" applyAlignment="1">
      <alignment horizontal="center" vertical="center"/>
    </xf>
    <xf numFmtId="2" fontId="0" fillId="16" borderId="7" xfId="0" applyNumberFormat="1" applyFill="1" applyBorder="1" applyAlignment="1">
      <alignment horizontal="center"/>
    </xf>
    <xf numFmtId="0" fontId="0" fillId="16" borderId="0" xfId="0" applyFill="1"/>
    <xf numFmtId="0" fontId="3" fillId="0" borderId="9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9" fontId="3" fillId="0" borderId="10" xfId="0" applyNumberFormat="1" applyFont="1" applyBorder="1" applyAlignment="1">
      <alignment horizontal="center" vertical="center"/>
    </xf>
    <xf numFmtId="9" fontId="3" fillId="0" borderId="13" xfId="0" applyNumberFormat="1" applyFont="1" applyBorder="1" applyAlignment="1">
      <alignment horizontal="center" vertical="center"/>
    </xf>
    <xf numFmtId="9" fontId="3" fillId="0" borderId="14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8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9" fontId="3" fillId="0" borderId="10" xfId="1" applyFont="1" applyBorder="1" applyAlignment="1">
      <alignment horizontal="center" vertical="center"/>
    </xf>
    <xf numFmtId="9" fontId="3" fillId="0" borderId="13" xfId="1" applyFont="1" applyBorder="1" applyAlignment="1">
      <alignment horizontal="center" vertical="center"/>
    </xf>
    <xf numFmtId="9" fontId="3" fillId="0" borderId="14" xfId="1" applyFon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9" fillId="0" borderId="2" xfId="0" applyFont="1" applyBorder="1" applyAlignment="1">
      <alignment horizontal="center"/>
    </xf>
    <xf numFmtId="0" fontId="39" fillId="0" borderId="3" xfId="0" applyFont="1" applyBorder="1" applyAlignment="1">
      <alignment horizontal="center"/>
    </xf>
    <xf numFmtId="1" fontId="3" fillId="14" borderId="9" xfId="0" applyNumberFormat="1" applyFont="1" applyFill="1" applyBorder="1" applyAlignment="1">
      <alignment horizontal="center"/>
    </xf>
    <xf numFmtId="1" fontId="3" fillId="14" borderId="16" xfId="0" applyNumberFormat="1" applyFont="1" applyFill="1" applyBorder="1" applyAlignment="1">
      <alignment horizontal="center"/>
    </xf>
    <xf numFmtId="1" fontId="3" fillId="14" borderId="8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7" fillId="0" borderId="0" xfId="0" applyFont="1" applyAlignment="1">
      <alignment horizont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D24B"/>
      <color rgb="FFFF51D1"/>
      <color rgb="FFFFF02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Figure 2B: Route B one-pot procedure E-factor composition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4"/>
          <c:order val="0"/>
          <c:spPr>
            <a:ln w="19050" cmpd="sng">
              <a:solidFill>
                <a:schemeClr val="bg1"/>
              </a:solidFill>
            </a:ln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51D1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7-471D-424A-8665-8C1E17A51A9A}"/>
              </c:ext>
            </c:extLst>
          </c:dPt>
          <c:dPt>
            <c:idx val="1"/>
            <c:bubble3D val="0"/>
            <c:spPr>
              <a:solidFill>
                <a:srgbClr val="FFF025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8-471D-424A-8665-8C1E17A51A9A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9-471D-424A-8665-8C1E17A51A9A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A-471D-424A-8665-8C1E17A51A9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'One-pot E-factor'!$A$9:$D$9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'One-pot E-factor'!$A$10:$D$10</c:f>
              <c:numCache>
                <c:formatCode>0.00</c:formatCode>
                <c:ptCount val="4"/>
                <c:pt idx="0">
                  <c:v>4.2633208193374177</c:v>
                </c:pt>
                <c:pt idx="1">
                  <c:v>88.512623428309794</c:v>
                </c:pt>
                <c:pt idx="2">
                  <c:v>10.372481268048707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6-471D-424A-8665-8C1E17A51A9A}"/>
            </c:ext>
          </c:extLst>
        </c:ser>
        <c:ser>
          <c:idx val="5"/>
          <c:order val="1"/>
          <c:spPr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51D1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C-471D-424A-8665-8C1E17A51A9A}"/>
              </c:ext>
            </c:extLst>
          </c:dPt>
          <c:dPt>
            <c:idx val="1"/>
            <c:bubble3D val="0"/>
            <c:spPr>
              <a:solidFill>
                <a:srgbClr val="FFF025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D-471D-424A-8665-8C1E17A51A9A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E-471D-424A-8665-8C1E17A51A9A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F-471D-424A-8665-8C1E17A51A9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'ASM E-factor'!$A$19:$D$19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'ASM E-factor'!$A$20:$D$20</c:f>
              <c:numCache>
                <c:formatCode>0.00</c:formatCode>
                <c:ptCount val="4"/>
                <c:pt idx="0">
                  <c:v>7.0541326431859233</c:v>
                </c:pt>
                <c:pt idx="1">
                  <c:v>52.623368998078689</c:v>
                </c:pt>
                <c:pt idx="2">
                  <c:v>4.4474549235155179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B-471D-424A-8665-8C1E17A51A9A}"/>
            </c:ext>
          </c:extLst>
        </c:ser>
        <c:ser>
          <c:idx val="6"/>
          <c:order val="2"/>
          <c:spPr>
            <a:ln w="19050" cmpd="sng">
              <a:solidFill>
                <a:schemeClr val="bg1"/>
              </a:solidFill>
            </a:ln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51D1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61-471D-424A-8665-8C1E17A51A9A}"/>
              </c:ext>
            </c:extLst>
          </c:dPt>
          <c:dPt>
            <c:idx val="1"/>
            <c:bubble3D val="0"/>
            <c:spPr>
              <a:solidFill>
                <a:srgbClr val="FFF025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62-471D-424A-8665-8C1E17A51A9A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63-471D-424A-8665-8C1E17A51A9A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64-471D-424A-8665-8C1E17A51A9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'One-pot E-factor'!$A$9:$D$9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'One-pot E-factor'!$A$10:$D$10</c:f>
              <c:numCache>
                <c:formatCode>0.00</c:formatCode>
                <c:ptCount val="4"/>
                <c:pt idx="0">
                  <c:v>4.2633208193374177</c:v>
                </c:pt>
                <c:pt idx="1">
                  <c:v>88.512623428309794</c:v>
                </c:pt>
                <c:pt idx="2">
                  <c:v>10.372481268048707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0-471D-424A-8665-8C1E17A51A9A}"/>
            </c:ext>
          </c:extLst>
        </c:ser>
        <c:ser>
          <c:idx val="7"/>
          <c:order val="3"/>
          <c:spPr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51D1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66-471D-424A-8665-8C1E17A51A9A}"/>
              </c:ext>
            </c:extLst>
          </c:dPt>
          <c:dPt>
            <c:idx val="1"/>
            <c:bubble3D val="0"/>
            <c:spPr>
              <a:solidFill>
                <a:srgbClr val="FFF025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67-471D-424A-8665-8C1E17A51A9A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68-471D-424A-8665-8C1E17A51A9A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69-471D-424A-8665-8C1E17A51A9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'ASM E-factor'!$A$19:$D$19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'ASM E-factor'!$A$20:$D$20</c:f>
              <c:numCache>
                <c:formatCode>0.00</c:formatCode>
                <c:ptCount val="4"/>
                <c:pt idx="0">
                  <c:v>7.0541326431859233</c:v>
                </c:pt>
                <c:pt idx="1">
                  <c:v>52.623368998078689</c:v>
                </c:pt>
                <c:pt idx="2">
                  <c:v>4.4474549235155179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5-471D-424A-8665-8C1E17A51A9A}"/>
            </c:ext>
          </c:extLst>
        </c:ser>
        <c:ser>
          <c:idx val="2"/>
          <c:order val="4"/>
          <c:spPr>
            <a:ln w="19050" cmpd="sng">
              <a:solidFill>
                <a:schemeClr val="bg1"/>
              </a:solidFill>
            </a:ln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51D1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0-471D-424A-8665-8C1E17A51A9A}"/>
              </c:ext>
            </c:extLst>
          </c:dPt>
          <c:dPt>
            <c:idx val="1"/>
            <c:bubble3D val="0"/>
            <c:spPr>
              <a:solidFill>
                <a:srgbClr val="FFF025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2-471D-424A-8665-8C1E17A51A9A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4-471D-424A-8665-8C1E17A51A9A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6-471D-424A-8665-8C1E17A51A9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'One-pot E-factor'!$A$9:$D$9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'One-pot E-factor'!$A$10:$D$10</c:f>
              <c:numCache>
                <c:formatCode>0.00</c:formatCode>
                <c:ptCount val="4"/>
                <c:pt idx="0">
                  <c:v>4.2633208193374177</c:v>
                </c:pt>
                <c:pt idx="1">
                  <c:v>88.512623428309794</c:v>
                </c:pt>
                <c:pt idx="2">
                  <c:v>10.372481268048707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471D-424A-8665-8C1E17A51A9A}"/>
            </c:ext>
          </c:extLst>
        </c:ser>
        <c:ser>
          <c:idx val="3"/>
          <c:order val="5"/>
          <c:spPr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51D1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A-471D-424A-8665-8C1E17A51A9A}"/>
              </c:ext>
            </c:extLst>
          </c:dPt>
          <c:dPt>
            <c:idx val="1"/>
            <c:bubble3D val="0"/>
            <c:spPr>
              <a:solidFill>
                <a:srgbClr val="FFF025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C-471D-424A-8665-8C1E17A51A9A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E-471D-424A-8665-8C1E17A51A9A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0-471D-424A-8665-8C1E17A51A9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'ASM E-factor'!$A$19:$D$19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'ASM E-factor'!$A$20:$D$20</c:f>
              <c:numCache>
                <c:formatCode>0.00</c:formatCode>
                <c:ptCount val="4"/>
                <c:pt idx="0">
                  <c:v>7.0541326431859233</c:v>
                </c:pt>
                <c:pt idx="1">
                  <c:v>52.623368998078689</c:v>
                </c:pt>
                <c:pt idx="2">
                  <c:v>4.4474549235155179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471D-424A-8665-8C1E17A51A9A}"/>
            </c:ext>
          </c:extLst>
        </c:ser>
        <c:ser>
          <c:idx val="1"/>
          <c:order val="6"/>
          <c:spPr>
            <a:ln w="19050" cmpd="sng">
              <a:solidFill>
                <a:schemeClr val="bg1"/>
              </a:solidFill>
            </a:ln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51D1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4-471D-424A-8665-8C1E17A51A9A}"/>
              </c:ext>
            </c:extLst>
          </c:dPt>
          <c:dPt>
            <c:idx val="1"/>
            <c:bubble3D val="0"/>
            <c:spPr>
              <a:solidFill>
                <a:srgbClr val="FFF025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6-471D-424A-8665-8C1E17A51A9A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8-471D-424A-8665-8C1E17A51A9A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A-471D-424A-8665-8C1E17A51A9A}"/>
              </c:ext>
            </c:extLst>
          </c:dPt>
          <c:dLbls>
            <c:dLbl>
              <c:idx val="3"/>
              <c:layout>
                <c:manualLayout>
                  <c:x val="0.19380853486835367"/>
                  <c:y val="0.643401363731965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471D-424A-8665-8C1E17A51A9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'One-pot E-factor'!$A$9:$D$9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'One-pot E-factor'!$A$10:$D$10</c:f>
              <c:numCache>
                <c:formatCode>0.00</c:formatCode>
                <c:ptCount val="4"/>
                <c:pt idx="0">
                  <c:v>4.2633208193374177</c:v>
                </c:pt>
                <c:pt idx="1">
                  <c:v>88.512623428309794</c:v>
                </c:pt>
                <c:pt idx="2">
                  <c:v>10.372481268048707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471D-424A-8665-8C1E17A51A9A}"/>
            </c:ext>
          </c:extLst>
        </c:ser>
        <c:ser>
          <c:idx val="0"/>
          <c:order val="7"/>
          <c:spPr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51D1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E-471D-424A-8665-8C1E17A51A9A}"/>
              </c:ext>
            </c:extLst>
          </c:dPt>
          <c:dPt>
            <c:idx val="1"/>
            <c:bubble3D val="0"/>
            <c:spPr>
              <a:solidFill>
                <a:srgbClr val="FFF025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0-471D-424A-8665-8C1E17A51A9A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2-471D-424A-8665-8C1E17A51A9A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4-471D-424A-8665-8C1E17A51A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'ASM E-factor'!$A$19:$D$19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'ASM E-factor'!$A$20:$D$20</c:f>
              <c:numCache>
                <c:formatCode>0.00</c:formatCode>
                <c:ptCount val="4"/>
                <c:pt idx="0">
                  <c:v>7.0541326431859233</c:v>
                </c:pt>
                <c:pt idx="1">
                  <c:v>52.623368998078689</c:v>
                </c:pt>
                <c:pt idx="2">
                  <c:v>4.4474549235155179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5-471D-424A-8665-8C1E17A51A9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2155843840905567"/>
          <c:y val="0.35219915852882272"/>
          <c:w val="0.23253861855694016"/>
          <c:h val="0.39661733697861529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lt1"/>
    </a:solidFill>
    <a:ln>
      <a:solidFill>
        <a:schemeClr val="tx1"/>
      </a:solidFill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Figure 4B: Route B sub-synthesis E-factor composition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51D1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020B-A64D-8CF6-66779BA69852}"/>
              </c:ext>
            </c:extLst>
          </c:dPt>
          <c:dPt>
            <c:idx val="1"/>
            <c:bubble3D val="0"/>
            <c:spPr>
              <a:solidFill>
                <a:srgbClr val="FFF025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20B-A64D-8CF6-66779BA69852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20B-A64D-8CF6-66779BA69852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020B-A64D-8CF6-66779BA69852}"/>
              </c:ext>
            </c:extLst>
          </c:dPt>
          <c:dLbls>
            <c:dLbl>
              <c:idx val="3"/>
              <c:layout>
                <c:manualLayout>
                  <c:x val="0.18260721386715179"/>
                  <c:y val="0.61814666120145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20B-A64D-8CF6-66779BA698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'ASM E-factor'!$A$19:$D$19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'ASM E-factor'!$A$20:$D$20</c:f>
              <c:numCache>
                <c:formatCode>0.00</c:formatCode>
                <c:ptCount val="4"/>
                <c:pt idx="0">
                  <c:v>7.0541326431859233</c:v>
                </c:pt>
                <c:pt idx="1">
                  <c:v>52.623368998078689</c:v>
                </c:pt>
                <c:pt idx="2">
                  <c:v>4.4474549235155179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0B-A64D-8CF6-66779BA69852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899-42FD-94FD-A96A40C6CB8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899-42FD-94FD-A96A40C6CB8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899-42FD-94FD-A96A40C6CB8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899-42FD-94FD-A96A40C6CB8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'ASM E-factor'!$A$19:$D$19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'ASM E-factor'!$A$21:$D$21</c:f>
              <c:numCache>
                <c:formatCode>0.00</c:formatCode>
                <c:ptCount val="4"/>
                <c:pt idx="0">
                  <c:v>29.246433938648838</c:v>
                </c:pt>
                <c:pt idx="1">
                  <c:v>218.17648786603425</c:v>
                </c:pt>
                <c:pt idx="2">
                  <c:v>18.439148112895335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FBF-B14D-8BEA-C464937279B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277932578309397"/>
          <c:y val="0.38241005515739601"/>
          <c:w val="0.25545981625423614"/>
          <c:h val="0.31415292749038687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1300" b="1">
                <a:solidFill>
                  <a:schemeClr val="tx1"/>
                </a:solidFill>
              </a:rPr>
              <a:t>Figure 5B: Chemical</a:t>
            </a:r>
            <a:r>
              <a:rPr lang="en-GB" sz="1300" b="1" baseline="0">
                <a:solidFill>
                  <a:schemeClr val="tx1"/>
                </a:solidFill>
              </a:rPr>
              <a:t> material composition for route B one-pot procedure and sub-synthesis route to bis-THF alcohol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bg1"/>
              </a:solidFill>
            </a:ln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51D1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463-B048-A9FB-B3F06F798F7E}"/>
              </c:ext>
            </c:extLst>
          </c:dPt>
          <c:dPt>
            <c:idx val="1"/>
            <c:bubble3D val="0"/>
            <c:spPr>
              <a:solidFill>
                <a:srgbClr val="FFF025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5463-B048-A9FB-B3F06F798F7E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463-B048-A9FB-B3F06F798F7E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5463-B048-A9FB-B3F06F798F7E}"/>
              </c:ext>
            </c:extLst>
          </c:dPt>
          <c:dLbls>
            <c:dLbl>
              <c:idx val="3"/>
              <c:layout>
                <c:manualLayout>
                  <c:x val="0.13047282364309556"/>
                  <c:y val="0.626254557945357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463-B048-A9FB-B3F06F798F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'One-pot Cummulative E-factor'!$A$19:$D$19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'One-pot Cummulative E-factor'!$A$20:$D$20</c:f>
              <c:numCache>
                <c:formatCode>0.00</c:formatCode>
                <c:ptCount val="4"/>
                <c:pt idx="0">
                  <c:v>33.509754757986258</c:v>
                </c:pt>
                <c:pt idx="1">
                  <c:v>306.68911129434406</c:v>
                </c:pt>
                <c:pt idx="2">
                  <c:v>28.811629380944041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63-B048-A9FB-B3F06F798F7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767960505544341"/>
          <c:y val="0.32699492680864556"/>
          <c:w val="0.14268757507006538"/>
          <c:h val="0.27700680995956589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Figure 7B: Route B step-by-step procedure E-factor composition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2"/>
          <c:order val="0"/>
          <c:spPr>
            <a:ln w="19050" cmpd="sng">
              <a:solidFill>
                <a:schemeClr val="bg1"/>
              </a:solidFill>
            </a:ln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51D1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A-2527-504C-B66F-05C341A5AF01}"/>
              </c:ext>
            </c:extLst>
          </c:dPt>
          <c:dPt>
            <c:idx val="1"/>
            <c:bubble3D val="0"/>
            <c:spPr>
              <a:solidFill>
                <a:srgbClr val="FFF025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B-2527-504C-B66F-05C341A5AF01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C-2527-504C-B66F-05C341A5AF01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D-2527-504C-B66F-05C341A5AF01}"/>
              </c:ext>
            </c:extLst>
          </c:dPt>
          <c:dLbls>
            <c:dLbl>
              <c:idx val="0"/>
              <c:layout>
                <c:manualLayout>
                  <c:x val="4.4572367785040368E-2"/>
                  <c:y val="-1.49286773935866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527-504C-B66F-05C341A5AF01}"/>
                </c:ext>
              </c:extLst>
            </c:dLbl>
            <c:dLbl>
              <c:idx val="2"/>
              <c:layout>
                <c:manualLayout>
                  <c:x val="-3.8419874935964111E-2"/>
                  <c:y val="-8.364144699303908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527-504C-B66F-05C341A5AF01}"/>
                </c:ext>
              </c:extLst>
            </c:dLbl>
            <c:dLbl>
              <c:idx val="3"/>
              <c:layout>
                <c:manualLayout>
                  <c:x val="-6.2651389169804308E-3"/>
                  <c:y val="-4.45960287572749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2527-504C-B66F-05C341A5AF0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'Step-by-step E-factor'!$A$11:$D$11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'Step-by-step E-factor'!$A$12:$D$12</c:f>
              <c:numCache>
                <c:formatCode>0.00</c:formatCode>
                <c:ptCount val="4"/>
                <c:pt idx="0">
                  <c:v>4.145836153733244</c:v>
                </c:pt>
                <c:pt idx="1">
                  <c:v>509.17415385121939</c:v>
                </c:pt>
                <c:pt idx="2">
                  <c:v>9.6311754548265718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2527-504C-B66F-05C341A5AF01}"/>
            </c:ext>
          </c:extLst>
        </c:ser>
        <c:ser>
          <c:idx val="1"/>
          <c:order val="1"/>
          <c:spPr>
            <a:ln w="19050" cmpd="sng">
              <a:solidFill>
                <a:schemeClr val="bg1"/>
              </a:solidFill>
            </a:ln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51D1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527-504C-B66F-05C341A5AF01}"/>
              </c:ext>
            </c:extLst>
          </c:dPt>
          <c:dPt>
            <c:idx val="1"/>
            <c:bubble3D val="0"/>
            <c:spPr>
              <a:solidFill>
                <a:srgbClr val="FFF025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2527-504C-B66F-05C341A5AF01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2527-504C-B66F-05C341A5AF01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2527-504C-B66F-05C341A5AF01}"/>
              </c:ext>
            </c:extLst>
          </c:dPt>
          <c:dLbls>
            <c:dLbl>
              <c:idx val="3"/>
              <c:layout>
                <c:manualLayout>
                  <c:x val="-1.4035534779577848E-3"/>
                  <c:y val="1.3919535930478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527-504C-B66F-05C341A5AF0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'One-pot E-factor'!$A$9:$D$9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'One-pot E-factor'!$A$10:$D$10</c:f>
              <c:numCache>
                <c:formatCode>0.00</c:formatCode>
                <c:ptCount val="4"/>
                <c:pt idx="0">
                  <c:v>4.2633208193374177</c:v>
                </c:pt>
                <c:pt idx="1">
                  <c:v>88.512623428309794</c:v>
                </c:pt>
                <c:pt idx="2">
                  <c:v>10.372481268048707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527-504C-B66F-05C341A5AF01}"/>
            </c:ext>
          </c:extLst>
        </c:ser>
        <c:ser>
          <c:idx val="0"/>
          <c:order val="2"/>
          <c:spPr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51D1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2527-504C-B66F-05C341A5AF01}"/>
              </c:ext>
            </c:extLst>
          </c:dPt>
          <c:dPt>
            <c:idx val="1"/>
            <c:bubble3D val="0"/>
            <c:spPr>
              <a:solidFill>
                <a:srgbClr val="FFF025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2527-504C-B66F-05C341A5AF01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2527-504C-B66F-05C341A5AF01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2527-504C-B66F-05C341A5AF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'ASM E-factor'!$A$19:$D$19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'ASM E-factor'!$A$20:$D$20</c:f>
              <c:numCache>
                <c:formatCode>0.00</c:formatCode>
                <c:ptCount val="4"/>
                <c:pt idx="0">
                  <c:v>7.0541326431859233</c:v>
                </c:pt>
                <c:pt idx="1">
                  <c:v>52.623368998078689</c:v>
                </c:pt>
                <c:pt idx="2">
                  <c:v>4.4474549235155179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2527-504C-B66F-05C341A5AF0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9645829022768768"/>
          <c:y val="0.36580845305909987"/>
          <c:w val="0.26682877612737277"/>
          <c:h val="0.43888365856441858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lt1"/>
    </a:solidFill>
    <a:ln>
      <a:solidFill>
        <a:schemeClr val="tx1"/>
      </a:solidFill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1">
                <a:solidFill>
                  <a:schemeClr val="tx1"/>
                </a:solidFill>
              </a:rPr>
              <a:t>Figure 8B: Chemical</a:t>
            </a:r>
            <a:r>
              <a:rPr lang="en-GB" sz="1200" b="1" baseline="0">
                <a:solidFill>
                  <a:schemeClr val="tx1"/>
                </a:solidFill>
              </a:rPr>
              <a:t> material composition for route B step-by-step procedure and sub-synthesis route to bis-THF alcohol </a:t>
            </a:r>
            <a:endParaRPr lang="en-GB" sz="12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bg1"/>
              </a:solidFill>
            </a:ln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51D1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DC4-7E42-A37C-A176C1BAD02C}"/>
              </c:ext>
            </c:extLst>
          </c:dPt>
          <c:dPt>
            <c:idx val="1"/>
            <c:bubble3D val="0"/>
            <c:spPr>
              <a:solidFill>
                <a:srgbClr val="FFF025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DDC4-7E42-A37C-A176C1BAD02C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DDC4-7E42-A37C-A176C1BAD02C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DC4-7E42-A37C-A176C1BAD02C}"/>
              </c:ext>
            </c:extLst>
          </c:dPt>
          <c:dLbls>
            <c:dLbl>
              <c:idx val="0"/>
              <c:layout>
                <c:manualLayout>
                  <c:x val="2.6075460740943173E-2"/>
                  <c:y val="-8.335208098987651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C4-7E42-A37C-A176C1BAD02C}"/>
                </c:ext>
              </c:extLst>
            </c:dLbl>
            <c:dLbl>
              <c:idx val="2"/>
              <c:layout>
                <c:manualLayout>
                  <c:x val="-3.1513712629739073E-2"/>
                  <c:y val="-4.494678549796659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C4-7E42-A37C-A176C1BAD02C}"/>
                </c:ext>
              </c:extLst>
            </c:dLbl>
            <c:dLbl>
              <c:idx val="3"/>
              <c:layout>
                <c:manualLayout>
                  <c:x val="-8.4733063464680798E-3"/>
                  <c:y val="-1.94914337630873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4039971603687188E-2"/>
                      <c:h val="4.342028985507246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DDC4-7E42-A37C-A176C1BAD0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'Step-by-step Cummulative E-fact'!$A$19:$D$19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'Step-by-step Cummulative E-fact'!$A$20:$D$20</c:f>
              <c:numCache>
                <c:formatCode>0.00</c:formatCode>
                <c:ptCount val="4"/>
                <c:pt idx="0">
                  <c:v>33.392270092382084</c:v>
                </c:pt>
                <c:pt idx="1">
                  <c:v>727.35064171725367</c:v>
                </c:pt>
                <c:pt idx="2">
                  <c:v>28.070323567721907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C4-7E42-A37C-A176C1BAD02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6814751830142638"/>
          <c:y val="0.37137532808398949"/>
          <c:w val="0.20476798355940148"/>
          <c:h val="0.47056938585870833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0.png"/><Relationship Id="rId2" Type="http://schemas.openxmlformats.org/officeDocument/2006/relationships/customXml" Target="../ink/ink1.xml"/><Relationship Id="rId1" Type="http://schemas.openxmlformats.org/officeDocument/2006/relationships/chart" Target="../charts/chart3.xml"/><Relationship Id="rId6" Type="http://schemas.openxmlformats.org/officeDocument/2006/relationships/image" Target="../media/image4.png"/><Relationship Id="rId5" Type="http://schemas.openxmlformats.org/officeDocument/2006/relationships/customXml" Target="../ink/ink3.xml"/><Relationship Id="rId4" Type="http://schemas.openxmlformats.org/officeDocument/2006/relationships/customXml" Target="../ink/ink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60.png"/><Relationship Id="rId2" Type="http://schemas.openxmlformats.org/officeDocument/2006/relationships/customXml" Target="../ink/ink4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39947</xdr:colOff>
      <xdr:row>37</xdr:row>
      <xdr:rowOff>119061</xdr:rowOff>
    </xdr:from>
    <xdr:to>
      <xdr:col>4</xdr:col>
      <xdr:colOff>2003442</xdr:colOff>
      <xdr:row>39</xdr:row>
      <xdr:rowOff>178594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7A568410-BCF4-4240-8782-18CB943A2CBB}"/>
            </a:ext>
          </a:extLst>
        </xdr:cNvPr>
        <xdr:cNvSpPr txBox="1"/>
      </xdr:nvSpPr>
      <xdr:spPr>
        <a:xfrm>
          <a:off x="39947" y="8314530"/>
          <a:ext cx="10694745" cy="45640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300" b="1"/>
            <a:t>Figure 1B:</a:t>
          </a:r>
          <a:r>
            <a:rPr lang="en-US" sz="1300" b="1" baseline="0"/>
            <a:t> </a:t>
          </a:r>
          <a:r>
            <a:rPr lang="en-US" sz="1300" b="1"/>
            <a:t>Schematic</a:t>
          </a:r>
          <a:r>
            <a:rPr lang="en-US" sz="1300" b="1" baseline="0"/>
            <a:t> representation of route B one-pot procedure to bis-THF alcohol from advanced starting material Cbz protected aldehyde and furan</a:t>
          </a:r>
          <a:endParaRPr lang="en-US" sz="1300" b="1"/>
        </a:p>
      </xdr:txBody>
    </xdr:sp>
    <xdr:clientData/>
  </xdr:twoCellAnchor>
  <xdr:twoCellAnchor editAs="oneCell">
    <xdr:from>
      <xdr:col>0</xdr:col>
      <xdr:colOff>59530</xdr:colOff>
      <xdr:row>40</xdr:row>
      <xdr:rowOff>79375</xdr:rowOff>
    </xdr:from>
    <xdr:to>
      <xdr:col>5</xdr:col>
      <xdr:colOff>39687</xdr:colOff>
      <xdr:row>52</xdr:row>
      <xdr:rowOff>119062</xdr:rowOff>
    </xdr:to>
    <xdr:pic>
      <xdr:nvPicPr>
        <xdr:cNvPr id="4" name="Picture 3" descr="A picture containing graphical user interface&#10;&#10;Description automatically generated">
          <a:extLst>
            <a:ext uri="{FF2B5EF4-FFF2-40B4-BE49-F238E27FC236}">
              <a16:creationId xmlns:a16="http://schemas.microsoft.com/office/drawing/2014/main" id="{E5D959CB-4788-AE4F-B5E6-245CB750F3C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0" y="8870156"/>
          <a:ext cx="10874376" cy="24209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95956</xdr:colOff>
      <xdr:row>10</xdr:row>
      <xdr:rowOff>202984</xdr:rowOff>
    </xdr:from>
    <xdr:to>
      <xdr:col>3</xdr:col>
      <xdr:colOff>2120900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B94FC7-D4B7-4349-ADDC-1ECE75BD96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36339</xdr:colOff>
      <xdr:row>42</xdr:row>
      <xdr:rowOff>50799</xdr:rowOff>
    </xdr:from>
    <xdr:to>
      <xdr:col>6</xdr:col>
      <xdr:colOff>-1</xdr:colOff>
      <xdr:row>44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89963C5-A5D5-AF4A-AA69-55BB98CC29C5}"/>
            </a:ext>
          </a:extLst>
        </xdr:cNvPr>
        <xdr:cNvSpPr txBox="1"/>
      </xdr:nvSpPr>
      <xdr:spPr>
        <a:xfrm>
          <a:off x="36339" y="9330266"/>
          <a:ext cx="11681527" cy="35560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300" b="1"/>
            <a:t>Figure 3B:</a:t>
          </a:r>
          <a:r>
            <a:rPr lang="en-US" sz="1300" b="1" baseline="0"/>
            <a:t> </a:t>
          </a:r>
          <a:r>
            <a:rPr lang="en-US" sz="1300" b="1"/>
            <a:t>Schematic</a:t>
          </a:r>
          <a:r>
            <a:rPr lang="en-US" sz="1300" b="1" baseline="0"/>
            <a:t> representation of route B sub-synthesis to advanced strating material Cdz-protected aldehyde from glycerol and benzyl chloroformate</a:t>
          </a:r>
          <a:endParaRPr lang="en-US" sz="1300" b="1"/>
        </a:p>
      </xdr:txBody>
    </xdr:sp>
    <xdr:clientData/>
  </xdr:twoCellAnchor>
  <xdr:twoCellAnchor editAs="oneCell">
    <xdr:from>
      <xdr:col>0</xdr:col>
      <xdr:colOff>25401</xdr:colOff>
      <xdr:row>44</xdr:row>
      <xdr:rowOff>84666</xdr:rowOff>
    </xdr:from>
    <xdr:to>
      <xdr:col>6</xdr:col>
      <xdr:colOff>8467</xdr:colOff>
      <xdr:row>57</xdr:row>
      <xdr:rowOff>153881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2004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1" y="9770533"/>
          <a:ext cx="11700933" cy="27108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28132</xdr:colOff>
      <xdr:row>21</xdr:row>
      <xdr:rowOff>53668</xdr:rowOff>
    </xdr:from>
    <xdr:to>
      <xdr:col>2</xdr:col>
      <xdr:colOff>1209232</xdr:colOff>
      <xdr:row>37</xdr:row>
      <xdr:rowOff>91768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4693AA-03FC-9B47-AB76-DD40E8480A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573212</xdr:colOff>
      <xdr:row>12</xdr:row>
      <xdr:rowOff>183936</xdr:rowOff>
    </xdr:from>
    <xdr:ext cx="635000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A5993F8F-97BB-D149-9987-AE0791679989}"/>
                </a:ext>
              </a:extLst>
            </xdr:cNvPr>
            <xdr:cNvSpPr txBox="1"/>
          </xdr:nvSpPr>
          <xdr:spPr>
            <a:xfrm>
              <a:off x="6880403" y="2752475"/>
              <a:ext cx="635000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l-GR" sz="1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Σ</m:t>
                    </m:r>
                  </m:oMath>
                </m:oMathPara>
              </a14:m>
              <a:endParaRPr lang="en-US" sz="14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A5993F8F-97BB-D149-9987-AE0791679989}"/>
                </a:ext>
              </a:extLst>
            </xdr:cNvPr>
            <xdr:cNvSpPr txBox="1"/>
          </xdr:nvSpPr>
          <xdr:spPr>
            <a:xfrm>
              <a:off x="6781800" y="2476500"/>
              <a:ext cx="635000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l-GR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Σ</a:t>
              </a:r>
              <a:endParaRPr lang="en-US" sz="1400"/>
            </a:p>
          </xdr:txBody>
        </xdr:sp>
      </mc:Fallback>
    </mc:AlternateContent>
    <xdr:clientData/>
  </xdr:oneCellAnchor>
  <xdr:twoCellAnchor>
    <xdr:from>
      <xdr:col>2</xdr:col>
      <xdr:colOff>2146300</xdr:colOff>
      <xdr:row>6</xdr:row>
      <xdr:rowOff>88900</xdr:rowOff>
    </xdr:from>
    <xdr:to>
      <xdr:col>4</xdr:col>
      <xdr:colOff>431800</xdr:colOff>
      <xdr:row>8</xdr:row>
      <xdr:rowOff>114300</xdr:rowOff>
    </xdr:to>
    <xdr:sp macro="" textlink="">
      <xdr:nvSpPr>
        <xdr:cNvPr id="3" name="Right Brace 2">
          <a:extLst>
            <a:ext uri="{FF2B5EF4-FFF2-40B4-BE49-F238E27FC236}">
              <a16:creationId xmlns:a16="http://schemas.microsoft.com/office/drawing/2014/main" id="{9BC7CE91-0D42-0B47-A07F-6E292918D5D0}"/>
            </a:ext>
          </a:extLst>
        </xdr:cNvPr>
        <xdr:cNvSpPr/>
      </xdr:nvSpPr>
      <xdr:spPr>
        <a:xfrm rot="5400000">
          <a:off x="7048500" y="215900"/>
          <a:ext cx="431800" cy="2260600"/>
        </a:xfrm>
        <a:prstGeom prst="rightBrace">
          <a:avLst/>
        </a:prstGeom>
        <a:ln>
          <a:solidFill>
            <a:srgbClr val="00B05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12700</xdr:colOff>
      <xdr:row>21</xdr:row>
      <xdr:rowOff>12700</xdr:rowOff>
    </xdr:from>
    <xdr:to>
      <xdr:col>4</xdr:col>
      <xdr:colOff>2159000</xdr:colOff>
      <xdr:row>39</xdr:row>
      <xdr:rowOff>139700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BDD38F5-7A46-C24F-ADEC-9A989F4991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2071216</xdr:colOff>
      <xdr:row>2</xdr:row>
      <xdr:rowOff>115243</xdr:rowOff>
    </xdr:from>
    <xdr:to>
      <xdr:col>1</xdr:col>
      <xdr:colOff>2071576</xdr:colOff>
      <xdr:row>2</xdr:row>
      <xdr:rowOff>115603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7" name="Ink 6">
              <a:extLst>
                <a:ext uri="{FF2B5EF4-FFF2-40B4-BE49-F238E27FC236}">
                  <a16:creationId xmlns:a16="http://schemas.microsoft.com/office/drawing/2014/main" id="{4D953DB6-C82E-F348-A914-385DA6CA5B7B}"/>
                </a:ext>
              </a:extLst>
            </xdr14:cNvPr>
            <xdr14:cNvContentPartPr/>
          </xdr14:nvContentPartPr>
          <xdr14:nvPr macro=""/>
          <xdr14:xfrm>
            <a:off x="3583800" y="671760"/>
            <a:ext cx="360" cy="360"/>
          </xdr14:xfrm>
        </xdr:contentPart>
      </mc:Choice>
      <mc:Fallback xmlns="">
        <xdr:pic>
          <xdr:nvPicPr>
            <xdr:cNvPr id="7" name="Ink 6">
              <a:extLst>
                <a:ext uri="{FF2B5EF4-FFF2-40B4-BE49-F238E27FC236}">
                  <a16:creationId xmlns:a16="http://schemas.microsoft.com/office/drawing/2014/main" id="{4D953DB6-C82E-F348-A914-385DA6CA5B7B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3575160" y="6627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342569</xdr:colOff>
      <xdr:row>7</xdr:row>
      <xdr:rowOff>123417</xdr:rowOff>
    </xdr:from>
    <xdr:to>
      <xdr:col>2</xdr:col>
      <xdr:colOff>342929</xdr:colOff>
      <xdr:row>7</xdr:row>
      <xdr:rowOff>123777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8" name="Ink 7">
              <a:extLst>
                <a:ext uri="{FF2B5EF4-FFF2-40B4-BE49-F238E27FC236}">
                  <a16:creationId xmlns:a16="http://schemas.microsoft.com/office/drawing/2014/main" id="{8236BBFA-BAD8-6A47-8B55-3D92AAA4AD4F}"/>
                </a:ext>
              </a:extLst>
            </xdr14:cNvPr>
            <xdr14:cNvContentPartPr/>
          </xdr14:nvContentPartPr>
          <xdr14:nvPr macro=""/>
          <xdr14:xfrm>
            <a:off x="4109760" y="1693080"/>
            <a:ext cx="360" cy="360"/>
          </xdr14:xfrm>
        </xdr:contentPart>
      </mc:Choice>
      <mc:Fallback xmlns="">
        <xdr:pic>
          <xdr:nvPicPr>
            <xdr:cNvPr id="8" name="Ink 7">
              <a:extLst>
                <a:ext uri="{FF2B5EF4-FFF2-40B4-BE49-F238E27FC236}">
                  <a16:creationId xmlns:a16="http://schemas.microsoft.com/office/drawing/2014/main" id="{8236BBFA-BAD8-6A47-8B55-3D92AAA4AD4F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4100760" y="1684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43409</xdr:colOff>
      <xdr:row>2</xdr:row>
      <xdr:rowOff>142963</xdr:rowOff>
    </xdr:from>
    <xdr:to>
      <xdr:col>2</xdr:col>
      <xdr:colOff>47369</xdr:colOff>
      <xdr:row>2</xdr:row>
      <xdr:rowOff>146923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9" name="Ink 8">
              <a:extLst>
                <a:ext uri="{FF2B5EF4-FFF2-40B4-BE49-F238E27FC236}">
                  <a16:creationId xmlns:a16="http://schemas.microsoft.com/office/drawing/2014/main" id="{2DA81575-B8FA-C149-B1FD-EA9B086D7F31}"/>
                </a:ext>
              </a:extLst>
            </xdr14:cNvPr>
            <xdr14:cNvContentPartPr/>
          </xdr14:nvContentPartPr>
          <xdr14:nvPr macro=""/>
          <xdr14:xfrm>
            <a:off x="3810600" y="699480"/>
            <a:ext cx="3960" cy="3960"/>
          </xdr14:xfrm>
        </xdr:contentPart>
      </mc:Choice>
      <mc:Fallback xmlns="">
        <xdr:pic>
          <xdr:nvPicPr>
            <xdr:cNvPr id="9" name="Ink 8">
              <a:extLst>
                <a:ext uri="{FF2B5EF4-FFF2-40B4-BE49-F238E27FC236}">
                  <a16:creationId xmlns:a16="http://schemas.microsoft.com/office/drawing/2014/main" id="{2DA81575-B8FA-C149-B1FD-EA9B086D7F31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3801600" y="690480"/>
              <a:ext cx="21600" cy="216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85113</xdr:colOff>
      <xdr:row>97</xdr:row>
      <xdr:rowOff>33864</xdr:rowOff>
    </xdr:from>
    <xdr:to>
      <xdr:col>6</xdr:col>
      <xdr:colOff>83614</xdr:colOff>
      <xdr:row>99</xdr:row>
      <xdr:rowOff>17191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4B8A09D-F9E7-9549-9C38-1AA6627E2F0B}"/>
            </a:ext>
          </a:extLst>
        </xdr:cNvPr>
        <xdr:cNvSpPr txBox="1"/>
      </xdr:nvSpPr>
      <xdr:spPr>
        <a:xfrm>
          <a:off x="85113" y="21708531"/>
          <a:ext cx="11428501" cy="38972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300" b="1"/>
            <a:t>Figure 6B:</a:t>
          </a:r>
          <a:r>
            <a:rPr lang="en-US" sz="1300" b="1" baseline="0"/>
            <a:t> </a:t>
          </a:r>
          <a:r>
            <a:rPr lang="en-US" sz="1300" b="1"/>
            <a:t>Schematic</a:t>
          </a:r>
          <a:r>
            <a:rPr lang="en-US" sz="1300" b="1" baseline="0"/>
            <a:t> representation of route B step-by-step procedure to bis-THF alcohol from advanced starting material Cbz-protected aldehyde and furan</a:t>
          </a:r>
          <a:endParaRPr lang="en-US" sz="1300" b="1"/>
        </a:p>
      </xdr:txBody>
    </xdr:sp>
    <xdr:clientData/>
  </xdr:twoCellAnchor>
  <xdr:twoCellAnchor>
    <xdr:from>
      <xdr:col>0</xdr:col>
      <xdr:colOff>50800</xdr:colOff>
      <xdr:row>100</xdr:row>
      <xdr:rowOff>84665</xdr:rowOff>
    </xdr:from>
    <xdr:to>
      <xdr:col>6</xdr:col>
      <xdr:colOff>863600</xdr:colOff>
      <xdr:row>110</xdr:row>
      <xdr:rowOff>20666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58E0CDA6-0E3B-C64A-A4D1-9622B176E95D}"/>
            </a:ext>
          </a:extLst>
        </xdr:cNvPr>
        <xdr:cNvGrpSpPr/>
      </xdr:nvGrpSpPr>
      <xdr:grpSpPr>
        <a:xfrm>
          <a:off x="50800" y="22368932"/>
          <a:ext cx="12242800" cy="1968001"/>
          <a:chOff x="0" y="0"/>
          <a:chExt cx="6682740" cy="1057910"/>
        </a:xfrm>
      </xdr:grpSpPr>
      <xdr:pic>
        <xdr:nvPicPr>
          <xdr:cNvPr id="7" name="Picture 6" descr="A picture containing schematic&#10;&#10;Description automatically generated">
            <a:extLst>
              <a:ext uri="{FF2B5EF4-FFF2-40B4-BE49-F238E27FC236}">
                <a16:creationId xmlns:a16="http://schemas.microsoft.com/office/drawing/2014/main" id="{AB736236-1609-A747-961C-FEFB3A061F3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682740" cy="1057910"/>
          </a:xfrm>
          <a:prstGeom prst="rect">
            <a:avLst/>
          </a:prstGeom>
        </xdr:spPr>
      </xdr:pic>
      <xdr:sp macro="" textlink="">
        <xdr:nvSpPr>
          <xdr:cNvPr id="8" name="Text Box 3">
            <a:extLst>
              <a:ext uri="{FF2B5EF4-FFF2-40B4-BE49-F238E27FC236}">
                <a16:creationId xmlns:a16="http://schemas.microsoft.com/office/drawing/2014/main" id="{25DA82B7-2595-B448-AA0E-FA0068FB2BCD}"/>
              </a:ext>
            </a:extLst>
          </xdr:cNvPr>
          <xdr:cNvSpPr txBox="1"/>
        </xdr:nvSpPr>
        <xdr:spPr>
          <a:xfrm>
            <a:off x="28397" y="678206"/>
            <a:ext cx="303456" cy="333487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lnSpc>
                <a:spcPct val="150000"/>
              </a:lnSpc>
              <a:spcBef>
                <a:spcPts val="600"/>
              </a:spcBef>
              <a:spcAft>
                <a:spcPts val="800"/>
              </a:spcAft>
            </a:pPr>
            <a:r>
              <a:rPr lang="en-US" sz="1200" b="1">
                <a:effectLst/>
                <a:latin typeface="Calibri" panose="020F0502020204030204" pitchFamily="34" charset="0"/>
                <a:ea typeface="Calibri" panose="020F0502020204030204" pitchFamily="34" charset="0"/>
                <a:cs typeface="Times New Roman" panose="02020603050405020304" pitchFamily="18" charset="0"/>
              </a:rPr>
              <a:t>10</a:t>
            </a:r>
            <a:endParaRPr lang="en-ZA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13</xdr:row>
      <xdr:rowOff>88900</xdr:rowOff>
    </xdr:from>
    <xdr:to>
      <xdr:col>3</xdr:col>
      <xdr:colOff>787400</xdr:colOff>
      <xdr:row>31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DECB25-0189-8C45-B2A9-A168480188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444500</xdr:colOff>
      <xdr:row>13</xdr:row>
      <xdr:rowOff>12700</xdr:rowOff>
    </xdr:from>
    <xdr:ext cx="635000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F4913398-AEC1-6A4B-BA3A-40F1BF9864DB}"/>
                </a:ext>
              </a:extLst>
            </xdr:cNvPr>
            <xdr:cNvSpPr txBox="1"/>
          </xdr:nvSpPr>
          <xdr:spPr>
            <a:xfrm>
              <a:off x="7721600" y="2476500"/>
              <a:ext cx="635000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l-GR" sz="1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Σ</m:t>
                    </m:r>
                  </m:oMath>
                </m:oMathPara>
              </a14:m>
              <a:endParaRPr lang="en-US" sz="14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F4913398-AEC1-6A4B-BA3A-40F1BF9864DB}"/>
                </a:ext>
              </a:extLst>
            </xdr:cNvPr>
            <xdr:cNvSpPr txBox="1"/>
          </xdr:nvSpPr>
          <xdr:spPr>
            <a:xfrm>
              <a:off x="6362700" y="2476500"/>
              <a:ext cx="635000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l-GR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Σ</a:t>
              </a:r>
              <a:endParaRPr lang="en-US" sz="1400"/>
            </a:p>
          </xdr:txBody>
        </xdr:sp>
      </mc:Fallback>
    </mc:AlternateContent>
    <xdr:clientData/>
  </xdr:oneCellAnchor>
  <xdr:twoCellAnchor>
    <xdr:from>
      <xdr:col>2</xdr:col>
      <xdr:colOff>2146300</xdr:colOff>
      <xdr:row>6</xdr:row>
      <xdr:rowOff>88900</xdr:rowOff>
    </xdr:from>
    <xdr:to>
      <xdr:col>4</xdr:col>
      <xdr:colOff>431800</xdr:colOff>
      <xdr:row>8</xdr:row>
      <xdr:rowOff>114300</xdr:rowOff>
    </xdr:to>
    <xdr:sp macro="" textlink="">
      <xdr:nvSpPr>
        <xdr:cNvPr id="3" name="Right Brace 2">
          <a:extLst>
            <a:ext uri="{FF2B5EF4-FFF2-40B4-BE49-F238E27FC236}">
              <a16:creationId xmlns:a16="http://schemas.microsoft.com/office/drawing/2014/main" id="{01F51DD8-0B67-264B-9C3E-3B4142E73AAA}"/>
            </a:ext>
          </a:extLst>
        </xdr:cNvPr>
        <xdr:cNvSpPr/>
      </xdr:nvSpPr>
      <xdr:spPr>
        <a:xfrm rot="5400000">
          <a:off x="6788150" y="247650"/>
          <a:ext cx="431800" cy="2197100"/>
        </a:xfrm>
        <a:prstGeom prst="rightBrace">
          <a:avLst/>
        </a:prstGeom>
        <a:ln>
          <a:solidFill>
            <a:srgbClr val="00B05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3</xdr:col>
      <xdr:colOff>203200</xdr:colOff>
      <xdr:row>20</xdr:row>
      <xdr:rowOff>0</xdr:rowOff>
    </xdr:from>
    <xdr:ext cx="635000" cy="21909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1084496-1E6C-8A45-A39A-2F601130FE28}"/>
            </a:ext>
          </a:extLst>
        </xdr:cNvPr>
        <xdr:cNvSpPr txBox="1"/>
      </xdr:nvSpPr>
      <xdr:spPr>
        <a:xfrm>
          <a:off x="7480300" y="3886200"/>
          <a:ext cx="635000" cy="2190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en-US" sz="1400"/>
        </a:p>
      </xdr:txBody>
    </xdr:sp>
    <xdr:clientData/>
  </xdr:oneCellAnchor>
  <xdr:twoCellAnchor>
    <xdr:from>
      <xdr:col>0</xdr:col>
      <xdr:colOff>6350</xdr:colOff>
      <xdr:row>21</xdr:row>
      <xdr:rowOff>90714</xdr:rowOff>
    </xdr:from>
    <xdr:to>
      <xdr:col>3</xdr:col>
      <xdr:colOff>1481667</xdr:colOff>
      <xdr:row>44</xdr:row>
      <xdr:rowOff>88900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A7ECE9F-7B3E-6A4A-8E8E-91CA32401D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146696</xdr:colOff>
      <xdr:row>13</xdr:row>
      <xdr:rowOff>77190</xdr:rowOff>
    </xdr:from>
    <xdr:to>
      <xdr:col>1</xdr:col>
      <xdr:colOff>147056</xdr:colOff>
      <xdr:row>13</xdr:row>
      <xdr:rowOff>81150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8" name="Ink 7">
              <a:extLst>
                <a:ext uri="{FF2B5EF4-FFF2-40B4-BE49-F238E27FC236}">
                  <a16:creationId xmlns:a16="http://schemas.microsoft.com/office/drawing/2014/main" id="{3102C17E-00AE-AF45-A03C-98ED9759458B}"/>
                </a:ext>
              </a:extLst>
            </xdr14:cNvPr>
            <xdr14:cNvContentPartPr/>
          </xdr14:nvContentPartPr>
          <xdr14:nvPr macro=""/>
          <xdr14:xfrm>
            <a:off x="2943720" y="2466000"/>
            <a:ext cx="360" cy="3960"/>
          </xdr14:xfrm>
        </xdr:contentPart>
      </mc:Choice>
      <mc:Fallback xmlns="">
        <xdr:pic>
          <xdr:nvPicPr>
            <xdr:cNvPr id="8" name="Ink 7">
              <a:extLst>
                <a:ext uri="{FF2B5EF4-FFF2-40B4-BE49-F238E27FC236}">
                  <a16:creationId xmlns:a16="http://schemas.microsoft.com/office/drawing/2014/main" id="{3102C17E-00AE-AF45-A03C-98ED9759458B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934720" y="2457360"/>
              <a:ext cx="18000" cy="216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0-01-17T17:55:54.90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0 24575,'0'0'0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0-01-17T17:55:56.97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24575,'0'0'0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0-01-17T17:55:59.78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0 24575,'6'6'0,"-1"-2"0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0-01-17T17:51:49.28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11 24575,'0'-6'0,"0"2"0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1"/>
  <sheetViews>
    <sheetView zoomScale="64" workbookViewId="0">
      <selection activeCell="G52" sqref="G52"/>
    </sheetView>
  </sheetViews>
  <sheetFormatPr defaultColWidth="10.6640625" defaultRowHeight="15.5"/>
  <cols>
    <col min="1" max="1" width="21.1640625" customWidth="1"/>
    <col min="2" max="2" width="25.6640625" bestFit="1" customWidth="1"/>
    <col min="3" max="3" width="35.5" customWidth="1"/>
    <col min="4" max="4" width="33.5" bestFit="1" customWidth="1"/>
    <col min="5" max="5" width="27" bestFit="1" customWidth="1"/>
    <col min="6" max="6" width="25.6640625" bestFit="1" customWidth="1"/>
    <col min="7" max="7" width="40" bestFit="1" customWidth="1"/>
    <col min="8" max="8" width="23" bestFit="1" customWidth="1"/>
    <col min="9" max="9" width="13.33203125" bestFit="1" customWidth="1"/>
    <col min="10" max="10" width="17.33203125" bestFit="1" customWidth="1"/>
    <col min="11" max="12" width="13.1640625" bestFit="1" customWidth="1"/>
    <col min="13" max="13" width="14.1640625" bestFit="1" customWidth="1"/>
    <col min="14" max="14" width="16.33203125" bestFit="1" customWidth="1"/>
    <col min="15" max="15" width="10.33203125" customWidth="1"/>
    <col min="16" max="16" width="14.5" bestFit="1" customWidth="1"/>
    <col min="17" max="17" width="15.5" bestFit="1" customWidth="1"/>
    <col min="18" max="18" width="11.1640625" bestFit="1" customWidth="1"/>
    <col min="19" max="19" width="49.33203125" bestFit="1" customWidth="1"/>
    <col min="20" max="20" width="7" bestFit="1" customWidth="1"/>
    <col min="21" max="21" width="19.1640625" bestFit="1" customWidth="1"/>
    <col min="22" max="22" width="26.1640625" bestFit="1" customWidth="1"/>
    <col min="25" max="25" width="27.83203125" bestFit="1" customWidth="1"/>
    <col min="26" max="26" width="15.83203125" bestFit="1" customWidth="1"/>
    <col min="27" max="27" width="13.83203125" bestFit="1" customWidth="1"/>
    <col min="28" max="28" width="16.6640625" bestFit="1" customWidth="1"/>
  </cols>
  <sheetData>
    <row r="1" spans="1:28" ht="25">
      <c r="A1" s="283" t="s">
        <v>163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5"/>
    </row>
    <row r="2" spans="1:28">
      <c r="A2" s="272" t="s">
        <v>144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4"/>
    </row>
    <row r="3" spans="1:28">
      <c r="A3" s="1" t="s">
        <v>0</v>
      </c>
      <c r="B3" s="5" t="s">
        <v>1</v>
      </c>
      <c r="C3" s="5" t="s">
        <v>2</v>
      </c>
      <c r="D3" s="4" t="s">
        <v>3</v>
      </c>
      <c r="E3" s="5" t="s">
        <v>4</v>
      </c>
      <c r="F3" s="5" t="s">
        <v>5</v>
      </c>
      <c r="G3" s="5" t="s">
        <v>6</v>
      </c>
      <c r="H3" s="6" t="s">
        <v>7</v>
      </c>
      <c r="I3" s="1" t="s">
        <v>8</v>
      </c>
      <c r="J3" s="1" t="s">
        <v>9</v>
      </c>
      <c r="K3" s="1" t="s">
        <v>10</v>
      </c>
      <c r="L3" s="6" t="s">
        <v>11</v>
      </c>
      <c r="M3" s="7" t="s">
        <v>12</v>
      </c>
      <c r="N3" s="1" t="s">
        <v>13</v>
      </c>
      <c r="O3" s="6" t="s">
        <v>14</v>
      </c>
      <c r="P3" s="6" t="s">
        <v>15</v>
      </c>
      <c r="Q3" s="7" t="s">
        <v>16</v>
      </c>
      <c r="R3" s="1" t="s">
        <v>17</v>
      </c>
      <c r="S3" s="1" t="s">
        <v>18</v>
      </c>
      <c r="T3" s="1" t="s">
        <v>19</v>
      </c>
      <c r="U3" s="1" t="s">
        <v>20</v>
      </c>
      <c r="V3" s="8" t="s">
        <v>21</v>
      </c>
      <c r="W3" s="1" t="s">
        <v>22</v>
      </c>
      <c r="X3" s="40" t="s">
        <v>23</v>
      </c>
      <c r="Y3" s="1" t="s">
        <v>24</v>
      </c>
      <c r="Z3" s="9" t="s">
        <v>25</v>
      </c>
      <c r="AA3" s="1" t="s">
        <v>26</v>
      </c>
      <c r="AB3" s="10" t="s">
        <v>27</v>
      </c>
    </row>
    <row r="4" spans="1:28" ht="18" customHeight="1">
      <c r="A4" s="262" t="s">
        <v>198</v>
      </c>
      <c r="B4" s="99">
        <v>11</v>
      </c>
      <c r="C4" s="12"/>
      <c r="D4" s="100" t="s">
        <v>132</v>
      </c>
      <c r="E4" s="101" t="s">
        <v>76</v>
      </c>
      <c r="F4" s="119" t="s">
        <v>59</v>
      </c>
      <c r="G4" s="12"/>
      <c r="H4" s="102">
        <v>194.19</v>
      </c>
      <c r="I4" s="102"/>
      <c r="J4" s="102">
        <f>O4/O4</f>
        <v>1</v>
      </c>
      <c r="K4" s="102"/>
      <c r="L4" s="123">
        <v>1.94</v>
      </c>
      <c r="M4" s="124">
        <f>L4/1000</f>
        <v>1.9399999999999999E-3</v>
      </c>
      <c r="N4" s="122"/>
      <c r="O4" s="123">
        <f t="shared" ref="O4" si="0">L4/H4</f>
        <v>9.9902157680622078E-3</v>
      </c>
      <c r="P4" s="102"/>
      <c r="Q4" s="102"/>
      <c r="R4" s="102"/>
      <c r="S4" s="102"/>
      <c r="T4" s="12"/>
      <c r="U4" s="12"/>
      <c r="V4" s="12"/>
      <c r="W4" s="12"/>
      <c r="X4" s="275">
        <f>R13/O4</f>
        <v>0.34996589715437304</v>
      </c>
      <c r="Y4" s="103">
        <f>'Advanced Starting Material'!Y87</f>
        <v>0.67709493259242015</v>
      </c>
      <c r="Z4" s="278">
        <v>25</v>
      </c>
      <c r="AA4" s="278">
        <v>1</v>
      </c>
      <c r="AB4" s="278">
        <v>36</v>
      </c>
    </row>
    <row r="5" spans="1:28" ht="17.5">
      <c r="A5" s="263"/>
      <c r="B5" s="51">
        <v>10</v>
      </c>
      <c r="C5" s="44"/>
      <c r="D5" s="152" t="s">
        <v>78</v>
      </c>
      <c r="E5" s="44" t="s">
        <v>79</v>
      </c>
      <c r="F5" s="37" t="s">
        <v>34</v>
      </c>
      <c r="G5" s="44"/>
      <c r="H5" s="53">
        <v>68.069999999999993</v>
      </c>
      <c r="I5" s="53">
        <v>0.93600000000000005</v>
      </c>
      <c r="J5" s="53">
        <f>O5/O4</f>
        <v>4.9997501056371627</v>
      </c>
      <c r="K5" s="53" t="s">
        <v>80</v>
      </c>
      <c r="L5" s="210">
        <v>3.4</v>
      </c>
      <c r="M5" s="211">
        <f t="shared" ref="M5:M11" si="1">L5/1000</f>
        <v>3.3999999999999998E-3</v>
      </c>
      <c r="N5" s="212">
        <f>L5/I5</f>
        <v>3.632478632478632</v>
      </c>
      <c r="O5" s="210">
        <f>L5/H5</f>
        <v>4.9948582341707071E-2</v>
      </c>
      <c r="P5" s="53"/>
      <c r="Q5" s="53"/>
      <c r="R5" s="53"/>
      <c r="S5" s="53">
        <f>61.2</f>
        <v>61.2</v>
      </c>
      <c r="T5" s="44" t="s">
        <v>81</v>
      </c>
      <c r="U5" s="53">
        <f>S5/((I5*500)/H5)</f>
        <v>8.9014615384615379</v>
      </c>
      <c r="V5" s="94" t="s">
        <v>82</v>
      </c>
      <c r="W5" s="44" t="s">
        <v>83</v>
      </c>
      <c r="X5" s="276"/>
      <c r="Y5" s="22">
        <f>U5*O5</f>
        <v>0.44461538461538463</v>
      </c>
      <c r="Z5" s="279"/>
      <c r="AA5" s="279"/>
      <c r="AB5" s="279"/>
    </row>
    <row r="6" spans="1:28" ht="18" thickBot="1">
      <c r="A6" s="264"/>
      <c r="B6" s="105"/>
      <c r="C6" s="106"/>
      <c r="D6" s="44" t="s">
        <v>91</v>
      </c>
      <c r="E6" s="44" t="s">
        <v>84</v>
      </c>
      <c r="F6" s="121" t="s">
        <v>47</v>
      </c>
      <c r="G6" s="106"/>
      <c r="H6" s="107">
        <v>88.15</v>
      </c>
      <c r="I6" s="107">
        <v>0.74</v>
      </c>
      <c r="J6" s="107">
        <f>O6/O4</f>
        <v>16.806006631152382</v>
      </c>
      <c r="K6" s="107">
        <v>0.998</v>
      </c>
      <c r="L6" s="107">
        <v>14.8</v>
      </c>
      <c r="M6" s="127">
        <f t="shared" si="1"/>
        <v>1.4800000000000001E-2</v>
      </c>
      <c r="N6" s="107">
        <f>L6/I6</f>
        <v>20</v>
      </c>
      <c r="O6" s="107">
        <f>L6/H6</f>
        <v>0.16789563244469655</v>
      </c>
      <c r="P6" s="107"/>
      <c r="Q6" s="107"/>
      <c r="R6" s="107"/>
      <c r="S6" s="107">
        <v>4100</v>
      </c>
      <c r="T6" s="106" t="s">
        <v>61</v>
      </c>
      <c r="U6" s="107">
        <f>S6/((I6*200000)/H6)</f>
        <v>2.4419932432432434</v>
      </c>
      <c r="V6" s="219" t="s">
        <v>141</v>
      </c>
      <c r="W6" s="106" t="s">
        <v>85</v>
      </c>
      <c r="X6" s="276"/>
      <c r="Y6" s="142">
        <f t="shared" ref="Y6" si="2">U6*O6</f>
        <v>0.41000000000000003</v>
      </c>
      <c r="Z6" s="280"/>
      <c r="AA6" s="280"/>
      <c r="AB6" s="280"/>
    </row>
    <row r="7" spans="1:28" s="133" customFormat="1" ht="16" customHeight="1">
      <c r="A7" s="281" t="s">
        <v>199</v>
      </c>
      <c r="B7" s="128"/>
      <c r="C7" s="128"/>
      <c r="D7" s="135" t="s">
        <v>104</v>
      </c>
      <c r="E7" s="136" t="s">
        <v>105</v>
      </c>
      <c r="F7" s="137" t="s">
        <v>92</v>
      </c>
      <c r="G7" s="128"/>
      <c r="H7" s="128">
        <v>106.42</v>
      </c>
      <c r="I7" s="129"/>
      <c r="J7" s="129">
        <f t="shared" ref="J7:J9" si="3">O7/O$4</f>
        <v>1.9940577792330327E-2</v>
      </c>
      <c r="K7" s="129" t="s">
        <v>93</v>
      </c>
      <c r="L7" s="129">
        <v>2.12E-2</v>
      </c>
      <c r="M7" s="131">
        <f t="shared" si="1"/>
        <v>2.12E-5</v>
      </c>
      <c r="N7" s="129"/>
      <c r="O7" s="130">
        <f>L7/H7</f>
        <v>1.9921067468520954E-4</v>
      </c>
      <c r="P7" s="129"/>
      <c r="Q7" s="129"/>
      <c r="R7" s="129"/>
      <c r="S7" s="129">
        <v>2</v>
      </c>
      <c r="T7" s="128" t="s">
        <v>139</v>
      </c>
      <c r="U7" s="129">
        <f>S7/(2/H7)</f>
        <v>106.42</v>
      </c>
      <c r="V7" s="220" t="s">
        <v>69</v>
      </c>
      <c r="W7" s="134" t="s">
        <v>69</v>
      </c>
      <c r="X7" s="276"/>
      <c r="Y7" s="132">
        <f>U7*O7</f>
        <v>2.12E-2</v>
      </c>
      <c r="Z7" s="265">
        <v>25</v>
      </c>
      <c r="AA7" s="265">
        <v>1</v>
      </c>
      <c r="AB7" s="266">
        <v>36</v>
      </c>
    </row>
    <row r="8" spans="1:28" ht="18" thickBot="1">
      <c r="A8" s="282"/>
      <c r="B8" s="105"/>
      <c r="C8" s="106"/>
      <c r="D8" s="106" t="s">
        <v>94</v>
      </c>
      <c r="E8" s="106" t="s">
        <v>95</v>
      </c>
      <c r="F8" s="139" t="s">
        <v>34</v>
      </c>
      <c r="G8" s="106"/>
      <c r="H8" s="107">
        <f>1.008*2</f>
        <v>2.016</v>
      </c>
      <c r="I8" s="107">
        <v>8.1299999999999997E-5</v>
      </c>
      <c r="J8" s="107">
        <f>O8/O$4</f>
        <v>0.99</v>
      </c>
      <c r="K8" s="107" t="s">
        <v>97</v>
      </c>
      <c r="L8" s="107">
        <f>381.7*I8</f>
        <v>3.1032209999999998E-2</v>
      </c>
      <c r="M8" s="108">
        <f t="shared" si="1"/>
        <v>3.1032209999999998E-5</v>
      </c>
      <c r="N8" s="107">
        <f>L8/I8</f>
        <v>381.7</v>
      </c>
      <c r="O8" s="109">
        <f>O4*0.99</f>
        <v>9.8903136103815851E-3</v>
      </c>
      <c r="P8" s="140"/>
      <c r="Q8" s="107"/>
      <c r="R8" s="107"/>
      <c r="S8" s="107">
        <f>243</f>
        <v>243</v>
      </c>
      <c r="T8" s="106" t="s">
        <v>99</v>
      </c>
      <c r="U8" s="107">
        <f>S8/((I8*56000)/H8)</f>
        <v>107.60147601476017</v>
      </c>
      <c r="V8" s="141" t="s">
        <v>98</v>
      </c>
      <c r="W8" s="106" t="s">
        <v>96</v>
      </c>
      <c r="X8" s="276"/>
      <c r="Y8" s="142">
        <f>U8*O8</f>
        <v>1.0642123427259302</v>
      </c>
      <c r="Z8" s="265"/>
      <c r="AA8" s="265"/>
      <c r="AB8" s="266"/>
    </row>
    <row r="9" spans="1:28" s="148" customFormat="1">
      <c r="A9" s="262" t="s">
        <v>200</v>
      </c>
      <c r="B9" s="144"/>
      <c r="C9" s="144"/>
      <c r="D9" s="138" t="s">
        <v>106</v>
      </c>
      <c r="E9" s="149" t="s">
        <v>107</v>
      </c>
      <c r="F9" s="137" t="s">
        <v>101</v>
      </c>
      <c r="G9" s="144"/>
      <c r="H9" s="147">
        <v>238.202</v>
      </c>
      <c r="I9" s="144"/>
      <c r="J9" s="145">
        <f t="shared" si="3"/>
        <v>8.1523244976952333E-2</v>
      </c>
      <c r="K9" s="144" t="s">
        <v>108</v>
      </c>
      <c r="L9" s="145">
        <v>0.19400000000000001</v>
      </c>
      <c r="M9" s="146">
        <f t="shared" si="1"/>
        <v>1.94E-4</v>
      </c>
      <c r="N9" s="145"/>
      <c r="O9" s="147">
        <f>L9/H9</f>
        <v>8.1443480743234738E-4</v>
      </c>
      <c r="P9" s="144"/>
      <c r="Q9" s="144"/>
      <c r="R9" s="144"/>
      <c r="S9" s="145">
        <v>202</v>
      </c>
      <c r="T9" s="144" t="s">
        <v>102</v>
      </c>
      <c r="U9" s="145">
        <f>S9/(500/H9)</f>
        <v>96.233608000000004</v>
      </c>
      <c r="V9" s="144" t="s">
        <v>103</v>
      </c>
      <c r="W9" s="144" t="s">
        <v>100</v>
      </c>
      <c r="X9" s="276"/>
      <c r="Y9" s="153">
        <f t="shared" ref="Y9:Y11" si="4">U9*O9</f>
        <v>7.8376000000000001E-2</v>
      </c>
      <c r="Z9" s="267">
        <v>25</v>
      </c>
      <c r="AA9" s="269">
        <v>1</v>
      </c>
      <c r="AB9" s="267">
        <v>72</v>
      </c>
    </row>
    <row r="10" spans="1:28" ht="17.5">
      <c r="A10" s="263"/>
      <c r="B10" s="17"/>
      <c r="C10" s="17"/>
      <c r="D10" s="54" t="s">
        <v>134</v>
      </c>
      <c r="E10" s="17" t="s">
        <v>109</v>
      </c>
      <c r="F10" s="37" t="s">
        <v>34</v>
      </c>
      <c r="G10" s="17"/>
      <c r="H10" s="17">
        <v>130.13999999999999</v>
      </c>
      <c r="I10" s="21">
        <v>1.0149999999999999</v>
      </c>
      <c r="J10" s="21">
        <f>O10/O$4</f>
        <v>0.9999025632982087</v>
      </c>
      <c r="K10" s="151">
        <v>0.99</v>
      </c>
      <c r="L10" s="21">
        <v>1.3</v>
      </c>
      <c r="M10" s="74">
        <f t="shared" si="1"/>
        <v>1.2999999999999999E-3</v>
      </c>
      <c r="N10" s="21">
        <f>L10/I10</f>
        <v>1.2807881773399017</v>
      </c>
      <c r="O10" s="21">
        <f>L10/H10</f>
        <v>9.9892423543875841E-3</v>
      </c>
      <c r="P10" s="17"/>
      <c r="Q10" s="17"/>
      <c r="R10" s="17"/>
      <c r="S10" s="21">
        <f>60.4</f>
        <v>60.4</v>
      </c>
      <c r="T10" s="17" t="s">
        <v>143</v>
      </c>
      <c r="U10" s="21">
        <f>S10/((I10*1000)/H10)</f>
        <v>7.7442916256157641</v>
      </c>
      <c r="V10" s="54">
        <v>8006801000</v>
      </c>
      <c r="W10" s="17" t="s">
        <v>110</v>
      </c>
      <c r="X10" s="276"/>
      <c r="Y10" s="53">
        <f t="shared" si="4"/>
        <v>7.7359605911330065E-2</v>
      </c>
      <c r="Z10" s="265"/>
      <c r="AA10" s="270"/>
      <c r="AB10" s="265"/>
    </row>
    <row r="11" spans="1:28" ht="17.5">
      <c r="A11" s="263"/>
      <c r="B11" s="17"/>
      <c r="C11" s="17"/>
      <c r="D11" s="17" t="s">
        <v>131</v>
      </c>
      <c r="E11" s="17" t="s">
        <v>86</v>
      </c>
      <c r="F11" s="120" t="s">
        <v>114</v>
      </c>
      <c r="G11" s="17"/>
      <c r="H11" s="21">
        <v>84.16</v>
      </c>
      <c r="I11" s="21">
        <v>0.77900000000000003</v>
      </c>
      <c r="J11" s="21">
        <f t="shared" ref="J11:J12" si="5">O11/O$4</f>
        <v>17.989999999999998</v>
      </c>
      <c r="K11" s="17"/>
      <c r="L11" s="21">
        <v>15.125570297131675</v>
      </c>
      <c r="M11" s="21">
        <f t="shared" si="1"/>
        <v>1.5125570297131675E-2</v>
      </c>
      <c r="N11" s="21">
        <f>L11/I11</f>
        <v>19.416649932133087</v>
      </c>
      <c r="O11" s="21">
        <f>L11/H11</f>
        <v>0.17972398166743911</v>
      </c>
      <c r="P11" s="17"/>
      <c r="Q11" s="17"/>
      <c r="R11" s="17"/>
      <c r="S11" s="21">
        <v>4120</v>
      </c>
      <c r="T11" s="17" t="s">
        <v>61</v>
      </c>
      <c r="U11" s="21">
        <f>S11/((I11*200000)/H11)</f>
        <v>2.225540436456996</v>
      </c>
      <c r="V11" s="54" t="s">
        <v>142</v>
      </c>
      <c r="W11" s="17" t="s">
        <v>87</v>
      </c>
      <c r="X11" s="276"/>
      <c r="Y11" s="22">
        <f t="shared" si="4"/>
        <v>0.39998298860194159</v>
      </c>
      <c r="Z11" s="265"/>
      <c r="AA11" s="270"/>
      <c r="AB11" s="265"/>
    </row>
    <row r="12" spans="1:28" ht="17.5">
      <c r="A12" s="263"/>
      <c r="B12" s="17"/>
      <c r="C12" s="17"/>
      <c r="D12" s="17" t="s">
        <v>41</v>
      </c>
      <c r="E12" s="17" t="s">
        <v>42</v>
      </c>
      <c r="F12" s="120" t="s">
        <v>114</v>
      </c>
      <c r="G12" s="17"/>
      <c r="H12" s="21">
        <v>88.11</v>
      </c>
      <c r="I12" s="21">
        <v>0.90200000000000002</v>
      </c>
      <c r="J12" s="21">
        <f t="shared" si="5"/>
        <v>11.76</v>
      </c>
      <c r="K12" s="17"/>
      <c r="L12" s="21">
        <v>10.351597837169782</v>
      </c>
      <c r="M12" s="21">
        <f>L12/1000</f>
        <v>1.0351597837169782E-2</v>
      </c>
      <c r="N12" s="21">
        <f>L12/I12</f>
        <v>11.476272546751421</v>
      </c>
      <c r="O12" s="21">
        <f>L12/H12</f>
        <v>0.11748493743241156</v>
      </c>
      <c r="P12" s="17"/>
      <c r="Q12" s="17"/>
      <c r="R12" s="17"/>
      <c r="S12" s="21">
        <v>3650</v>
      </c>
      <c r="T12" s="17" t="s">
        <v>61</v>
      </c>
      <c r="U12" s="21">
        <f>S12/((I12*200000)/H12)</f>
        <v>1.7827134146341463</v>
      </c>
      <c r="V12" s="54" t="s">
        <v>115</v>
      </c>
      <c r="W12" s="17" t="s">
        <v>43</v>
      </c>
      <c r="X12" s="276"/>
      <c r="Y12" s="22">
        <f>U12*O12</f>
        <v>0.20944197397821346</v>
      </c>
      <c r="Z12" s="265"/>
      <c r="AA12" s="270"/>
      <c r="AB12" s="265"/>
    </row>
    <row r="13" spans="1:28" ht="17.5">
      <c r="A13" s="264"/>
      <c r="B13" s="97"/>
      <c r="C13" s="254" t="s">
        <v>206</v>
      </c>
      <c r="D13" s="97" t="s">
        <v>111</v>
      </c>
      <c r="E13" s="96" t="s">
        <v>112</v>
      </c>
      <c r="F13" s="11" t="s">
        <v>116</v>
      </c>
      <c r="G13" s="96" t="s">
        <v>113</v>
      </c>
      <c r="H13" s="71">
        <v>130.13999999999999</v>
      </c>
      <c r="I13" s="97"/>
      <c r="J13" s="97"/>
      <c r="K13" s="97"/>
      <c r="L13" s="97"/>
      <c r="M13" s="97"/>
      <c r="N13" s="97"/>
      <c r="O13" s="97"/>
      <c r="P13" s="240">
        <v>0.45500000000000002</v>
      </c>
      <c r="Q13" s="241">
        <f>P13/1000</f>
        <v>4.55E-4</v>
      </c>
      <c r="R13" s="240">
        <f>P13/H13</f>
        <v>3.4962348240356544E-3</v>
      </c>
      <c r="S13" s="97"/>
      <c r="T13" s="97"/>
      <c r="U13" s="97"/>
      <c r="V13" s="97"/>
      <c r="W13" s="97"/>
      <c r="X13" s="277"/>
      <c r="Y13" s="154"/>
      <c r="Z13" s="268"/>
      <c r="AA13" s="271"/>
      <c r="AB13" s="268"/>
    </row>
    <row r="14" spans="1:28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</row>
    <row r="15" spans="1:28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</row>
    <row r="16" spans="1:28">
      <c r="A16" s="272" t="s">
        <v>145</v>
      </c>
      <c r="B16" s="273"/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  <c r="R16" s="273"/>
      <c r="S16" s="273"/>
      <c r="T16" s="273"/>
      <c r="U16" s="273"/>
      <c r="V16" s="273"/>
      <c r="W16" s="273"/>
      <c r="X16" s="273"/>
      <c r="Y16" s="273"/>
      <c r="Z16" s="273"/>
      <c r="AA16" s="273"/>
      <c r="AB16" s="274"/>
    </row>
    <row r="17" spans="1:28">
      <c r="A17" s="1" t="s">
        <v>0</v>
      </c>
      <c r="B17" s="5" t="s">
        <v>1</v>
      </c>
      <c r="C17" s="5" t="s">
        <v>2</v>
      </c>
      <c r="D17" s="4" t="s">
        <v>3</v>
      </c>
      <c r="E17" s="5" t="s">
        <v>4</v>
      </c>
      <c r="F17" s="5" t="s">
        <v>5</v>
      </c>
      <c r="G17" s="5" t="s">
        <v>6</v>
      </c>
      <c r="H17" s="6" t="s">
        <v>7</v>
      </c>
      <c r="I17" s="1" t="s">
        <v>8</v>
      </c>
      <c r="J17" s="1" t="s">
        <v>9</v>
      </c>
      <c r="K17" s="1" t="s">
        <v>10</v>
      </c>
      <c r="L17" s="6" t="s">
        <v>11</v>
      </c>
      <c r="M17" s="7" t="s">
        <v>12</v>
      </c>
      <c r="N17" s="1" t="s">
        <v>13</v>
      </c>
      <c r="O17" s="6" t="s">
        <v>14</v>
      </c>
      <c r="P17" s="6" t="s">
        <v>15</v>
      </c>
      <c r="Q17" s="7" t="s">
        <v>16</v>
      </c>
      <c r="R17" s="1" t="s">
        <v>17</v>
      </c>
      <c r="S17" s="1" t="s">
        <v>18</v>
      </c>
      <c r="T17" s="1" t="s">
        <v>19</v>
      </c>
      <c r="U17" s="1" t="s">
        <v>20</v>
      </c>
      <c r="V17" s="8" t="s">
        <v>21</v>
      </c>
      <c r="W17" s="1" t="s">
        <v>22</v>
      </c>
      <c r="X17" s="40" t="s">
        <v>23</v>
      </c>
      <c r="Y17" s="1" t="s">
        <v>24</v>
      </c>
      <c r="Z17" s="9" t="s">
        <v>25</v>
      </c>
      <c r="AA17" s="1" t="s">
        <v>26</v>
      </c>
      <c r="AB17" s="10" t="s">
        <v>27</v>
      </c>
    </row>
    <row r="18" spans="1:28" ht="17.5">
      <c r="A18" s="262" t="s">
        <v>198</v>
      </c>
      <c r="B18" s="99">
        <v>11</v>
      </c>
      <c r="C18" s="12"/>
      <c r="D18" s="100" t="s">
        <v>132</v>
      </c>
      <c r="E18" s="101" t="s">
        <v>76</v>
      </c>
      <c r="F18" s="119" t="s">
        <v>59</v>
      </c>
      <c r="G18" s="12"/>
      <c r="H18" s="102">
        <v>194.19</v>
      </c>
      <c r="I18" s="102"/>
      <c r="J18" s="102">
        <f>O18/O18</f>
        <v>1</v>
      </c>
      <c r="K18" s="102"/>
      <c r="L18" s="123">
        <f t="shared" ref="L18:L26" si="6">O18*H18</f>
        <v>4263.3208193374176</v>
      </c>
      <c r="M18" s="155">
        <f>L18/1000</f>
        <v>4.2633208193374177</v>
      </c>
      <c r="N18" s="122"/>
      <c r="O18" s="123">
        <v>21.954378800851835</v>
      </c>
      <c r="P18" s="102"/>
      <c r="Q18" s="102"/>
      <c r="R18" s="102"/>
      <c r="S18" s="102"/>
      <c r="T18" s="12"/>
      <c r="U18" s="12"/>
      <c r="V18" s="12"/>
      <c r="W18" s="12"/>
      <c r="X18" s="275">
        <f>R27/O18</f>
        <v>0.35</v>
      </c>
      <c r="Y18" s="103">
        <f>'Advanced Starting Material'!Y72</f>
        <v>1446.9714697071381</v>
      </c>
      <c r="Z18" s="278">
        <v>25</v>
      </c>
      <c r="AA18" s="278">
        <v>1</v>
      </c>
      <c r="AB18" s="278">
        <v>36</v>
      </c>
    </row>
    <row r="19" spans="1:28" ht="19" customHeight="1">
      <c r="A19" s="263"/>
      <c r="B19" s="51">
        <v>10</v>
      </c>
      <c r="C19" s="44"/>
      <c r="D19" s="152" t="s">
        <v>78</v>
      </c>
      <c r="E19" s="44" t="s">
        <v>79</v>
      </c>
      <c r="F19" s="37" t="s">
        <v>34</v>
      </c>
      <c r="G19" s="44"/>
      <c r="H19" s="53">
        <v>68.069999999999993</v>
      </c>
      <c r="I19" s="53">
        <v>0.93600000000000005</v>
      </c>
      <c r="J19" s="53">
        <f>O19/O18</f>
        <v>4.9997501056371627</v>
      </c>
      <c r="K19" s="53" t="s">
        <v>80</v>
      </c>
      <c r="L19" s="210">
        <f t="shared" si="6"/>
        <v>7471.7993740965048</v>
      </c>
      <c r="M19" s="210">
        <f t="shared" ref="M19:M24" si="7">L19/1000</f>
        <v>7.4717993740965047</v>
      </c>
      <c r="N19" s="212">
        <f>L19/I19</f>
        <v>7982.6916389919916</v>
      </c>
      <c r="O19" s="210">
        <f>O18*J5</f>
        <v>109.76640772875724</v>
      </c>
      <c r="P19" s="212"/>
      <c r="Q19" s="53"/>
      <c r="R19" s="53"/>
      <c r="S19" s="53">
        <f>61.2</f>
        <v>61.2</v>
      </c>
      <c r="T19" s="44" t="s">
        <v>81</v>
      </c>
      <c r="U19" s="53">
        <f>S19/((I19*500)/H19)</f>
        <v>8.9014615384615379</v>
      </c>
      <c r="V19" s="94" t="s">
        <v>82</v>
      </c>
      <c r="W19" s="44" t="s">
        <v>83</v>
      </c>
      <c r="X19" s="276"/>
      <c r="Y19" s="22">
        <f>U19*O19</f>
        <v>977.08145661261995</v>
      </c>
      <c r="Z19" s="279"/>
      <c r="AA19" s="279"/>
      <c r="AB19" s="279"/>
    </row>
    <row r="20" spans="1:28" s="114" customFormat="1" ht="18" thickBot="1">
      <c r="A20" s="264"/>
      <c r="B20" s="105"/>
      <c r="C20" s="106"/>
      <c r="D20" s="152" t="s">
        <v>91</v>
      </c>
      <c r="E20" s="152" t="s">
        <v>84</v>
      </c>
      <c r="F20" s="249" t="s">
        <v>47</v>
      </c>
      <c r="G20" s="141"/>
      <c r="H20" s="250">
        <v>88.15</v>
      </c>
      <c r="I20" s="250">
        <v>0.74</v>
      </c>
      <c r="J20" s="250">
        <f>O20/O18</f>
        <v>16.806006631152382</v>
      </c>
      <c r="K20" s="250">
        <v>0.998</v>
      </c>
      <c r="L20" s="250">
        <f t="shared" si="6"/>
        <v>32524.303157831848</v>
      </c>
      <c r="M20" s="250">
        <f t="shared" si="7"/>
        <v>32.524303157831845</v>
      </c>
      <c r="N20" s="250">
        <f>L20/I20</f>
        <v>43951.76102409709</v>
      </c>
      <c r="O20" s="250">
        <f>O18*J6</f>
        <v>368.9654357099472</v>
      </c>
      <c r="P20" s="250"/>
      <c r="Q20" s="250"/>
      <c r="R20" s="250"/>
      <c r="S20" s="250">
        <f>4100</f>
        <v>4100</v>
      </c>
      <c r="T20" s="141" t="s">
        <v>61</v>
      </c>
      <c r="U20" s="250">
        <f>S20/((I20*200000)/H20)</f>
        <v>2.4419932432432434</v>
      </c>
      <c r="V20" s="251" t="s">
        <v>141</v>
      </c>
      <c r="W20" s="141" t="s">
        <v>85</v>
      </c>
      <c r="X20" s="276"/>
      <c r="Y20" s="252">
        <f t="shared" ref="Y20" si="8">U20*O20</f>
        <v>901.01110099399034</v>
      </c>
      <c r="Z20" s="280"/>
      <c r="AA20" s="280"/>
      <c r="AB20" s="280"/>
    </row>
    <row r="21" spans="1:28">
      <c r="A21" s="281" t="s">
        <v>199</v>
      </c>
      <c r="B21" s="128"/>
      <c r="C21" s="128"/>
      <c r="D21" s="135" t="s">
        <v>104</v>
      </c>
      <c r="E21" s="136" t="s">
        <v>105</v>
      </c>
      <c r="F21" s="137" t="s">
        <v>92</v>
      </c>
      <c r="G21" s="128"/>
      <c r="H21" s="128">
        <v>106.42</v>
      </c>
      <c r="I21" s="129"/>
      <c r="J21" s="129">
        <f t="shared" ref="J21:J26" si="9">O21/O$18</f>
        <v>1.9940577792330327E-2</v>
      </c>
      <c r="K21" s="129" t="s">
        <v>93</v>
      </c>
      <c r="L21" s="129">
        <f t="shared" si="6"/>
        <v>46.588866685542904</v>
      </c>
      <c r="M21" s="129">
        <f t="shared" si="7"/>
        <v>4.6588866685542907E-2</v>
      </c>
      <c r="N21" s="129"/>
      <c r="O21" s="130">
        <f>O18*J7</f>
        <v>0.4377829983606738</v>
      </c>
      <c r="P21" s="129"/>
      <c r="Q21" s="129"/>
      <c r="R21" s="129"/>
      <c r="S21" s="129">
        <v>2</v>
      </c>
      <c r="T21" s="128" t="s">
        <v>139</v>
      </c>
      <c r="U21" s="129">
        <f>S21/(2/H21)</f>
        <v>106.42</v>
      </c>
      <c r="V21" s="128" t="s">
        <v>69</v>
      </c>
      <c r="W21" s="134" t="s">
        <v>69</v>
      </c>
      <c r="X21" s="276"/>
      <c r="Y21" s="132">
        <f>U21*O21</f>
        <v>46.588866685542904</v>
      </c>
      <c r="Z21" s="265">
        <v>25</v>
      </c>
      <c r="AA21" s="265">
        <v>1</v>
      </c>
      <c r="AB21" s="266">
        <v>36</v>
      </c>
    </row>
    <row r="22" spans="1:28" ht="18" thickBot="1">
      <c r="A22" s="282"/>
      <c r="B22" s="105"/>
      <c r="C22" s="106"/>
      <c r="D22" s="106" t="s">
        <v>94</v>
      </c>
      <c r="E22" s="106" t="s">
        <v>95</v>
      </c>
      <c r="F22" s="139" t="s">
        <v>34</v>
      </c>
      <c r="G22" s="106"/>
      <c r="H22" s="107">
        <f>1.008*2</f>
        <v>2.016</v>
      </c>
      <c r="I22" s="107">
        <v>8.1299999999999997E-5</v>
      </c>
      <c r="J22" s="107">
        <f t="shared" si="9"/>
        <v>0.99</v>
      </c>
      <c r="K22" s="107" t="s">
        <v>97</v>
      </c>
      <c r="L22" s="107">
        <f t="shared" si="6"/>
        <v>43.817427385892124</v>
      </c>
      <c r="M22" s="107">
        <f t="shared" si="7"/>
        <v>4.3817427385892123E-2</v>
      </c>
      <c r="N22" s="107">
        <f>L22/I22</f>
        <v>538959.74644393753</v>
      </c>
      <c r="O22" s="109">
        <f>O18*J8</f>
        <v>21.734835012843316</v>
      </c>
      <c r="P22" s="140"/>
      <c r="Q22" s="107"/>
      <c r="R22" s="107"/>
      <c r="S22" s="107">
        <f>243</f>
        <v>243</v>
      </c>
      <c r="T22" s="106" t="s">
        <v>99</v>
      </c>
      <c r="U22" s="107">
        <f>S22/((I22*56000)/H22)</f>
        <v>107.60147601476017</v>
      </c>
      <c r="V22" s="141" t="s">
        <v>98</v>
      </c>
      <c r="W22" s="106" t="s">
        <v>96</v>
      </c>
      <c r="X22" s="276"/>
      <c r="Y22" s="142">
        <f>U22*O22</f>
        <v>2338.7003283192294</v>
      </c>
      <c r="Z22" s="265"/>
      <c r="AA22" s="265"/>
      <c r="AB22" s="266"/>
    </row>
    <row r="23" spans="1:28">
      <c r="A23" s="262" t="s">
        <v>200</v>
      </c>
      <c r="B23" s="144"/>
      <c r="C23" s="144"/>
      <c r="D23" s="138" t="s">
        <v>106</v>
      </c>
      <c r="E23" s="149" t="s">
        <v>107</v>
      </c>
      <c r="F23" s="137" t="s">
        <v>101</v>
      </c>
      <c r="G23" s="144"/>
      <c r="H23" s="147">
        <v>238.202</v>
      </c>
      <c r="I23" s="144"/>
      <c r="J23" s="145">
        <f t="shared" si="9"/>
        <v>8.1523244976952333E-2</v>
      </c>
      <c r="K23" s="144" t="s">
        <v>108</v>
      </c>
      <c r="L23" s="145">
        <f t="shared" si="6"/>
        <v>426.33208193374179</v>
      </c>
      <c r="M23" s="145">
        <f t="shared" si="7"/>
        <v>0.42633208193374178</v>
      </c>
      <c r="N23" s="145"/>
      <c r="O23" s="147">
        <f>O18*J9</f>
        <v>1.7897922012986531</v>
      </c>
      <c r="P23" s="144"/>
      <c r="Q23" s="144"/>
      <c r="R23" s="144"/>
      <c r="S23" s="145">
        <v>202</v>
      </c>
      <c r="T23" s="144" t="s">
        <v>102</v>
      </c>
      <c r="U23" s="145">
        <f>S23/(500/H23)</f>
        <v>96.233608000000004</v>
      </c>
      <c r="V23" s="144" t="s">
        <v>103</v>
      </c>
      <c r="W23" s="144" t="s">
        <v>100</v>
      </c>
      <c r="X23" s="276"/>
      <c r="Y23" s="153">
        <f t="shared" ref="Y23:Y25" si="10">U23*O23</f>
        <v>172.2381611012317</v>
      </c>
      <c r="Z23" s="267">
        <v>25</v>
      </c>
      <c r="AA23" s="269">
        <v>1</v>
      </c>
      <c r="AB23" s="267">
        <v>72</v>
      </c>
    </row>
    <row r="24" spans="1:28" ht="17.5">
      <c r="A24" s="263"/>
      <c r="B24" s="17"/>
      <c r="C24" s="17"/>
      <c r="D24" s="54" t="s">
        <v>134</v>
      </c>
      <c r="E24" s="17" t="s">
        <v>109</v>
      </c>
      <c r="F24" s="37" t="s">
        <v>34</v>
      </c>
      <c r="G24" s="17"/>
      <c r="H24" s="17">
        <v>130.13999999999999</v>
      </c>
      <c r="I24" s="21">
        <v>1.0149999999999999</v>
      </c>
      <c r="J24" s="21">
        <f t="shared" si="9"/>
        <v>0.9999025632982087</v>
      </c>
      <c r="K24" s="151">
        <v>0.99</v>
      </c>
      <c r="L24" s="21">
        <f t="shared" si="6"/>
        <v>2856.864466566311</v>
      </c>
      <c r="M24" s="21">
        <f t="shared" si="7"/>
        <v>2.8568644665663108</v>
      </c>
      <c r="N24" s="21">
        <f>L24/I24</f>
        <v>2814.6447946466119</v>
      </c>
      <c r="O24" s="21">
        <f>O18*J10</f>
        <v>21.952239638591603</v>
      </c>
      <c r="P24" s="17"/>
      <c r="Q24" s="17"/>
      <c r="R24" s="17"/>
      <c r="S24" s="21">
        <v>60.4</v>
      </c>
      <c r="T24" s="17" t="s">
        <v>143</v>
      </c>
      <c r="U24" s="21">
        <f>S24/((I24*1000)/H24)</f>
        <v>7.7442916256157641</v>
      </c>
      <c r="V24" s="54">
        <v>8006801000</v>
      </c>
      <c r="W24" s="17" t="s">
        <v>110</v>
      </c>
      <c r="X24" s="276"/>
      <c r="Y24" s="53">
        <f t="shared" si="10"/>
        <v>170.00454559665539</v>
      </c>
      <c r="Z24" s="265"/>
      <c r="AA24" s="270"/>
      <c r="AB24" s="265"/>
    </row>
    <row r="25" spans="1:28" s="114" customFormat="1" ht="17.5">
      <c r="A25" s="263"/>
      <c r="B25" s="17"/>
      <c r="C25" s="17"/>
      <c r="D25" s="113" t="s">
        <v>131</v>
      </c>
      <c r="E25" s="113" t="s">
        <v>86</v>
      </c>
      <c r="F25" s="221" t="s">
        <v>114</v>
      </c>
      <c r="G25" s="113"/>
      <c r="H25" s="229">
        <v>84.16</v>
      </c>
      <c r="I25" s="229">
        <v>0.77900000000000003</v>
      </c>
      <c r="J25" s="229">
        <f t="shared" si="9"/>
        <v>17.989999999999998</v>
      </c>
      <c r="K25" s="113"/>
      <c r="L25" s="229">
        <f t="shared" si="6"/>
        <v>33239.77255263563</v>
      </c>
      <c r="M25" s="229">
        <f>L25/1000</f>
        <v>33.239772552635628</v>
      </c>
      <c r="N25" s="229">
        <f>L25/I25</f>
        <v>42669.797885283224</v>
      </c>
      <c r="O25" s="229">
        <f>O18*J11</f>
        <v>394.95927462732448</v>
      </c>
      <c r="P25" s="113"/>
      <c r="Q25" s="113"/>
      <c r="R25" s="113"/>
      <c r="S25" s="229">
        <v>4120</v>
      </c>
      <c r="T25" s="113" t="s">
        <v>61</v>
      </c>
      <c r="U25" s="229">
        <f>S25/((I25*200000)/H25)</f>
        <v>2.225540436456996</v>
      </c>
      <c r="V25" s="228" t="s">
        <v>142</v>
      </c>
      <c r="W25" s="113" t="s">
        <v>87</v>
      </c>
      <c r="X25" s="276"/>
      <c r="Y25" s="253">
        <f t="shared" si="10"/>
        <v>878.99783643683429</v>
      </c>
      <c r="Z25" s="265"/>
      <c r="AA25" s="270"/>
      <c r="AB25" s="265"/>
    </row>
    <row r="26" spans="1:28" s="114" customFormat="1" ht="17.5">
      <c r="A26" s="263"/>
      <c r="B26" s="17"/>
      <c r="C26" s="17"/>
      <c r="D26" s="113" t="s">
        <v>41</v>
      </c>
      <c r="E26" s="113" t="s">
        <v>42</v>
      </c>
      <c r="F26" s="221" t="s">
        <v>114</v>
      </c>
      <c r="G26" s="113"/>
      <c r="H26" s="229">
        <v>88.11</v>
      </c>
      <c r="I26" s="229">
        <v>0.90200000000000002</v>
      </c>
      <c r="J26" s="229">
        <f t="shared" si="9"/>
        <v>11.76</v>
      </c>
      <c r="K26" s="113"/>
      <c r="L26" s="229">
        <f t="shared" si="6"/>
        <v>22748.547717842328</v>
      </c>
      <c r="M26" s="229">
        <f>L26/1000</f>
        <v>22.748547717842328</v>
      </c>
      <c r="N26" s="229">
        <f>L26/I26</f>
        <v>25220.119421111227</v>
      </c>
      <c r="O26" s="229">
        <f>O18*J12</f>
        <v>258.18349469801757</v>
      </c>
      <c r="P26" s="113"/>
      <c r="Q26" s="113"/>
      <c r="R26" s="113"/>
      <c r="S26" s="229">
        <v>3650</v>
      </c>
      <c r="T26" s="113" t="s">
        <v>61</v>
      </c>
      <c r="U26" s="229">
        <f>S26/((I26*200000)/H26)</f>
        <v>1.7827134146341463</v>
      </c>
      <c r="V26" s="228" t="s">
        <v>115</v>
      </c>
      <c r="W26" s="113" t="s">
        <v>43</v>
      </c>
      <c r="X26" s="276"/>
      <c r="Y26" s="253">
        <f>U26*O26</f>
        <v>460.2671794352799</v>
      </c>
      <c r="Z26" s="265"/>
      <c r="AA26" s="270"/>
      <c r="AB26" s="265"/>
    </row>
    <row r="27" spans="1:28" ht="17.5">
      <c r="A27" s="264"/>
      <c r="B27" s="97"/>
      <c r="C27" s="254" t="s">
        <v>206</v>
      </c>
      <c r="D27" s="97" t="s">
        <v>111</v>
      </c>
      <c r="E27" s="96" t="s">
        <v>112</v>
      </c>
      <c r="F27" s="11" t="s">
        <v>129</v>
      </c>
      <c r="G27" s="96" t="s">
        <v>113</v>
      </c>
      <c r="H27" s="71">
        <v>130.13999999999999</v>
      </c>
      <c r="I27" s="97"/>
      <c r="J27" s="97"/>
      <c r="K27" s="97"/>
      <c r="L27" s="97"/>
      <c r="M27" s="97"/>
      <c r="N27" s="97"/>
      <c r="O27" s="97"/>
      <c r="P27" s="240">
        <v>1000</v>
      </c>
      <c r="Q27" s="241">
        <f>P27/1000</f>
        <v>1</v>
      </c>
      <c r="R27" s="240">
        <f>P27/H27</f>
        <v>7.6840325802981413</v>
      </c>
      <c r="S27" s="97"/>
      <c r="T27" s="97"/>
      <c r="U27" s="97"/>
      <c r="V27" s="97"/>
      <c r="W27" s="97"/>
      <c r="X27" s="277"/>
      <c r="Y27" s="154"/>
      <c r="Z27" s="268"/>
      <c r="AA27" s="271"/>
      <c r="AB27" s="268"/>
    </row>
    <row r="28" spans="1:28">
      <c r="X28" s="20" t="s">
        <v>90</v>
      </c>
      <c r="Y28" s="255">
        <f>(SUM(Y18:Y26)-Y23-Y21)/10</f>
        <v>717.30339171017488</v>
      </c>
      <c r="AB28" s="138">
        <f>SUM(AB18:AB27)</f>
        <v>144</v>
      </c>
    </row>
    <row r="30" spans="1:28">
      <c r="A30" s="259" t="s">
        <v>121</v>
      </c>
      <c r="B30" s="260"/>
      <c r="C30" s="260"/>
      <c r="D30" s="261"/>
    </row>
    <row r="31" spans="1:28">
      <c r="A31" s="42" t="s">
        <v>65</v>
      </c>
      <c r="B31" s="10" t="s">
        <v>5</v>
      </c>
      <c r="C31" s="10" t="s">
        <v>66</v>
      </c>
      <c r="D31" s="10" t="s">
        <v>67</v>
      </c>
      <c r="Y31" s="81"/>
    </row>
    <row r="32" spans="1:28" ht="16" customHeight="1">
      <c r="A32" s="262" t="s">
        <v>201</v>
      </c>
      <c r="B32" s="156" t="s">
        <v>59</v>
      </c>
      <c r="C32" s="66">
        <f>M18</f>
        <v>4.2633208193374177</v>
      </c>
      <c r="D32" s="72"/>
      <c r="Y32" s="81"/>
    </row>
    <row r="33" spans="1:6" ht="19" customHeight="1">
      <c r="A33" s="263"/>
      <c r="B33" s="157" t="s">
        <v>47</v>
      </c>
      <c r="C33" s="30">
        <f>(M20+M25+M26)</f>
        <v>88.512623428309794</v>
      </c>
      <c r="D33" s="73"/>
    </row>
    <row r="34" spans="1:6" ht="19" customHeight="1">
      <c r="A34" s="263"/>
      <c r="B34" s="215" t="s">
        <v>34</v>
      </c>
      <c r="C34" s="30">
        <f>M22+M24+M19</f>
        <v>10.372481268048707</v>
      </c>
      <c r="D34" s="73"/>
      <c r="F34" t="s">
        <v>162</v>
      </c>
    </row>
    <row r="35" spans="1:6" ht="16" customHeight="1">
      <c r="A35" s="263"/>
      <c r="B35" s="158" t="s">
        <v>68</v>
      </c>
      <c r="C35" s="30">
        <f>0</f>
        <v>0</v>
      </c>
      <c r="D35" s="22"/>
    </row>
    <row r="36" spans="1:6">
      <c r="A36" s="264"/>
      <c r="B36" s="201" t="s">
        <v>116</v>
      </c>
      <c r="C36" s="68" t="s">
        <v>69</v>
      </c>
      <c r="D36" s="70">
        <f>Q27</f>
        <v>1</v>
      </c>
    </row>
    <row r="37" spans="1:6" ht="16" customHeight="1">
      <c r="A37" s="126"/>
      <c r="B37" s="152"/>
      <c r="C37" s="53"/>
      <c r="D37" s="44"/>
    </row>
    <row r="38" spans="1:6">
      <c r="A38" s="126"/>
      <c r="B38" s="152"/>
      <c r="C38" s="53"/>
      <c r="D38" s="44"/>
    </row>
    <row r="39" spans="1:6">
      <c r="A39" s="126"/>
      <c r="B39" s="152"/>
      <c r="C39" s="53"/>
      <c r="D39" s="44"/>
    </row>
    <row r="40" spans="1:6">
      <c r="A40" s="126"/>
      <c r="B40" s="152"/>
      <c r="C40" s="53"/>
      <c r="D40" s="53"/>
    </row>
    <row r="41" spans="1:6">
      <c r="A41" s="126"/>
      <c r="B41" s="152"/>
      <c r="C41" s="53"/>
      <c r="D41" s="53"/>
    </row>
  </sheetData>
  <mergeCells count="31">
    <mergeCell ref="Z9:Z13"/>
    <mergeCell ref="A1:AB1"/>
    <mergeCell ref="A2:AB2"/>
    <mergeCell ref="A4:A6"/>
    <mergeCell ref="Z4:Z6"/>
    <mergeCell ref="AA4:AA6"/>
    <mergeCell ref="AB4:AB6"/>
    <mergeCell ref="X4:X13"/>
    <mergeCell ref="A7:A8"/>
    <mergeCell ref="Z7:Z8"/>
    <mergeCell ref="AA7:AA8"/>
    <mergeCell ref="AB7:AB8"/>
    <mergeCell ref="A9:A13"/>
    <mergeCell ref="AB9:AB13"/>
    <mergeCell ref="AA9:AA13"/>
    <mergeCell ref="A16:AB16"/>
    <mergeCell ref="A18:A20"/>
    <mergeCell ref="X18:X27"/>
    <mergeCell ref="Z18:Z20"/>
    <mergeCell ref="AA18:AA20"/>
    <mergeCell ref="AB18:AB20"/>
    <mergeCell ref="A21:A22"/>
    <mergeCell ref="Z21:Z22"/>
    <mergeCell ref="A30:D30"/>
    <mergeCell ref="A32:A36"/>
    <mergeCell ref="AA21:AA22"/>
    <mergeCell ref="AB21:AB22"/>
    <mergeCell ref="A23:A27"/>
    <mergeCell ref="Z23:Z27"/>
    <mergeCell ref="AA23:AA27"/>
    <mergeCell ref="AB23:AB27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F14" sqref="F14"/>
    </sheetView>
  </sheetViews>
  <sheetFormatPr defaultColWidth="10.6640625" defaultRowHeight="15.5"/>
  <cols>
    <col min="1" max="1" width="19.1640625" bestFit="1" customWidth="1"/>
    <col min="2" max="2" width="38.5" bestFit="1" customWidth="1"/>
    <col min="3" max="3" width="15.33203125" customWidth="1"/>
    <col min="4" max="4" width="28.1640625" customWidth="1"/>
    <col min="6" max="6" width="15.6640625" customWidth="1"/>
    <col min="7" max="7" width="20.5" customWidth="1"/>
    <col min="8" max="8" width="35.1640625" customWidth="1"/>
    <col min="9" max="9" width="22" customWidth="1"/>
    <col min="10" max="10" width="37.5" customWidth="1"/>
    <col min="11" max="11" width="39.33203125" customWidth="1"/>
    <col min="12" max="12" width="32.1640625" bestFit="1" customWidth="1"/>
    <col min="13" max="13" width="17.33203125" bestFit="1" customWidth="1"/>
  </cols>
  <sheetData>
    <row r="1" spans="1:13" ht="25.5" thickBot="1">
      <c r="A1" s="286" t="s">
        <v>164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8"/>
    </row>
    <row r="2" spans="1:13">
      <c r="A2" s="289" t="s">
        <v>122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</row>
    <row r="3" spans="1:13">
      <c r="A3" s="10" t="s">
        <v>70</v>
      </c>
      <c r="B3" s="83" t="s">
        <v>193</v>
      </c>
      <c r="C3" s="84" t="s">
        <v>173</v>
      </c>
      <c r="D3" s="209" t="s">
        <v>174</v>
      </c>
      <c r="E3" s="85" t="s">
        <v>175</v>
      </c>
      <c r="F3" s="86" t="s">
        <v>67</v>
      </c>
      <c r="G3" s="10" t="s">
        <v>176</v>
      </c>
      <c r="H3" s="10" t="s">
        <v>177</v>
      </c>
      <c r="I3" s="10" t="s">
        <v>178</v>
      </c>
      <c r="J3" s="10" t="s">
        <v>179</v>
      </c>
      <c r="K3" s="209" t="s">
        <v>180</v>
      </c>
      <c r="L3" s="10" t="s">
        <v>181</v>
      </c>
      <c r="M3" s="10" t="s">
        <v>71</v>
      </c>
    </row>
    <row r="4" spans="1:13" s="17" customFormat="1" ht="16" customHeight="1">
      <c r="A4" s="159" t="s">
        <v>201</v>
      </c>
      <c r="B4" s="21">
        <f>'One-pot procedure'!C32</f>
        <v>4.2633208193374177</v>
      </c>
      <c r="C4" s="21">
        <f>'One-pot procedure'!C33</f>
        <v>88.512623428309794</v>
      </c>
      <c r="D4" s="21">
        <f>'One-pot procedure'!C34</f>
        <v>10.372481268048707</v>
      </c>
      <c r="E4" s="21">
        <f>'One-pot procedure'!C35</f>
        <v>0</v>
      </c>
      <c r="F4" s="21">
        <f>'One-pot procedure'!D36</f>
        <v>1</v>
      </c>
      <c r="G4" s="21">
        <f>(B4+D4-F4)/F4</f>
        <v>13.635802087386125</v>
      </c>
      <c r="H4" s="21">
        <f>(B4+D4-F4)/F4</f>
        <v>13.635802087386125</v>
      </c>
      <c r="I4" s="21">
        <f>(B4+D4+E4+C4-F4)/F4</f>
        <v>102.14842551569592</v>
      </c>
      <c r="J4" s="21">
        <f>(B4+D4+E4+C4-F4)/F4</f>
        <v>102.14842551569592</v>
      </c>
      <c r="K4" s="21">
        <f>(B4+D4+E4+0.1*(C4)-F4)/F4</f>
        <v>22.487064430217103</v>
      </c>
      <c r="L4" s="21">
        <f>J4+1</f>
        <v>103.14842551569592</v>
      </c>
      <c r="M4" s="73">
        <v>3</v>
      </c>
    </row>
    <row r="5" spans="1:13" s="20" customFormat="1">
      <c r="A5" s="195" t="s">
        <v>72</v>
      </c>
      <c r="B5" s="196">
        <f>'One-pot procedure'!C32</f>
        <v>4.2633208193374177</v>
      </c>
      <c r="C5" s="196">
        <f>'One-pot procedure'!C33</f>
        <v>88.512623428309794</v>
      </c>
      <c r="D5" s="196">
        <f>'One-pot procedure'!C34</f>
        <v>10.372481268048707</v>
      </c>
      <c r="E5" s="196">
        <f>'One-pot procedure'!C35</f>
        <v>0</v>
      </c>
      <c r="F5" s="196">
        <f>'One-pot procedure'!D36</f>
        <v>1</v>
      </c>
      <c r="G5" s="196">
        <f>(B5+D5-F5)/F5</f>
        <v>13.635802087386125</v>
      </c>
      <c r="H5" s="196">
        <f>(B5+D5-F5)/F5</f>
        <v>13.635802087386125</v>
      </c>
      <c r="I5" s="196">
        <f>(B5+D5+E5+C5-F5)/F5</f>
        <v>102.14842551569592</v>
      </c>
      <c r="J5" s="196">
        <f>(B5+D5+E5+C5-F5)/F5</f>
        <v>102.14842551569592</v>
      </c>
      <c r="K5" s="196">
        <f>(B5+D5+E5+0.1*(C5)-F5)/F5</f>
        <v>22.487064430217103</v>
      </c>
      <c r="L5" s="196">
        <f>J5+1</f>
        <v>103.14842551569592</v>
      </c>
      <c r="M5" s="197">
        <v>3</v>
      </c>
    </row>
    <row r="6" spans="1:13">
      <c r="A6" s="126"/>
    </row>
    <row r="7" spans="1:13">
      <c r="A7" s="126"/>
    </row>
    <row r="8" spans="1:13">
      <c r="A8" s="259" t="s">
        <v>171</v>
      </c>
      <c r="B8" s="260"/>
      <c r="C8" s="260"/>
      <c r="D8" s="261"/>
    </row>
    <row r="9" spans="1:13">
      <c r="A9" s="83" t="s">
        <v>193</v>
      </c>
      <c r="B9" s="84" t="s">
        <v>173</v>
      </c>
      <c r="C9" s="209" t="s">
        <v>174</v>
      </c>
      <c r="D9" s="85" t="s">
        <v>175</v>
      </c>
    </row>
    <row r="10" spans="1:13">
      <c r="A10" s="92">
        <f>B4</f>
        <v>4.2633208193374177</v>
      </c>
      <c r="B10" s="92">
        <f>C5</f>
        <v>88.512623428309794</v>
      </c>
      <c r="C10" s="92">
        <f>D4</f>
        <v>10.372481268048707</v>
      </c>
      <c r="D10" s="92">
        <f>E4</f>
        <v>0</v>
      </c>
    </row>
  </sheetData>
  <mergeCells count="3">
    <mergeCell ref="A1:M1"/>
    <mergeCell ref="A2:M2"/>
    <mergeCell ref="A8:D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05"/>
  <sheetViews>
    <sheetView topLeftCell="I73" zoomScale="75" workbookViewId="0">
      <selection activeCell="A92" sqref="A92:C101"/>
    </sheetView>
  </sheetViews>
  <sheetFormatPr defaultColWidth="10.6640625" defaultRowHeight="15.5"/>
  <cols>
    <col min="2" max="2" width="36.5" bestFit="1" customWidth="1"/>
    <col min="3" max="3" width="27.1640625" customWidth="1"/>
    <col min="4" max="4" width="29.5" customWidth="1"/>
    <col min="5" max="5" width="25.6640625" bestFit="1" customWidth="1"/>
    <col min="6" max="6" width="24" bestFit="1" customWidth="1"/>
    <col min="7" max="7" width="26.33203125" bestFit="1" customWidth="1"/>
    <col min="8" max="8" width="23.33203125" bestFit="1" customWidth="1"/>
    <col min="9" max="9" width="13.33203125" bestFit="1" customWidth="1"/>
    <col min="10" max="10" width="16.83203125" bestFit="1" customWidth="1"/>
    <col min="11" max="12" width="13.1640625" bestFit="1" customWidth="1"/>
    <col min="13" max="13" width="14" customWidth="1"/>
    <col min="14" max="14" width="17.1640625" bestFit="1" customWidth="1"/>
    <col min="15" max="15" width="14.1640625" customWidth="1"/>
    <col min="16" max="16" width="14.5" customWidth="1"/>
    <col min="17" max="17" width="15.5" bestFit="1" customWidth="1"/>
    <col min="18" max="18" width="11.1640625" bestFit="1" customWidth="1"/>
    <col min="19" max="19" width="48.83203125" bestFit="1" customWidth="1"/>
    <col min="20" max="20" width="7.5" bestFit="1" customWidth="1"/>
    <col min="21" max="21" width="19.6640625" bestFit="1" customWidth="1"/>
    <col min="22" max="22" width="25.6640625" bestFit="1" customWidth="1"/>
    <col min="23" max="23" width="11.6640625" bestFit="1" customWidth="1"/>
    <col min="25" max="25" width="17.33203125" customWidth="1"/>
    <col min="26" max="26" width="15.83203125" bestFit="1" customWidth="1"/>
    <col min="27" max="27" width="14" bestFit="1" customWidth="1"/>
    <col min="28" max="28" width="16.83203125" bestFit="1" customWidth="1"/>
  </cols>
  <sheetData>
    <row r="1" spans="1:28" ht="26.5" thickBot="1">
      <c r="A1" s="300" t="s">
        <v>167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  <c r="AB1" s="302"/>
    </row>
    <row r="2" spans="1:28">
      <c r="A2" s="303" t="s">
        <v>130</v>
      </c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A2" s="304"/>
      <c r="AB2" s="305"/>
    </row>
    <row r="3" spans="1:28">
      <c r="A3" s="1" t="s">
        <v>0</v>
      </c>
      <c r="B3" s="2" t="s">
        <v>1</v>
      </c>
      <c r="C3" s="3" t="s">
        <v>2</v>
      </c>
      <c r="D3" s="4" t="s">
        <v>3</v>
      </c>
      <c r="E3" s="5" t="s">
        <v>4</v>
      </c>
      <c r="F3" s="5" t="s">
        <v>5</v>
      </c>
      <c r="G3" s="5" t="s">
        <v>6</v>
      </c>
      <c r="H3" s="6" t="s">
        <v>7</v>
      </c>
      <c r="I3" s="1" t="s">
        <v>8</v>
      </c>
      <c r="J3" s="1" t="s">
        <v>9</v>
      </c>
      <c r="K3" s="1" t="s">
        <v>10</v>
      </c>
      <c r="L3" s="6" t="s">
        <v>11</v>
      </c>
      <c r="M3" s="7" t="s">
        <v>12</v>
      </c>
      <c r="N3" s="1" t="s">
        <v>13</v>
      </c>
      <c r="O3" s="6" t="s">
        <v>14</v>
      </c>
      <c r="P3" s="6" t="s">
        <v>15</v>
      </c>
      <c r="Q3" s="7" t="s">
        <v>16</v>
      </c>
      <c r="R3" s="1" t="s">
        <v>17</v>
      </c>
      <c r="S3" s="1" t="s">
        <v>18</v>
      </c>
      <c r="T3" s="1" t="s">
        <v>19</v>
      </c>
      <c r="U3" s="1" t="s">
        <v>20</v>
      </c>
      <c r="V3" s="8" t="s">
        <v>21</v>
      </c>
      <c r="W3" s="1" t="s">
        <v>22</v>
      </c>
      <c r="X3" s="1" t="s">
        <v>23</v>
      </c>
      <c r="Y3" s="1" t="s">
        <v>24</v>
      </c>
      <c r="Z3" s="9" t="s">
        <v>25</v>
      </c>
      <c r="AA3" s="1" t="s">
        <v>26</v>
      </c>
      <c r="AB3" s="10" t="s">
        <v>27</v>
      </c>
    </row>
    <row r="4" spans="1:28" s="52" customFormat="1" ht="17.5">
      <c r="A4" s="291" t="s">
        <v>207</v>
      </c>
      <c r="B4" s="41">
        <v>15</v>
      </c>
      <c r="C4" s="41"/>
      <c r="D4" s="43" t="s">
        <v>38</v>
      </c>
      <c r="E4" s="44" t="s">
        <v>39</v>
      </c>
      <c r="F4" s="36" t="s">
        <v>190</v>
      </c>
      <c r="G4" s="47"/>
      <c r="H4" s="46">
        <v>92.09</v>
      </c>
      <c r="I4" s="47">
        <v>1.25</v>
      </c>
      <c r="J4" s="47">
        <f>O4/O$5</f>
        <v>9.9662737761622715</v>
      </c>
      <c r="K4" s="47"/>
      <c r="L4" s="49">
        <v>18.399999999999999</v>
      </c>
      <c r="M4" s="50">
        <f t="shared" ref="M4" si="0">L4/1000</f>
        <v>1.84E-2</v>
      </c>
      <c r="N4" s="47">
        <f>L4/I4</f>
        <v>14.719999999999999</v>
      </c>
      <c r="O4" s="49">
        <f>L4/H4</f>
        <v>0.19980453903789769</v>
      </c>
      <c r="P4" s="48"/>
      <c r="Q4" s="48"/>
      <c r="R4" s="45"/>
      <c r="S4" s="47">
        <v>5000</v>
      </c>
      <c r="T4" s="45" t="s">
        <v>61</v>
      </c>
      <c r="U4" s="47">
        <f>S4/((I4*200000)/H4)</f>
        <v>1.8418000000000001</v>
      </c>
      <c r="V4" s="54" t="s">
        <v>60</v>
      </c>
      <c r="W4" s="45" t="s">
        <v>40</v>
      </c>
      <c r="X4" s="294">
        <f>R8/O5</f>
        <v>1</v>
      </c>
      <c r="Y4" s="47">
        <f t="shared" ref="Y4" si="1">U4*O4</f>
        <v>0.36799999999999999</v>
      </c>
      <c r="Z4" s="279" t="s">
        <v>62</v>
      </c>
      <c r="AA4" s="297">
        <v>1</v>
      </c>
      <c r="AB4" s="279">
        <v>15</v>
      </c>
    </row>
    <row r="5" spans="1:28" ht="17.5">
      <c r="A5" s="291"/>
      <c r="B5" s="41"/>
      <c r="C5" s="41"/>
      <c r="D5" s="204" t="s">
        <v>28</v>
      </c>
      <c r="E5" s="44" t="s">
        <v>29</v>
      </c>
      <c r="F5" s="37" t="s">
        <v>34</v>
      </c>
      <c r="G5" s="45"/>
      <c r="H5" s="46">
        <v>170.59</v>
      </c>
      <c r="I5" s="47">
        <v>1.21</v>
      </c>
      <c r="J5" s="14">
        <f>O5/O5</f>
        <v>1</v>
      </c>
      <c r="K5" s="45"/>
      <c r="L5" s="205">
        <v>3.42</v>
      </c>
      <c r="M5" s="206">
        <f>L5/1000</f>
        <v>3.4199999999999999E-3</v>
      </c>
      <c r="N5" s="205">
        <f>L5/I5</f>
        <v>2.8264462809917354</v>
      </c>
      <c r="O5" s="205">
        <f>L5/H5</f>
        <v>2.0048068468257223E-2</v>
      </c>
      <c r="P5" s="64"/>
      <c r="Q5" s="48"/>
      <c r="R5" s="45"/>
      <c r="S5" s="47">
        <v>157</v>
      </c>
      <c r="T5" s="45" t="s">
        <v>30</v>
      </c>
      <c r="U5" s="14">
        <f>S5/((I5*250)/H5)</f>
        <v>88.537619834710739</v>
      </c>
      <c r="V5" s="45">
        <v>8146880250</v>
      </c>
      <c r="W5" s="44" t="s">
        <v>31</v>
      </c>
      <c r="X5" s="294"/>
      <c r="Y5" s="47">
        <f t="shared" ref="Y5:Y7" si="2">U5*O5</f>
        <v>1.7750082644628098</v>
      </c>
      <c r="Z5" s="279"/>
      <c r="AA5" s="297"/>
      <c r="AB5" s="279"/>
    </row>
    <row r="6" spans="1:28" ht="17.5">
      <c r="A6" s="291"/>
      <c r="B6" s="15"/>
      <c r="C6" s="15"/>
      <c r="D6" s="16" t="s">
        <v>32</v>
      </c>
      <c r="E6" s="17" t="s">
        <v>33</v>
      </c>
      <c r="F6" s="37" t="s">
        <v>34</v>
      </c>
      <c r="G6" s="16"/>
      <c r="H6" s="14">
        <v>79.099999999999994</v>
      </c>
      <c r="I6" s="14">
        <v>0.97799999999999998</v>
      </c>
      <c r="J6" s="14">
        <f>O6/O$5</f>
        <v>1.0972364539667756</v>
      </c>
      <c r="K6" s="16"/>
      <c r="L6" s="14">
        <v>1.74</v>
      </c>
      <c r="M6" s="18">
        <f>L6/1000</f>
        <v>1.74E-3</v>
      </c>
      <c r="N6" s="14">
        <f>L6/I6</f>
        <v>1.7791411042944785</v>
      </c>
      <c r="O6" s="14">
        <f>L6/H6</f>
        <v>2.1997471554993681E-2</v>
      </c>
      <c r="P6" s="19"/>
      <c r="Q6" s="19"/>
      <c r="R6" s="16"/>
      <c r="S6" s="14">
        <v>879</v>
      </c>
      <c r="T6" s="16" t="s">
        <v>35</v>
      </c>
      <c r="U6" s="14">
        <f>S6/((I6*8000)/H6)</f>
        <v>8.8866180981595093</v>
      </c>
      <c r="V6" s="17" t="s">
        <v>36</v>
      </c>
      <c r="W6" s="16" t="s">
        <v>37</v>
      </c>
      <c r="X6" s="294"/>
      <c r="Y6" s="47">
        <f>U6*O6</f>
        <v>0.19548312883435584</v>
      </c>
      <c r="Z6" s="279"/>
      <c r="AA6" s="297"/>
      <c r="AB6" s="279"/>
    </row>
    <row r="7" spans="1:28" ht="17.5">
      <c r="A7" s="291"/>
      <c r="B7" s="51"/>
      <c r="C7" s="20"/>
      <c r="D7" s="17" t="s">
        <v>41</v>
      </c>
      <c r="E7" s="17" t="s">
        <v>42</v>
      </c>
      <c r="F7" s="35" t="s">
        <v>47</v>
      </c>
      <c r="G7" s="17"/>
      <c r="H7" s="21">
        <v>88.11</v>
      </c>
      <c r="I7" s="21">
        <v>0.90200000000000002</v>
      </c>
      <c r="J7" s="14">
        <f t="shared" ref="J7" si="3">O7/O$5</f>
        <v>41.09</v>
      </c>
      <c r="K7" s="17"/>
      <c r="L7" s="21">
        <f>O7*H7</f>
        <v>72.582827000410347</v>
      </c>
      <c r="M7" s="18">
        <f t="shared" ref="M7" si="4">L7/1000</f>
        <v>7.2582827000410341E-2</v>
      </c>
      <c r="N7" s="21">
        <f>L7/I7</f>
        <v>80.46876607584295</v>
      </c>
      <c r="O7" s="21">
        <f>O5*41.09</f>
        <v>0.82377513336068942</v>
      </c>
      <c r="P7" s="17"/>
      <c r="Q7" s="17"/>
      <c r="R7" s="17"/>
      <c r="S7" s="21">
        <v>770</v>
      </c>
      <c r="T7" s="17" t="s">
        <v>63</v>
      </c>
      <c r="U7" s="21">
        <f>S7/((I7*18000)/H7)</f>
        <v>4.1786585365853659</v>
      </c>
      <c r="V7" s="17" t="s">
        <v>64</v>
      </c>
      <c r="W7" s="17" t="s">
        <v>43</v>
      </c>
      <c r="X7" s="294"/>
      <c r="Y7" s="53">
        <f t="shared" si="2"/>
        <v>3.4422749932443932</v>
      </c>
      <c r="Z7" s="279"/>
      <c r="AA7" s="297"/>
      <c r="AB7" s="279"/>
    </row>
    <row r="8" spans="1:28" ht="17.5">
      <c r="A8" s="292"/>
      <c r="B8" s="11"/>
      <c r="C8" s="11">
        <v>16</v>
      </c>
      <c r="D8" s="23"/>
      <c r="E8" s="58" t="s">
        <v>128</v>
      </c>
      <c r="F8" s="59" t="s">
        <v>44</v>
      </c>
      <c r="G8" s="60" t="s">
        <v>45</v>
      </c>
      <c r="H8" s="25">
        <v>226.23</v>
      </c>
      <c r="I8" s="23"/>
      <c r="J8" s="25"/>
      <c r="K8" s="23"/>
      <c r="L8" s="25"/>
      <c r="M8" s="18"/>
      <c r="N8" s="25"/>
      <c r="O8" s="25"/>
      <c r="P8" s="60">
        <v>4.5354745295738317</v>
      </c>
      <c r="Q8" s="62">
        <f>P8/1000</f>
        <v>4.5354745295738321E-3</v>
      </c>
      <c r="R8" s="60">
        <f>P8/H8</f>
        <v>2.0048068468257223E-2</v>
      </c>
      <c r="S8" s="25"/>
      <c r="T8" s="23"/>
      <c r="U8" s="23"/>
      <c r="V8" s="23"/>
      <c r="W8" s="23"/>
      <c r="X8" s="295"/>
      <c r="Y8" s="23"/>
      <c r="Z8" s="280"/>
      <c r="AA8" s="298"/>
      <c r="AB8" s="280"/>
    </row>
    <row r="9" spans="1:28">
      <c r="A9" s="290" t="s">
        <v>208</v>
      </c>
      <c r="B9" s="15"/>
      <c r="C9" s="15"/>
      <c r="D9" s="16"/>
      <c r="E9" s="16"/>
      <c r="F9" s="16"/>
      <c r="G9" s="14"/>
      <c r="H9" s="14"/>
      <c r="I9" s="14"/>
      <c r="J9" s="14"/>
      <c r="K9" s="14"/>
      <c r="L9" s="14"/>
      <c r="M9" s="13"/>
      <c r="N9" s="14"/>
      <c r="O9" s="14"/>
      <c r="P9" s="16"/>
      <c r="Q9" s="16"/>
      <c r="R9" s="16"/>
      <c r="S9" s="16"/>
      <c r="T9" s="16"/>
      <c r="U9" s="16"/>
      <c r="V9" s="16"/>
      <c r="W9" s="16"/>
      <c r="X9" s="293">
        <f>R13/O10</f>
        <v>0.67</v>
      </c>
      <c r="Y9" s="26"/>
      <c r="Z9" s="278" t="s">
        <v>62</v>
      </c>
      <c r="AA9" s="296">
        <v>1</v>
      </c>
      <c r="AB9" s="278">
        <v>15</v>
      </c>
    </row>
    <row r="10" spans="1:28" ht="17.5">
      <c r="A10" s="291"/>
      <c r="B10" s="15"/>
      <c r="C10" s="15">
        <v>16</v>
      </c>
      <c r="D10" s="27" t="s">
        <v>45</v>
      </c>
      <c r="E10" s="203" t="s">
        <v>128</v>
      </c>
      <c r="F10" s="28" t="s">
        <v>44</v>
      </c>
      <c r="G10" s="14"/>
      <c r="H10" s="47">
        <v>226.23</v>
      </c>
      <c r="I10" s="14"/>
      <c r="J10" s="14">
        <f>O10/O$10</f>
        <v>1</v>
      </c>
      <c r="K10" s="14"/>
      <c r="L10" s="27">
        <v>3.92</v>
      </c>
      <c r="M10" s="61">
        <f>L10/1000</f>
        <v>3.9199999999999999E-3</v>
      </c>
      <c r="N10" s="14"/>
      <c r="O10" s="27">
        <v>1.9983505921650824E-2</v>
      </c>
      <c r="P10" s="19"/>
      <c r="Q10" s="19"/>
      <c r="R10" s="16"/>
      <c r="S10" s="14"/>
      <c r="T10" s="16"/>
      <c r="U10" s="16"/>
      <c r="V10" s="16"/>
      <c r="W10" s="16"/>
      <c r="X10" s="294"/>
      <c r="Y10" s="29"/>
      <c r="Z10" s="279"/>
      <c r="AA10" s="296"/>
      <c r="AB10" s="279"/>
    </row>
    <row r="11" spans="1:28" ht="17.5">
      <c r="A11" s="291"/>
      <c r="B11" s="20"/>
      <c r="C11" s="20"/>
      <c r="D11" s="17" t="s">
        <v>133</v>
      </c>
      <c r="E11" s="17" t="s">
        <v>46</v>
      </c>
      <c r="F11" s="35" t="s">
        <v>47</v>
      </c>
      <c r="G11" s="17"/>
      <c r="H11" s="21">
        <v>32.04</v>
      </c>
      <c r="I11" s="21">
        <v>0.79100000000000004</v>
      </c>
      <c r="J11" s="14">
        <f>O11/O$10</f>
        <v>100.69427457065296</v>
      </c>
      <c r="K11" s="21"/>
      <c r="L11" s="56">
        <f>O11*H11</f>
        <v>64.471677214373628</v>
      </c>
      <c r="M11" s="18">
        <f t="shared" ref="M11:M12" si="5">L11/1000</f>
        <v>6.4471677214373621E-2</v>
      </c>
      <c r="N11" s="21">
        <f>L11/I11</f>
        <v>81.506545150914818</v>
      </c>
      <c r="O11" s="21">
        <f>100.37*O5</f>
        <v>2.0122246321589774</v>
      </c>
      <c r="P11" s="21"/>
      <c r="Q11" s="21"/>
      <c r="R11" s="21"/>
      <c r="S11" s="21">
        <f>6297.14 * 0.078</f>
        <v>491.17692000000005</v>
      </c>
      <c r="T11" s="17" t="s">
        <v>48</v>
      </c>
      <c r="U11" s="21">
        <f>S11/((I11*20000)/H11)</f>
        <v>0.99477297830594191</v>
      </c>
      <c r="V11" s="17" t="s">
        <v>49</v>
      </c>
      <c r="W11" s="16" t="s">
        <v>50</v>
      </c>
      <c r="X11" s="294"/>
      <c r="Y11" s="30">
        <f>U11*O11</f>
        <v>2.0017066903533642</v>
      </c>
      <c r="Z11" s="279"/>
      <c r="AA11" s="296"/>
      <c r="AB11" s="279"/>
    </row>
    <row r="12" spans="1:28" ht="17.5">
      <c r="A12" s="291"/>
      <c r="B12" s="15"/>
      <c r="C12" s="15"/>
      <c r="D12" s="16" t="s">
        <v>51</v>
      </c>
      <c r="E12" s="17" t="s">
        <v>52</v>
      </c>
      <c r="F12" s="34" t="s">
        <v>34</v>
      </c>
      <c r="G12" s="14"/>
      <c r="H12" s="14">
        <v>213.89</v>
      </c>
      <c r="I12" s="14">
        <v>3.86</v>
      </c>
      <c r="J12" s="14">
        <f t="shared" ref="J12" si="6">O12/O$10</f>
        <v>1.502010138209072</v>
      </c>
      <c r="K12" s="14"/>
      <c r="L12" s="14">
        <v>6.42</v>
      </c>
      <c r="M12" s="18">
        <f t="shared" si="5"/>
        <v>6.4200000000000004E-3</v>
      </c>
      <c r="N12" s="14">
        <f>L12/I12</f>
        <v>1.6632124352331608</v>
      </c>
      <c r="O12" s="14">
        <f>L12/H12</f>
        <v>3.0015428491280565E-2</v>
      </c>
      <c r="P12" s="16"/>
      <c r="Q12" s="16"/>
      <c r="R12" s="16"/>
      <c r="S12" s="14">
        <v>1970</v>
      </c>
      <c r="T12" s="16" t="s">
        <v>53</v>
      </c>
      <c r="U12" s="14">
        <f>S12/((I12*2500)/H12)</f>
        <v>43.664590673575127</v>
      </c>
      <c r="V12" s="16" t="s">
        <v>54</v>
      </c>
      <c r="W12" s="16" t="s">
        <v>55</v>
      </c>
      <c r="X12" s="294"/>
      <c r="Y12" s="31">
        <f>U12*O12</f>
        <v>1.3106113989637305</v>
      </c>
      <c r="Z12" s="279"/>
      <c r="AA12" s="296"/>
      <c r="AB12" s="279"/>
    </row>
    <row r="13" spans="1:28" ht="17.5">
      <c r="A13" s="292"/>
      <c r="B13" s="11"/>
      <c r="C13" s="11">
        <v>11</v>
      </c>
      <c r="D13" s="23"/>
      <c r="E13" s="24" t="s">
        <v>57</v>
      </c>
      <c r="F13" s="38" t="s">
        <v>59</v>
      </c>
      <c r="G13" s="25" t="s">
        <v>132</v>
      </c>
      <c r="H13" s="25">
        <v>194.19</v>
      </c>
      <c r="I13" s="25"/>
      <c r="J13" s="25"/>
      <c r="K13" s="25"/>
      <c r="L13" s="25"/>
      <c r="M13" s="25"/>
      <c r="N13" s="25"/>
      <c r="O13" s="32"/>
      <c r="P13" s="236">
        <v>2.6</v>
      </c>
      <c r="Q13" s="237">
        <f>P13/1000</f>
        <v>2.5999999999999999E-3</v>
      </c>
      <c r="R13" s="236">
        <f>P13/H13</f>
        <v>1.3388948967506052E-2</v>
      </c>
      <c r="S13" s="25"/>
      <c r="T13" s="23"/>
      <c r="U13" s="23"/>
      <c r="V13" s="23"/>
      <c r="W13" s="23"/>
      <c r="X13" s="295"/>
      <c r="Y13" s="33"/>
      <c r="Z13" s="218" t="s">
        <v>137</v>
      </c>
      <c r="AA13" s="296"/>
      <c r="AB13" s="218" t="s">
        <v>138</v>
      </c>
    </row>
    <row r="14" spans="1:28" s="17" customFormat="1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</row>
    <row r="15" spans="1:28" s="17" customFormat="1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</row>
    <row r="16" spans="1:28">
      <c r="A16" s="272" t="s">
        <v>123</v>
      </c>
      <c r="B16" s="273"/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  <c r="R16" s="273"/>
      <c r="S16" s="273"/>
      <c r="T16" s="273"/>
      <c r="U16" s="273"/>
      <c r="V16" s="273"/>
      <c r="W16" s="273"/>
      <c r="X16" s="273"/>
      <c r="Y16" s="273"/>
      <c r="Z16" s="273"/>
      <c r="AA16" s="273"/>
      <c r="AB16" s="274"/>
    </row>
    <row r="17" spans="1:28">
      <c r="A17" s="1" t="s">
        <v>0</v>
      </c>
      <c r="B17" s="2" t="s">
        <v>1</v>
      </c>
      <c r="C17" s="3" t="s">
        <v>2</v>
      </c>
      <c r="D17" s="4" t="s">
        <v>3</v>
      </c>
      <c r="E17" s="5" t="s">
        <v>4</v>
      </c>
      <c r="F17" s="5" t="s">
        <v>5</v>
      </c>
      <c r="G17" s="5" t="s">
        <v>6</v>
      </c>
      <c r="H17" s="6" t="s">
        <v>7</v>
      </c>
      <c r="I17" s="1" t="s">
        <v>8</v>
      </c>
      <c r="J17" s="1" t="s">
        <v>9</v>
      </c>
      <c r="K17" s="1" t="s">
        <v>10</v>
      </c>
      <c r="L17" s="6" t="s">
        <v>11</v>
      </c>
      <c r="M17" s="7" t="s">
        <v>12</v>
      </c>
      <c r="N17" s="1" t="s">
        <v>13</v>
      </c>
      <c r="O17" s="6" t="s">
        <v>14</v>
      </c>
      <c r="P17" s="6" t="s">
        <v>15</v>
      </c>
      <c r="Q17" s="7" t="s">
        <v>16</v>
      </c>
      <c r="R17" s="1" t="s">
        <v>17</v>
      </c>
      <c r="S17" s="1" t="s">
        <v>18</v>
      </c>
      <c r="T17" s="1" t="s">
        <v>19</v>
      </c>
      <c r="U17" s="1" t="s">
        <v>20</v>
      </c>
      <c r="V17" s="8" t="s">
        <v>21</v>
      </c>
      <c r="W17" s="1" t="s">
        <v>22</v>
      </c>
      <c r="X17" s="1" t="s">
        <v>23</v>
      </c>
      <c r="Y17" s="1" t="s">
        <v>24</v>
      </c>
      <c r="Z17" s="9" t="s">
        <v>25</v>
      </c>
      <c r="AA17" s="1" t="s">
        <v>26</v>
      </c>
      <c r="AB17" s="10" t="s">
        <v>27</v>
      </c>
    </row>
    <row r="18" spans="1:28" ht="17.5">
      <c r="A18" s="291" t="s">
        <v>207</v>
      </c>
      <c r="B18" s="41">
        <v>15</v>
      </c>
      <c r="C18" s="41"/>
      <c r="D18" s="43" t="s">
        <v>38</v>
      </c>
      <c r="E18" s="44" t="s">
        <v>39</v>
      </c>
      <c r="F18" s="36" t="s">
        <v>190</v>
      </c>
      <c r="G18" s="47"/>
      <c r="H18" s="46">
        <v>92.09</v>
      </c>
      <c r="I18" s="47">
        <v>1.25</v>
      </c>
      <c r="J18" s="47">
        <f>O18/O$19</f>
        <v>9.9662737761622715</v>
      </c>
      <c r="K18" s="47"/>
      <c r="L18" s="49">
        <f>O18*H18</f>
        <v>7054.1326431859234</v>
      </c>
      <c r="M18" s="75">
        <f t="shared" ref="M18" si="7">L18/1000</f>
        <v>7.0541326431859233</v>
      </c>
      <c r="N18" s="47">
        <f>L18/I18</f>
        <v>5643.3061145487391</v>
      </c>
      <c r="O18" s="49">
        <f>O19*J4</f>
        <v>76.600419624127738</v>
      </c>
      <c r="P18" s="48"/>
      <c r="Q18" s="48"/>
      <c r="R18" s="45"/>
      <c r="S18" s="47">
        <v>5000</v>
      </c>
      <c r="T18" s="45" t="s">
        <v>61</v>
      </c>
      <c r="U18" s="47">
        <f>S18/((I18*200000)/H18)</f>
        <v>1.8418000000000001</v>
      </c>
      <c r="V18" s="54" t="s">
        <v>60</v>
      </c>
      <c r="W18" s="45" t="s">
        <v>40</v>
      </c>
      <c r="X18" s="294">
        <f>R22/O19</f>
        <v>1</v>
      </c>
      <c r="Y18" s="47">
        <f t="shared" ref="Y18:Y19" si="8">U18*O18</f>
        <v>141.08265286371847</v>
      </c>
      <c r="Z18" s="279" t="s">
        <v>62</v>
      </c>
      <c r="AA18" s="297">
        <v>1</v>
      </c>
      <c r="AB18" s="279">
        <v>15</v>
      </c>
    </row>
    <row r="19" spans="1:28" ht="17.5">
      <c r="A19" s="291"/>
      <c r="B19" s="41"/>
      <c r="C19" s="41"/>
      <c r="D19" s="204" t="s">
        <v>28</v>
      </c>
      <c r="E19" s="44" t="s">
        <v>29</v>
      </c>
      <c r="F19" s="37" t="s">
        <v>34</v>
      </c>
      <c r="G19" s="45"/>
      <c r="H19" s="46">
        <v>170.59</v>
      </c>
      <c r="I19" s="47">
        <v>1.21</v>
      </c>
      <c r="J19" s="47">
        <f t="shared" ref="J19:J21" si="9">O19/O$19</f>
        <v>1</v>
      </c>
      <c r="K19" s="45"/>
      <c r="L19" s="46">
        <f>O19*H19</f>
        <v>1311.148567374775</v>
      </c>
      <c r="M19" s="205">
        <f>L19/1000</f>
        <v>1.3111485673747749</v>
      </c>
      <c r="N19" s="205">
        <f>L19/I19</f>
        <v>1083.5938573345247</v>
      </c>
      <c r="O19" s="205">
        <f>R22</f>
        <v>7.6859638160195498</v>
      </c>
      <c r="P19" s="48"/>
      <c r="Q19" s="48"/>
      <c r="R19" s="45"/>
      <c r="S19" s="47">
        <v>157</v>
      </c>
      <c r="T19" s="45" t="s">
        <v>30</v>
      </c>
      <c r="U19" s="14">
        <f>S19/((I19*250)/H19)</f>
        <v>88.537619834710739</v>
      </c>
      <c r="V19" s="45">
        <v>8146880250</v>
      </c>
      <c r="W19" s="44" t="s">
        <v>31</v>
      </c>
      <c r="X19" s="294"/>
      <c r="Y19" s="47">
        <f t="shared" si="8"/>
        <v>680.49694240608153</v>
      </c>
      <c r="Z19" s="279"/>
      <c r="AA19" s="297"/>
      <c r="AB19" s="279"/>
    </row>
    <row r="20" spans="1:28" ht="17.5">
      <c r="A20" s="291"/>
      <c r="B20" s="15"/>
      <c r="C20" s="15"/>
      <c r="D20" s="16" t="s">
        <v>32</v>
      </c>
      <c r="E20" s="17" t="s">
        <v>33</v>
      </c>
      <c r="F20" s="37" t="s">
        <v>34</v>
      </c>
      <c r="G20" s="16"/>
      <c r="H20" s="14">
        <v>79.099999999999994</v>
      </c>
      <c r="I20" s="14">
        <v>0.97799999999999998</v>
      </c>
      <c r="J20" s="47">
        <f t="shared" si="9"/>
        <v>1.0972364539667756</v>
      </c>
      <c r="K20" s="16"/>
      <c r="L20" s="14">
        <f>O20*H20</f>
        <v>667.07558690997337</v>
      </c>
      <c r="M20" s="14">
        <f>L20/1000</f>
        <v>0.66707558690997337</v>
      </c>
      <c r="N20" s="14">
        <f>L20/I20</f>
        <v>682.08137720856178</v>
      </c>
      <c r="O20" s="14">
        <f>O19*J6</f>
        <v>8.4333196828062373</v>
      </c>
      <c r="P20" s="19"/>
      <c r="Q20" s="19"/>
      <c r="R20" s="16"/>
      <c r="S20" s="14">
        <v>879</v>
      </c>
      <c r="T20" s="16" t="s">
        <v>35</v>
      </c>
      <c r="U20" s="14">
        <f>S20/((I20*8000)/H20)</f>
        <v>8.8866180981595093</v>
      </c>
      <c r="V20" s="17" t="s">
        <v>36</v>
      </c>
      <c r="W20" s="16" t="s">
        <v>37</v>
      </c>
      <c r="X20" s="294"/>
      <c r="Y20" s="47">
        <f>U20*O20</f>
        <v>74.94369132079072</v>
      </c>
      <c r="Z20" s="279"/>
      <c r="AA20" s="297"/>
      <c r="AB20" s="279"/>
    </row>
    <row r="21" spans="1:28" ht="17.5">
      <c r="A21" s="291"/>
      <c r="B21" s="51"/>
      <c r="C21" s="20"/>
      <c r="D21" s="17" t="s">
        <v>41</v>
      </c>
      <c r="E21" s="17" t="s">
        <v>42</v>
      </c>
      <c r="F21" s="35" t="s">
        <v>47</v>
      </c>
      <c r="G21" s="17"/>
      <c r="H21" s="21">
        <v>88.11</v>
      </c>
      <c r="I21" s="21">
        <v>0.90200000000000002</v>
      </c>
      <c r="J21" s="47">
        <f t="shared" si="9"/>
        <v>41.09</v>
      </c>
      <c r="K21" s="17"/>
      <c r="L21" s="21">
        <f>O21*H21</f>
        <v>27826.570069473441</v>
      </c>
      <c r="M21" s="14">
        <f t="shared" ref="M21" si="10">L21/1000</f>
        <v>27.826570069473441</v>
      </c>
      <c r="N21" s="21">
        <f>L21/I21</f>
        <v>30849.855952853039</v>
      </c>
      <c r="O21" s="21">
        <f>O19*J7</f>
        <v>315.81625320024335</v>
      </c>
      <c r="P21" s="17"/>
      <c r="Q21" s="17"/>
      <c r="R21" s="17"/>
      <c r="S21" s="21">
        <v>770</v>
      </c>
      <c r="T21" s="17" t="s">
        <v>63</v>
      </c>
      <c r="U21" s="21">
        <f>S21/((I21*18000)/H21)</f>
        <v>4.1786585365853659</v>
      </c>
      <c r="V21" s="17" t="s">
        <v>64</v>
      </c>
      <c r="W21" s="17" t="s">
        <v>43</v>
      </c>
      <c r="X21" s="294"/>
      <c r="Y21" s="53">
        <f t="shared" ref="Y21" si="11">U21*O21</f>
        <v>1319.6882824276022</v>
      </c>
      <c r="Z21" s="279"/>
      <c r="AA21" s="297"/>
      <c r="AB21" s="279"/>
    </row>
    <row r="22" spans="1:28" ht="17.5">
      <c r="A22" s="292"/>
      <c r="B22" s="256"/>
      <c r="C22" s="256">
        <v>16</v>
      </c>
      <c r="D22" s="23"/>
      <c r="E22" s="58" t="s">
        <v>128</v>
      </c>
      <c r="F22" s="59" t="s">
        <v>44</v>
      </c>
      <c r="G22" s="60" t="s">
        <v>45</v>
      </c>
      <c r="H22" s="25">
        <v>226.23</v>
      </c>
      <c r="I22" s="23"/>
      <c r="J22" s="25"/>
      <c r="K22" s="23"/>
      <c r="L22" s="25"/>
      <c r="M22" s="14"/>
      <c r="N22" s="25"/>
      <c r="O22" s="25"/>
      <c r="P22" s="60">
        <f>R22*H22</f>
        <v>1738.7955940981026</v>
      </c>
      <c r="Q22" s="60">
        <f>P22/1000</f>
        <v>1.7387955940981026</v>
      </c>
      <c r="R22" s="60">
        <f>O24</f>
        <v>7.6859638160195498</v>
      </c>
      <c r="S22" s="25"/>
      <c r="T22" s="23"/>
      <c r="U22" s="23"/>
      <c r="V22" s="23"/>
      <c r="W22" s="23"/>
      <c r="X22" s="295"/>
      <c r="Y22" s="23"/>
      <c r="Z22" s="280"/>
      <c r="AA22" s="298"/>
      <c r="AB22" s="280"/>
    </row>
    <row r="23" spans="1:28">
      <c r="A23" s="290" t="s">
        <v>208</v>
      </c>
      <c r="B23" s="15"/>
      <c r="C23" s="15"/>
      <c r="D23" s="16"/>
      <c r="E23" s="16"/>
      <c r="F23" s="16"/>
      <c r="G23" s="14"/>
      <c r="H23" s="14"/>
      <c r="I23" s="14"/>
      <c r="J23" s="14"/>
      <c r="K23" s="14"/>
      <c r="L23" s="14"/>
      <c r="M23" s="13"/>
      <c r="N23" s="14"/>
      <c r="O23" s="14"/>
      <c r="P23" s="16"/>
      <c r="Q23" s="16"/>
      <c r="R23" s="16"/>
      <c r="S23" s="16"/>
      <c r="T23" s="16"/>
      <c r="U23" s="16"/>
      <c r="V23" s="16"/>
      <c r="W23" s="16"/>
      <c r="X23" s="293">
        <f>R27/O24</f>
        <v>0.66999999999999971</v>
      </c>
      <c r="Y23" s="26"/>
      <c r="Z23" s="278" t="s">
        <v>62</v>
      </c>
      <c r="AA23" s="296">
        <v>1</v>
      </c>
      <c r="AB23" s="278">
        <v>15</v>
      </c>
    </row>
    <row r="24" spans="1:28" ht="17.5">
      <c r="A24" s="291"/>
      <c r="B24" s="15"/>
      <c r="C24" s="15">
        <v>16</v>
      </c>
      <c r="D24" s="27" t="s">
        <v>45</v>
      </c>
      <c r="E24" s="203" t="s">
        <v>128</v>
      </c>
      <c r="F24" s="28" t="s">
        <v>44</v>
      </c>
      <c r="G24" s="14"/>
      <c r="H24" s="47">
        <v>226.23</v>
      </c>
      <c r="I24" s="14"/>
      <c r="J24" s="14">
        <f>O24/O$24</f>
        <v>1</v>
      </c>
      <c r="K24" s="14"/>
      <c r="L24" s="27">
        <f>O24*H24</f>
        <v>1738.7955940981026</v>
      </c>
      <c r="M24" s="76">
        <f>L24/1000</f>
        <v>1.7387955940981026</v>
      </c>
      <c r="N24" s="14"/>
      <c r="O24" s="27">
        <v>7.6859638160195498</v>
      </c>
      <c r="P24" s="19"/>
      <c r="Q24" s="19"/>
      <c r="R24" s="16"/>
      <c r="S24" s="14"/>
      <c r="T24" s="16"/>
      <c r="U24" s="16"/>
      <c r="V24" s="16"/>
      <c r="W24" s="16"/>
      <c r="X24" s="294"/>
      <c r="Y24" s="29"/>
      <c r="Z24" s="279"/>
      <c r="AA24" s="296"/>
      <c r="AB24" s="279"/>
    </row>
    <row r="25" spans="1:28" ht="17.5">
      <c r="A25" s="291"/>
      <c r="B25" s="20"/>
      <c r="C25" s="20"/>
      <c r="D25" s="17" t="s">
        <v>133</v>
      </c>
      <c r="E25" s="17" t="s">
        <v>46</v>
      </c>
      <c r="F25" s="35" t="s">
        <v>47</v>
      </c>
      <c r="G25" s="17"/>
      <c r="H25" s="21">
        <v>32.04</v>
      </c>
      <c r="I25" s="21">
        <v>0.79100000000000004</v>
      </c>
      <c r="J25" s="14">
        <f t="shared" ref="J25:J26" si="12">O25/O$24</f>
        <v>100.69427457065296</v>
      </c>
      <c r="K25" s="21"/>
      <c r="L25" s="56">
        <f>O25*H25</f>
        <v>24796.798928605251</v>
      </c>
      <c r="M25" s="14">
        <f t="shared" ref="M25:M26" si="13">L25/1000</f>
        <v>24.796798928605252</v>
      </c>
      <c r="N25" s="21">
        <f>L25/I25</f>
        <v>31348.671211890327</v>
      </c>
      <c r="O25" s="21">
        <f>O24*J11</f>
        <v>773.93255083037616</v>
      </c>
      <c r="P25" s="21"/>
      <c r="Q25" s="21"/>
      <c r="R25" s="21"/>
      <c r="S25" s="21">
        <f>6297.14 * 0.078</f>
        <v>491.17692000000005</v>
      </c>
      <c r="T25" s="17" t="s">
        <v>48</v>
      </c>
      <c r="U25" s="21">
        <f>S25/((I25*20000)/H25)</f>
        <v>0.99477297830594191</v>
      </c>
      <c r="V25" s="17" t="s">
        <v>49</v>
      </c>
      <c r="W25" s="16" t="s">
        <v>50</v>
      </c>
      <c r="X25" s="294"/>
      <c r="Y25" s="30">
        <f>U25*O25</f>
        <v>769.88718859744802</v>
      </c>
      <c r="Z25" s="279"/>
      <c r="AA25" s="296"/>
      <c r="AB25" s="279"/>
    </row>
    <row r="26" spans="1:28" ht="17.5">
      <c r="A26" s="291"/>
      <c r="B26" s="15"/>
      <c r="C26" s="15"/>
      <c r="D26" s="16" t="s">
        <v>51</v>
      </c>
      <c r="E26" s="17" t="s">
        <v>52</v>
      </c>
      <c r="F26" s="34" t="s">
        <v>34</v>
      </c>
      <c r="G26" s="14"/>
      <c r="H26" s="14">
        <v>213.89</v>
      </c>
      <c r="I26" s="14">
        <v>3.86</v>
      </c>
      <c r="J26" s="14">
        <f t="shared" si="12"/>
        <v>1.502010138209072</v>
      </c>
      <c r="K26" s="14"/>
      <c r="L26" s="14">
        <f>O26*H26</f>
        <v>2469.23076923077</v>
      </c>
      <c r="M26" s="14">
        <f t="shared" si="13"/>
        <v>2.4692307692307698</v>
      </c>
      <c r="N26" s="14">
        <f>L26/I26</f>
        <v>639.69709047429274</v>
      </c>
      <c r="O26" s="14">
        <f>O24*J12</f>
        <v>11.544395573569451</v>
      </c>
      <c r="P26" s="16"/>
      <c r="Q26" s="16"/>
      <c r="R26" s="16"/>
      <c r="S26" s="14">
        <v>1970</v>
      </c>
      <c r="T26" s="16" t="s">
        <v>53</v>
      </c>
      <c r="U26" s="14">
        <f>S26/((I26*2500)/H26)</f>
        <v>43.664590673575127</v>
      </c>
      <c r="V26" s="16" t="s">
        <v>54</v>
      </c>
      <c r="W26" s="16" t="s">
        <v>55</v>
      </c>
      <c r="X26" s="294"/>
      <c r="Y26" s="31">
        <f>U26*O26</f>
        <v>504.08130729374261</v>
      </c>
      <c r="Z26" s="279"/>
      <c r="AA26" s="296"/>
      <c r="AB26" s="279"/>
    </row>
    <row r="27" spans="1:28" ht="17.5">
      <c r="A27" s="292"/>
      <c r="B27" s="256"/>
      <c r="C27" s="256">
        <v>11</v>
      </c>
      <c r="D27" s="23"/>
      <c r="E27" s="24" t="s">
        <v>57</v>
      </c>
      <c r="F27" s="38" t="s">
        <v>59</v>
      </c>
      <c r="G27" s="25" t="s">
        <v>132</v>
      </c>
      <c r="H27" s="25">
        <v>194.19</v>
      </c>
      <c r="I27" s="25"/>
      <c r="J27" s="25"/>
      <c r="K27" s="25"/>
      <c r="L27" s="25"/>
      <c r="M27" s="25"/>
      <c r="N27" s="25"/>
      <c r="O27" s="32"/>
      <c r="P27" s="236">
        <v>1000</v>
      </c>
      <c r="Q27" s="239">
        <f>P27/1000</f>
        <v>1</v>
      </c>
      <c r="R27" s="236">
        <f>P27/H27</f>
        <v>5.1495957567330963</v>
      </c>
      <c r="S27" s="25"/>
      <c r="T27" s="23"/>
      <c r="U27" s="23"/>
      <c r="V27" s="23"/>
      <c r="W27" s="23"/>
      <c r="X27" s="295"/>
      <c r="Y27" s="33"/>
      <c r="Z27" s="218" t="s">
        <v>137</v>
      </c>
      <c r="AA27" s="296"/>
      <c r="AB27" s="218" t="s">
        <v>138</v>
      </c>
    </row>
    <row r="28" spans="1:28">
      <c r="W28" s="198" t="s">
        <v>136</v>
      </c>
      <c r="X28" s="184">
        <f>X18*X23</f>
        <v>0.66999999999999971</v>
      </c>
      <c r="Y28" s="255">
        <f>(SUM(Y18:Y21)+SUM(Y25:Y26))/10</f>
        <v>349.01800649093832</v>
      </c>
    </row>
    <row r="30" spans="1:28">
      <c r="A30" s="259" t="s">
        <v>124</v>
      </c>
      <c r="B30" s="260"/>
      <c r="C30" s="260"/>
      <c r="D30" s="261"/>
    </row>
    <row r="31" spans="1:28">
      <c r="A31" s="10" t="s">
        <v>65</v>
      </c>
      <c r="B31" s="10" t="s">
        <v>5</v>
      </c>
      <c r="C31" s="10" t="s">
        <v>66</v>
      </c>
      <c r="D31" s="10" t="s">
        <v>67</v>
      </c>
      <c r="Q31" s="81"/>
    </row>
    <row r="32" spans="1:28">
      <c r="A32" s="291" t="s">
        <v>207</v>
      </c>
      <c r="B32" s="65" t="s">
        <v>190</v>
      </c>
      <c r="C32" s="66">
        <f>M18</f>
        <v>7.0541326431859233</v>
      </c>
      <c r="D32" s="72"/>
      <c r="Q32" s="81"/>
      <c r="R32" s="52"/>
      <c r="S32" s="52"/>
    </row>
    <row r="33" spans="1:19">
      <c r="A33" s="291"/>
      <c r="B33" s="67" t="s">
        <v>47</v>
      </c>
      <c r="C33" s="30">
        <f>M21</f>
        <v>27.826570069473441</v>
      </c>
      <c r="D33" s="73"/>
      <c r="R33" s="52"/>
      <c r="S33" s="52"/>
    </row>
    <row r="34" spans="1:19">
      <c r="A34" s="291"/>
      <c r="B34" s="216" t="s">
        <v>34</v>
      </c>
      <c r="C34" s="30">
        <f>M20+M19</f>
        <v>1.9782241542847483</v>
      </c>
      <c r="D34" s="73"/>
      <c r="R34" s="63"/>
      <c r="S34" s="52"/>
    </row>
    <row r="35" spans="1:19">
      <c r="A35" s="291"/>
      <c r="B35" s="78" t="s">
        <v>68</v>
      </c>
      <c r="C35" s="30">
        <f>0</f>
        <v>0</v>
      </c>
      <c r="D35" s="22"/>
      <c r="R35" s="52"/>
      <c r="S35" s="63"/>
    </row>
    <row r="36" spans="1:19">
      <c r="A36" s="292"/>
      <c r="B36" s="79" t="s">
        <v>44</v>
      </c>
      <c r="C36" s="68" t="s">
        <v>69</v>
      </c>
      <c r="D36" s="70">
        <f>Q22</f>
        <v>1.7387955940981026</v>
      </c>
      <c r="R36" s="52"/>
      <c r="S36" s="52"/>
    </row>
    <row r="37" spans="1:19">
      <c r="A37" s="299" t="s">
        <v>56</v>
      </c>
      <c r="B37" s="69" t="s">
        <v>44</v>
      </c>
      <c r="C37" s="66">
        <f>M24</f>
        <v>1.7387955940981026</v>
      </c>
      <c r="D37" s="72"/>
    </row>
    <row r="38" spans="1:19">
      <c r="A38" s="291"/>
      <c r="B38" s="67" t="s">
        <v>47</v>
      </c>
      <c r="C38" s="30">
        <f>M25</f>
        <v>24.796798928605252</v>
      </c>
      <c r="D38" s="73"/>
    </row>
    <row r="39" spans="1:19">
      <c r="A39" s="291"/>
      <c r="B39" s="216" t="s">
        <v>34</v>
      </c>
      <c r="C39" s="30">
        <f>M26</f>
        <v>2.4692307692307698</v>
      </c>
      <c r="D39" s="73"/>
      <c r="F39" s="81"/>
    </row>
    <row r="40" spans="1:19">
      <c r="A40" s="291"/>
      <c r="B40" s="78" t="s">
        <v>68</v>
      </c>
      <c r="C40" s="30">
        <f>0</f>
        <v>0</v>
      </c>
      <c r="D40" s="22"/>
    </row>
    <row r="41" spans="1:19">
      <c r="A41" s="292"/>
      <c r="B41" s="80" t="s">
        <v>191</v>
      </c>
      <c r="C41" s="68" t="s">
        <v>69</v>
      </c>
      <c r="D41" s="70">
        <f>Q27</f>
        <v>1</v>
      </c>
    </row>
    <row r="58" spans="1:28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</row>
    <row r="59" spans="1:28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</row>
    <row r="60" spans="1:28">
      <c r="A60" s="272" t="s">
        <v>135</v>
      </c>
      <c r="B60" s="273"/>
      <c r="C60" s="273"/>
      <c r="D60" s="273"/>
      <c r="E60" s="273"/>
      <c r="F60" s="273"/>
      <c r="G60" s="273"/>
      <c r="H60" s="273"/>
      <c r="I60" s="273"/>
      <c r="J60" s="273"/>
      <c r="K60" s="273"/>
      <c r="L60" s="273"/>
      <c r="M60" s="273"/>
      <c r="N60" s="273"/>
      <c r="O60" s="273"/>
      <c r="P60" s="273"/>
      <c r="Q60" s="273"/>
      <c r="R60" s="273"/>
      <c r="S60" s="273"/>
      <c r="T60" s="273"/>
      <c r="U60" s="273"/>
      <c r="V60" s="273"/>
      <c r="W60" s="273"/>
      <c r="X60" s="273"/>
      <c r="Y60" s="273"/>
      <c r="Z60" s="273"/>
      <c r="AA60" s="273"/>
      <c r="AB60" s="274"/>
    </row>
    <row r="61" spans="1:28">
      <c r="A61" s="1" t="s">
        <v>0</v>
      </c>
      <c r="B61" s="2" t="s">
        <v>1</v>
      </c>
      <c r="C61" s="3" t="s">
        <v>2</v>
      </c>
      <c r="D61" s="4" t="s">
        <v>3</v>
      </c>
      <c r="E61" s="5" t="s">
        <v>4</v>
      </c>
      <c r="F61" s="5" t="s">
        <v>5</v>
      </c>
      <c r="G61" s="5" t="s">
        <v>6</v>
      </c>
      <c r="H61" s="6" t="s">
        <v>7</v>
      </c>
      <c r="I61" s="1" t="s">
        <v>8</v>
      </c>
      <c r="J61" s="1" t="s">
        <v>9</v>
      </c>
      <c r="K61" s="1" t="s">
        <v>10</v>
      </c>
      <c r="L61" s="6" t="s">
        <v>11</v>
      </c>
      <c r="M61" s="7" t="s">
        <v>12</v>
      </c>
      <c r="N61" s="1" t="s">
        <v>13</v>
      </c>
      <c r="O61" s="6" t="s">
        <v>14</v>
      </c>
      <c r="P61" s="6" t="s">
        <v>15</v>
      </c>
      <c r="Q61" s="7" t="s">
        <v>16</v>
      </c>
      <c r="R61" s="1" t="s">
        <v>17</v>
      </c>
      <c r="S61" s="1" t="s">
        <v>18</v>
      </c>
      <c r="T61" s="1" t="s">
        <v>19</v>
      </c>
      <c r="U61" s="1" t="s">
        <v>20</v>
      </c>
      <c r="V61" s="8" t="s">
        <v>21</v>
      </c>
      <c r="W61" s="1" t="s">
        <v>22</v>
      </c>
      <c r="X61" s="1" t="s">
        <v>23</v>
      </c>
      <c r="Y61" s="1" t="s">
        <v>24</v>
      </c>
      <c r="Z61" s="9" t="s">
        <v>25</v>
      </c>
      <c r="AA61" s="1" t="s">
        <v>26</v>
      </c>
      <c r="AB61" s="10" t="s">
        <v>27</v>
      </c>
    </row>
    <row r="62" spans="1:28" ht="17.5">
      <c r="A62" s="291" t="s">
        <v>207</v>
      </c>
      <c r="B62" s="41">
        <v>15</v>
      </c>
      <c r="C62" s="41"/>
      <c r="D62" s="43" t="s">
        <v>38</v>
      </c>
      <c r="E62" s="44" t="s">
        <v>39</v>
      </c>
      <c r="F62" s="36" t="s">
        <v>190</v>
      </c>
      <c r="G62" s="47"/>
      <c r="H62" s="46">
        <v>92.09</v>
      </c>
      <c r="I62" s="47">
        <v>1.25</v>
      </c>
      <c r="J62" s="47">
        <f>O62/O$63</f>
        <v>9.9662737761622715</v>
      </c>
      <c r="K62" s="47"/>
      <c r="L62" s="49">
        <f>O62*H62</f>
        <v>29245.278147231773</v>
      </c>
      <c r="M62" s="75">
        <f t="shared" ref="M62" si="14">L62/1000</f>
        <v>29.245278147231772</v>
      </c>
      <c r="N62" s="47">
        <f>L62/I62</f>
        <v>23396.22251778542</v>
      </c>
      <c r="O62" s="49">
        <f>O63*J4</f>
        <v>317.57278908927975</v>
      </c>
      <c r="P62" s="48"/>
      <c r="Q62" s="48"/>
      <c r="R62" s="45"/>
      <c r="S62" s="47">
        <v>5000</v>
      </c>
      <c r="T62" s="45" t="s">
        <v>61</v>
      </c>
      <c r="U62" s="47">
        <f>S62/((I62*200000)/H62)</f>
        <v>1.8418000000000001</v>
      </c>
      <c r="V62" s="54" t="s">
        <v>60</v>
      </c>
      <c r="W62" s="45" t="s">
        <v>40</v>
      </c>
      <c r="X62" s="294">
        <f>R66/O63</f>
        <v>1</v>
      </c>
      <c r="Y62" s="47">
        <f t="shared" ref="Y62:Y63" si="15">U62*O62</f>
        <v>584.90556294463545</v>
      </c>
      <c r="Z62" s="279" t="s">
        <v>62</v>
      </c>
      <c r="AA62" s="297">
        <v>1</v>
      </c>
      <c r="AB62" s="279">
        <v>15</v>
      </c>
    </row>
    <row r="63" spans="1:28" ht="17.5">
      <c r="A63" s="291"/>
      <c r="B63" s="41"/>
      <c r="C63" s="41"/>
      <c r="D63" s="204" t="s">
        <v>28</v>
      </c>
      <c r="E63" s="44" t="s">
        <v>29</v>
      </c>
      <c r="F63" s="37" t="s">
        <v>34</v>
      </c>
      <c r="G63" s="45"/>
      <c r="H63" s="46">
        <v>170.59</v>
      </c>
      <c r="I63" s="47">
        <v>1.21</v>
      </c>
      <c r="J63" s="47">
        <f>O63/O$63</f>
        <v>1</v>
      </c>
      <c r="K63" s="45"/>
      <c r="L63" s="46">
        <f>O63*H63</f>
        <v>5435.8071338876443</v>
      </c>
      <c r="M63" s="205">
        <f>L63/1000</f>
        <v>5.4358071338876446</v>
      </c>
      <c r="N63" s="205">
        <f>L63/I63</f>
        <v>4492.4025899897888</v>
      </c>
      <c r="O63" s="205">
        <f>R66</f>
        <v>31.864746666789639</v>
      </c>
      <c r="P63" s="48"/>
      <c r="Q63" s="48"/>
      <c r="R63" s="45"/>
      <c r="S63" s="47">
        <v>157</v>
      </c>
      <c r="T63" s="45" t="s">
        <v>30</v>
      </c>
      <c r="U63" s="14">
        <f>S63/((I63*250)/H63)</f>
        <v>88.537619834710739</v>
      </c>
      <c r="V63" s="45">
        <v>8146880250</v>
      </c>
      <c r="W63" s="44" t="s">
        <v>31</v>
      </c>
      <c r="X63" s="294"/>
      <c r="Y63" s="47">
        <f t="shared" si="15"/>
        <v>2821.2288265135871</v>
      </c>
      <c r="Z63" s="279"/>
      <c r="AA63" s="297"/>
      <c r="AB63" s="279"/>
    </row>
    <row r="64" spans="1:28" ht="17.5">
      <c r="A64" s="291"/>
      <c r="B64" s="15"/>
      <c r="C64" s="15"/>
      <c r="D64" s="16" t="s">
        <v>32</v>
      </c>
      <c r="E64" s="17" t="s">
        <v>33</v>
      </c>
      <c r="F64" s="37" t="s">
        <v>34</v>
      </c>
      <c r="G64" s="16"/>
      <c r="H64" s="14">
        <v>79.099999999999994</v>
      </c>
      <c r="I64" s="14">
        <v>0.97799999999999998</v>
      </c>
      <c r="J64" s="47">
        <f>O64/O$63</f>
        <v>1.0972364539667756</v>
      </c>
      <c r="K64" s="16"/>
      <c r="L64" s="14">
        <f>O64*H64</f>
        <v>2765.5860856621352</v>
      </c>
      <c r="M64" s="14">
        <f>L64/1000</f>
        <v>2.765586085662135</v>
      </c>
      <c r="N64" s="14">
        <f>L64/I64</f>
        <v>2827.7976336013653</v>
      </c>
      <c r="O64" s="14">
        <f>O63*J6</f>
        <v>34.963161639217894</v>
      </c>
      <c r="P64" s="19"/>
      <c r="Q64" s="19"/>
      <c r="R64" s="16"/>
      <c r="S64" s="14">
        <v>879</v>
      </c>
      <c r="T64" s="16" t="s">
        <v>35</v>
      </c>
      <c r="U64" s="14">
        <f>S64/((I64*8000)/H64)</f>
        <v>8.8866180981595093</v>
      </c>
      <c r="V64" s="17" t="s">
        <v>36</v>
      </c>
      <c r="W64" s="16" t="s">
        <v>37</v>
      </c>
      <c r="X64" s="294"/>
      <c r="Y64" s="47">
        <f>U64*O64</f>
        <v>310.70426499195003</v>
      </c>
      <c r="Z64" s="279"/>
      <c r="AA64" s="297"/>
      <c r="AB64" s="279"/>
    </row>
    <row r="65" spans="1:30" ht="17.5">
      <c r="A65" s="291"/>
      <c r="B65" s="51"/>
      <c r="C65" s="20"/>
      <c r="D65" s="17" t="s">
        <v>41</v>
      </c>
      <c r="E65" s="17" t="s">
        <v>42</v>
      </c>
      <c r="F65" s="35" t="s">
        <v>47</v>
      </c>
      <c r="G65" s="17"/>
      <c r="H65" s="21">
        <v>88.11</v>
      </c>
      <c r="I65" s="21">
        <v>0.90200000000000002</v>
      </c>
      <c r="J65" s="47">
        <f>O65/O$63</f>
        <v>41.09</v>
      </c>
      <c r="K65" s="17"/>
      <c r="L65" s="21">
        <f>O65*H65</f>
        <v>115364.40023583722</v>
      </c>
      <c r="M65" s="14">
        <f t="shared" ref="M65" si="16">L65/1000</f>
        <v>115.36440023583722</v>
      </c>
      <c r="N65" s="21">
        <f>L65/I65</f>
        <v>127898.44815503017</v>
      </c>
      <c r="O65" s="21">
        <f>O63*J7</f>
        <v>1309.3224405383864</v>
      </c>
      <c r="P65" s="17"/>
      <c r="Q65" s="17"/>
      <c r="R65" s="17"/>
      <c r="S65" s="21">
        <v>770</v>
      </c>
      <c r="T65" s="17" t="s">
        <v>63</v>
      </c>
      <c r="U65" s="21">
        <f>S65/((I65*18000)/H65)</f>
        <v>4.1786585365853659</v>
      </c>
      <c r="V65" s="17" t="s">
        <v>64</v>
      </c>
      <c r="W65" s="17" t="s">
        <v>43</v>
      </c>
      <c r="X65" s="294"/>
      <c r="Y65" s="53">
        <f t="shared" ref="Y65" si="17">U65*O65</f>
        <v>5471.2113932985139</v>
      </c>
      <c r="Z65" s="279"/>
      <c r="AA65" s="297"/>
      <c r="AB65" s="279"/>
    </row>
    <row r="66" spans="1:30" ht="17.5">
      <c r="A66" s="292"/>
      <c r="B66" s="256"/>
      <c r="C66" s="256">
        <v>16</v>
      </c>
      <c r="D66" s="23"/>
      <c r="E66" s="58" t="s">
        <v>128</v>
      </c>
      <c r="F66" s="59" t="s">
        <v>44</v>
      </c>
      <c r="G66" s="60" t="s">
        <v>45</v>
      </c>
      <c r="H66" s="25">
        <v>226.23</v>
      </c>
      <c r="I66" s="23"/>
      <c r="J66" s="25"/>
      <c r="K66" s="23"/>
      <c r="L66" s="25"/>
      <c r="M66" s="14"/>
      <c r="N66" s="25"/>
      <c r="O66" s="25"/>
      <c r="P66" s="60">
        <f>R66*H66</f>
        <v>7208.7616384278199</v>
      </c>
      <c r="Q66" s="62">
        <f>P66/1000</f>
        <v>7.2087616384278199</v>
      </c>
      <c r="R66" s="60">
        <f>O68</f>
        <v>31.864746666789639</v>
      </c>
      <c r="S66" s="25"/>
      <c r="T66" s="23"/>
      <c r="U66" s="23"/>
      <c r="V66" s="23"/>
      <c r="W66" s="23"/>
      <c r="X66" s="295"/>
      <c r="Y66" s="23"/>
      <c r="Z66" s="280"/>
      <c r="AA66" s="298"/>
      <c r="AB66" s="280"/>
    </row>
    <row r="67" spans="1:30">
      <c r="A67" s="290" t="s">
        <v>208</v>
      </c>
      <c r="B67" s="15"/>
      <c r="C67" s="15"/>
      <c r="D67" s="16"/>
      <c r="E67" s="16"/>
      <c r="F67" s="16"/>
      <c r="G67" s="14"/>
      <c r="H67" s="14"/>
      <c r="I67" s="14"/>
      <c r="J67" s="14"/>
      <c r="K67" s="14"/>
      <c r="L67" s="14"/>
      <c r="M67" s="13"/>
      <c r="N67" s="14"/>
      <c r="O67" s="14"/>
      <c r="P67" s="16"/>
      <c r="Q67" s="16"/>
      <c r="R67" s="16"/>
      <c r="S67" s="16"/>
      <c r="T67" s="16"/>
      <c r="U67" s="16"/>
      <c r="V67" s="16"/>
      <c r="W67" s="16"/>
      <c r="X67" s="293">
        <f>R71/O68</f>
        <v>0.67</v>
      </c>
      <c r="Y67" s="26"/>
      <c r="Z67" s="278" t="s">
        <v>62</v>
      </c>
      <c r="AA67" s="296">
        <v>1</v>
      </c>
      <c r="AB67" s="278">
        <v>15</v>
      </c>
    </row>
    <row r="68" spans="1:30" ht="17.5">
      <c r="A68" s="291"/>
      <c r="B68" s="15"/>
      <c r="C68" s="15">
        <v>16</v>
      </c>
      <c r="D68" s="27" t="s">
        <v>45</v>
      </c>
      <c r="E68" s="203" t="s">
        <v>128</v>
      </c>
      <c r="F68" s="28" t="s">
        <v>44</v>
      </c>
      <c r="G68" s="14"/>
      <c r="H68" s="47">
        <v>226.23</v>
      </c>
      <c r="I68" s="14"/>
      <c r="J68" s="14">
        <f>O68/O$68</f>
        <v>1</v>
      </c>
      <c r="K68" s="14"/>
      <c r="L68" s="27">
        <f>O68*H68</f>
        <v>7208.7616384278199</v>
      </c>
      <c r="M68" s="76">
        <f>L68/1000</f>
        <v>7.2087616384278199</v>
      </c>
      <c r="N68" s="14"/>
      <c r="O68" s="27">
        <v>31.864746666789639</v>
      </c>
      <c r="P68" s="19"/>
      <c r="Q68" s="19"/>
      <c r="R68" s="16"/>
      <c r="S68" s="14"/>
      <c r="T68" s="16"/>
      <c r="U68" s="16"/>
      <c r="V68" s="16"/>
      <c r="W68" s="16"/>
      <c r="X68" s="294"/>
      <c r="Y68" s="29"/>
      <c r="Z68" s="279"/>
      <c r="AA68" s="296"/>
      <c r="AB68" s="279"/>
    </row>
    <row r="69" spans="1:30" ht="17.5">
      <c r="A69" s="291"/>
      <c r="B69" s="20"/>
      <c r="C69" s="20"/>
      <c r="D69" s="17" t="s">
        <v>133</v>
      </c>
      <c r="E69" s="17" t="s">
        <v>46</v>
      </c>
      <c r="F69" s="35" t="s">
        <v>47</v>
      </c>
      <c r="G69" s="17"/>
      <c r="H69" s="21">
        <v>32.04</v>
      </c>
      <c r="I69" s="21">
        <v>0.79100000000000004</v>
      </c>
      <c r="J69" s="14">
        <f t="shared" ref="J69:J70" si="18">O69/O$68</f>
        <v>100.69427457065296</v>
      </c>
      <c r="K69" s="21"/>
      <c r="L69" s="56">
        <f>O69*H69</f>
        <v>102803.46550168007</v>
      </c>
      <c r="M69" s="14">
        <f t="shared" ref="M69:M70" si="19">L69/1000</f>
        <v>102.80346550168007</v>
      </c>
      <c r="N69" s="21">
        <f>L69/I69</f>
        <v>129966.45449011386</v>
      </c>
      <c r="O69" s="21">
        <f>O68*J11</f>
        <v>3208.5975499900146</v>
      </c>
      <c r="P69" s="21"/>
      <c r="Q69" s="21"/>
      <c r="R69" s="21"/>
      <c r="S69" s="21">
        <f>6297.14 * 0.078</f>
        <v>491.17692000000005</v>
      </c>
      <c r="T69" s="17" t="s">
        <v>48</v>
      </c>
      <c r="U69" s="21">
        <f>S69/((I69*20000)/H69)</f>
        <v>0.99477297830594191</v>
      </c>
      <c r="V69" s="17" t="s">
        <v>49</v>
      </c>
      <c r="W69" s="16" t="s">
        <v>50</v>
      </c>
      <c r="X69" s="294"/>
      <c r="Y69" s="30">
        <f>U69*O69</f>
        <v>3191.826140988715</v>
      </c>
      <c r="Z69" s="279"/>
      <c r="AA69" s="296"/>
      <c r="AB69" s="279"/>
    </row>
    <row r="70" spans="1:30" ht="17.5">
      <c r="A70" s="291"/>
      <c r="B70" s="15"/>
      <c r="C70" s="15"/>
      <c r="D70" s="16" t="s">
        <v>51</v>
      </c>
      <c r="E70" s="17" t="s">
        <v>52</v>
      </c>
      <c r="F70" s="34" t="s">
        <v>34</v>
      </c>
      <c r="G70" s="14"/>
      <c r="H70" s="14">
        <v>213.89</v>
      </c>
      <c r="I70" s="14">
        <v>3.86</v>
      </c>
      <c r="J70" s="14">
        <f t="shared" si="18"/>
        <v>1.502010138209072</v>
      </c>
      <c r="K70" s="14"/>
      <c r="L70" s="14">
        <f>O70*H70</f>
        <v>10237.026195646151</v>
      </c>
      <c r="M70" s="14">
        <f t="shared" si="19"/>
        <v>10.23702619564615</v>
      </c>
      <c r="N70" s="14">
        <f>L70/I70</f>
        <v>2652.0793252969302</v>
      </c>
      <c r="O70" s="14">
        <f>O68*J12</f>
        <v>47.86117254498177</v>
      </c>
      <c r="P70" s="16"/>
      <c r="Q70" s="16"/>
      <c r="R70" s="16"/>
      <c r="S70" s="14">
        <v>1970</v>
      </c>
      <c r="T70" s="16" t="s">
        <v>53</v>
      </c>
      <c r="U70" s="14">
        <f>S70/((I70*2500)/H70)</f>
        <v>43.664590673575127</v>
      </c>
      <c r="V70" s="16" t="s">
        <v>54</v>
      </c>
      <c r="W70" s="16" t="s">
        <v>55</v>
      </c>
      <c r="X70" s="294"/>
      <c r="Y70" s="31">
        <f>U70*O70</f>
        <v>2089.8385083339808</v>
      </c>
      <c r="Z70" s="279"/>
      <c r="AA70" s="296"/>
      <c r="AB70" s="279"/>
    </row>
    <row r="71" spans="1:30" ht="17.5">
      <c r="A71" s="292"/>
      <c r="B71" s="256"/>
      <c r="C71" s="256">
        <v>11</v>
      </c>
      <c r="D71" s="23"/>
      <c r="E71" s="24" t="s">
        <v>57</v>
      </c>
      <c r="F71" s="38" t="s">
        <v>59</v>
      </c>
      <c r="G71" s="25" t="s">
        <v>58</v>
      </c>
      <c r="H71" s="25">
        <v>194.19</v>
      </c>
      <c r="I71" s="25"/>
      <c r="J71" s="25"/>
      <c r="K71" s="25"/>
      <c r="L71" s="25"/>
      <c r="M71" s="25"/>
      <c r="N71" s="25"/>
      <c r="O71" s="32"/>
      <c r="P71" s="238">
        <v>4145.8361539999996</v>
      </c>
      <c r="Q71" s="239">
        <f>P71/1000</f>
        <v>4.1458361539999995</v>
      </c>
      <c r="R71" s="236">
        <f>P71/H71</f>
        <v>21.349380266749058</v>
      </c>
      <c r="S71" s="25"/>
      <c r="T71" s="23"/>
      <c r="U71" s="23"/>
      <c r="V71" s="23"/>
      <c r="W71" s="23"/>
      <c r="X71" s="295"/>
      <c r="Y71" s="33"/>
      <c r="Z71" s="218" t="s">
        <v>137</v>
      </c>
      <c r="AA71" s="296"/>
      <c r="AB71" s="218" t="s">
        <v>138</v>
      </c>
    </row>
    <row r="72" spans="1:30" s="114" customFormat="1">
      <c r="A72" s="113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5" t="s">
        <v>90</v>
      </c>
      <c r="Y72" s="116">
        <f>(SUM(Y62:Y65)+SUM(Y69:Y70))/10</f>
        <v>1446.9714697071381</v>
      </c>
      <c r="Z72" s="113"/>
      <c r="AA72" s="113"/>
      <c r="AB72" s="113"/>
      <c r="AD72" s="248"/>
    </row>
    <row r="73" spans="1:30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</row>
    <row r="74" spans="1:30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</row>
    <row r="75" spans="1:30">
      <c r="A75" s="272" t="s">
        <v>125</v>
      </c>
      <c r="B75" s="273"/>
      <c r="C75" s="273"/>
      <c r="D75" s="273"/>
      <c r="E75" s="273"/>
      <c r="F75" s="273"/>
      <c r="G75" s="273"/>
      <c r="H75" s="273"/>
      <c r="I75" s="273"/>
      <c r="J75" s="273"/>
      <c r="K75" s="273"/>
      <c r="L75" s="273"/>
      <c r="M75" s="273"/>
      <c r="N75" s="273"/>
      <c r="O75" s="273"/>
      <c r="P75" s="273"/>
      <c r="Q75" s="273"/>
      <c r="R75" s="273"/>
      <c r="S75" s="273"/>
      <c r="T75" s="273"/>
      <c r="U75" s="273"/>
      <c r="V75" s="273"/>
      <c r="W75" s="273"/>
      <c r="X75" s="273"/>
      <c r="Y75" s="273"/>
      <c r="Z75" s="273"/>
      <c r="AA75" s="273"/>
      <c r="AB75" s="274"/>
    </row>
    <row r="76" spans="1:30">
      <c r="A76" s="1" t="s">
        <v>0</v>
      </c>
      <c r="B76" s="2" t="s">
        <v>1</v>
      </c>
      <c r="C76" s="3" t="s">
        <v>2</v>
      </c>
      <c r="D76" s="4" t="s">
        <v>3</v>
      </c>
      <c r="E76" s="5" t="s">
        <v>4</v>
      </c>
      <c r="F76" s="5" t="s">
        <v>5</v>
      </c>
      <c r="G76" s="5" t="s">
        <v>6</v>
      </c>
      <c r="H76" s="6" t="s">
        <v>7</v>
      </c>
      <c r="I76" s="1" t="s">
        <v>8</v>
      </c>
      <c r="J76" s="1" t="s">
        <v>9</v>
      </c>
      <c r="K76" s="1" t="s">
        <v>10</v>
      </c>
      <c r="L76" s="6" t="s">
        <v>11</v>
      </c>
      <c r="M76" s="7" t="s">
        <v>12</v>
      </c>
      <c r="N76" s="1" t="s">
        <v>13</v>
      </c>
      <c r="O76" s="6" t="s">
        <v>14</v>
      </c>
      <c r="P76" s="6" t="s">
        <v>15</v>
      </c>
      <c r="Q76" s="7" t="s">
        <v>16</v>
      </c>
      <c r="R76" s="1" t="s">
        <v>17</v>
      </c>
      <c r="S76" s="1" t="s">
        <v>18</v>
      </c>
      <c r="T76" s="1" t="s">
        <v>19</v>
      </c>
      <c r="U76" s="1" t="s">
        <v>20</v>
      </c>
      <c r="V76" s="8" t="s">
        <v>21</v>
      </c>
      <c r="W76" s="1" t="s">
        <v>22</v>
      </c>
      <c r="X76" s="1" t="s">
        <v>23</v>
      </c>
      <c r="Y76" s="1" t="s">
        <v>24</v>
      </c>
      <c r="Z76" s="9" t="s">
        <v>25</v>
      </c>
      <c r="AA76" s="1" t="s">
        <v>26</v>
      </c>
      <c r="AB76" s="10" t="s">
        <v>27</v>
      </c>
    </row>
    <row r="77" spans="1:30" ht="17.5">
      <c r="A77" s="291" t="s">
        <v>207</v>
      </c>
      <c r="B77" s="41">
        <v>15</v>
      </c>
      <c r="C77" s="41"/>
      <c r="D77" s="43" t="s">
        <v>38</v>
      </c>
      <c r="E77" s="44" t="s">
        <v>39</v>
      </c>
      <c r="F77" s="36" t="s">
        <v>190</v>
      </c>
      <c r="G77" s="47"/>
      <c r="H77" s="46">
        <v>92.09</v>
      </c>
      <c r="I77" s="47">
        <v>1.25</v>
      </c>
      <c r="J77" s="47">
        <f>O77/O$78</f>
        <v>9.9662737761622715</v>
      </c>
      <c r="K77" s="47"/>
      <c r="L77" s="49">
        <f>O77*H77</f>
        <v>13.685017327780686</v>
      </c>
      <c r="M77" s="75">
        <f t="shared" ref="M77" si="20">L77/1000</f>
        <v>1.3685017327780687E-2</v>
      </c>
      <c r="N77" s="47">
        <f>L77/I77</f>
        <v>10.948013862224549</v>
      </c>
      <c r="O77" s="118">
        <f>O78*J4</f>
        <v>0.14860481407080775</v>
      </c>
      <c r="P77" s="48"/>
      <c r="Q77" s="48"/>
      <c r="R77" s="45"/>
      <c r="S77" s="47">
        <v>5000</v>
      </c>
      <c r="T77" s="45" t="s">
        <v>61</v>
      </c>
      <c r="U77" s="47">
        <f>S77/((I77*200000)/H77)</f>
        <v>1.8418000000000001</v>
      </c>
      <c r="V77" s="54" t="s">
        <v>60</v>
      </c>
      <c r="W77" s="45" t="s">
        <v>40</v>
      </c>
      <c r="X77" s="294">
        <f>R81/O78</f>
        <v>1</v>
      </c>
      <c r="Y77" s="47">
        <f t="shared" ref="Y77:Y78" si="21">U77*O77</f>
        <v>0.2737003465556137</v>
      </c>
      <c r="Z77" s="279" t="s">
        <v>62</v>
      </c>
      <c r="AA77" s="297">
        <v>1</v>
      </c>
      <c r="AB77" s="279">
        <v>15</v>
      </c>
    </row>
    <row r="78" spans="1:30" ht="17.5">
      <c r="A78" s="291"/>
      <c r="B78" s="41"/>
      <c r="C78" s="41"/>
      <c r="D78" s="204" t="s">
        <v>28</v>
      </c>
      <c r="E78" s="44" t="s">
        <v>29</v>
      </c>
      <c r="F78" s="37" t="s">
        <v>34</v>
      </c>
      <c r="G78" s="45"/>
      <c r="H78" s="46">
        <v>170.59</v>
      </c>
      <c r="I78" s="47">
        <v>1.21</v>
      </c>
      <c r="J78" s="47">
        <f>O78/O$78</f>
        <v>1</v>
      </c>
      <c r="K78" s="45"/>
      <c r="L78" s="46">
        <f>O78*H78</f>
        <v>2.5436282207070624</v>
      </c>
      <c r="M78" s="205">
        <f>L78/1000</f>
        <v>2.5436282207070625E-3</v>
      </c>
      <c r="N78" s="205">
        <f>L78/I78</f>
        <v>2.1021720832289774</v>
      </c>
      <c r="O78" s="207">
        <f>R81</f>
        <v>1.4910769803077921E-2</v>
      </c>
      <c r="P78" s="48"/>
      <c r="Q78" s="48"/>
      <c r="R78" s="45"/>
      <c r="S78" s="47">
        <v>157</v>
      </c>
      <c r="T78" s="45" t="s">
        <v>30</v>
      </c>
      <c r="U78" s="14">
        <f>S78/((I78*250)/H78)</f>
        <v>88.537619834710739</v>
      </c>
      <c r="V78" s="45">
        <v>8146880250</v>
      </c>
      <c r="W78" s="44" t="s">
        <v>31</v>
      </c>
      <c r="X78" s="294"/>
      <c r="Y78" s="47">
        <f t="shared" si="21"/>
        <v>1.3201640682677978</v>
      </c>
      <c r="Z78" s="279"/>
      <c r="AA78" s="297"/>
      <c r="AB78" s="279"/>
    </row>
    <row r="79" spans="1:30" ht="17.5">
      <c r="A79" s="291"/>
      <c r="B79" s="15"/>
      <c r="C79" s="15"/>
      <c r="D79" s="16" t="s">
        <v>32</v>
      </c>
      <c r="E79" s="17" t="s">
        <v>33</v>
      </c>
      <c r="F79" s="37" t="s">
        <v>34</v>
      </c>
      <c r="G79" s="16"/>
      <c r="H79" s="14">
        <v>79.099999999999994</v>
      </c>
      <c r="I79" s="14">
        <v>0.97799999999999998</v>
      </c>
      <c r="J79" s="47">
        <f>O79/O$78</f>
        <v>1.0972364539667756</v>
      </c>
      <c r="K79" s="16"/>
      <c r="L79" s="14">
        <f>O79*H79</f>
        <v>1.2941266386053478</v>
      </c>
      <c r="M79" s="14">
        <f>L79/1000</f>
        <v>1.2941266386053479E-3</v>
      </c>
      <c r="N79" s="14">
        <f>L79/I79</f>
        <v>1.3232378717846092</v>
      </c>
      <c r="O79" s="19">
        <f>O78*J6</f>
        <v>1.6360640184644094E-2</v>
      </c>
      <c r="P79" s="19"/>
      <c r="Q79" s="19"/>
      <c r="R79" s="16"/>
      <c r="S79" s="14">
        <v>879</v>
      </c>
      <c r="T79" s="16" t="s">
        <v>35</v>
      </c>
      <c r="U79" s="14">
        <f>S79/((I79*8000)/H79)</f>
        <v>8.8866180981595093</v>
      </c>
      <c r="V79" s="17" t="s">
        <v>36</v>
      </c>
      <c r="W79" s="16" t="s">
        <v>37</v>
      </c>
      <c r="X79" s="294"/>
      <c r="Y79" s="47">
        <f>U79*O79</f>
        <v>0.14539076116233393</v>
      </c>
      <c r="Z79" s="279"/>
      <c r="AA79" s="297"/>
      <c r="AB79" s="279"/>
    </row>
    <row r="80" spans="1:30" ht="17.5">
      <c r="A80" s="291"/>
      <c r="B80" s="51"/>
      <c r="C80" s="20"/>
      <c r="D80" s="17" t="s">
        <v>41</v>
      </c>
      <c r="E80" s="17" t="s">
        <v>42</v>
      </c>
      <c r="F80" s="35" t="s">
        <v>47</v>
      </c>
      <c r="G80" s="17"/>
      <c r="H80" s="21">
        <v>88.11</v>
      </c>
      <c r="I80" s="21">
        <v>0.90200000000000002</v>
      </c>
      <c r="J80" s="47">
        <f>O80/O$78</f>
        <v>41.09</v>
      </c>
      <c r="K80" s="17"/>
      <c r="L80" s="21">
        <f>O80*H80</f>
        <v>53.983545934778455</v>
      </c>
      <c r="M80" s="14">
        <f t="shared" ref="M80" si="22">L80/1000</f>
        <v>5.3983545934778457E-2</v>
      </c>
      <c r="N80" s="21">
        <f>L80/I80</f>
        <v>59.848720548534871</v>
      </c>
      <c r="O80" s="77">
        <f>O78*J7</f>
        <v>0.61268353120847185</v>
      </c>
      <c r="P80" s="17"/>
      <c r="Q80" s="17"/>
      <c r="R80" s="17"/>
      <c r="S80" s="21">
        <v>770</v>
      </c>
      <c r="T80" s="17" t="s">
        <v>63</v>
      </c>
      <c r="U80" s="21">
        <f>S80/((I80*18000)/H80)</f>
        <v>4.1786585365853659</v>
      </c>
      <c r="V80" s="17" t="s">
        <v>64</v>
      </c>
      <c r="W80" s="17" t="s">
        <v>43</v>
      </c>
      <c r="X80" s="294"/>
      <c r="Y80" s="53">
        <f t="shared" ref="Y80" si="23">U80*O80</f>
        <v>2.5601952679095472</v>
      </c>
      <c r="Z80" s="279"/>
      <c r="AA80" s="297"/>
      <c r="AB80" s="279"/>
    </row>
    <row r="81" spans="1:28" ht="17.5">
      <c r="A81" s="292"/>
      <c r="B81" s="256"/>
      <c r="C81" s="256">
        <v>16</v>
      </c>
      <c r="D81" s="23"/>
      <c r="E81" s="58" t="s">
        <v>128</v>
      </c>
      <c r="F81" s="59" t="s">
        <v>44</v>
      </c>
      <c r="G81" s="60" t="s">
        <v>45</v>
      </c>
      <c r="H81" s="25">
        <v>226.23</v>
      </c>
      <c r="I81" s="23"/>
      <c r="J81" s="25"/>
      <c r="K81" s="23"/>
      <c r="L81" s="25"/>
      <c r="M81" s="14"/>
      <c r="N81" s="25"/>
      <c r="O81" s="32"/>
      <c r="P81" s="60">
        <f>R81*H81</f>
        <v>3.3732634525503178</v>
      </c>
      <c r="Q81" s="62">
        <f>P81/1000</f>
        <v>3.3732634525503176E-3</v>
      </c>
      <c r="R81" s="87">
        <f>O83</f>
        <v>1.4910769803077921E-2</v>
      </c>
      <c r="S81" s="25"/>
      <c r="T81" s="23"/>
      <c r="U81" s="23"/>
      <c r="V81" s="23"/>
      <c r="W81" s="23"/>
      <c r="X81" s="295"/>
      <c r="Y81" s="23"/>
      <c r="Z81" s="280"/>
      <c r="AA81" s="298"/>
      <c r="AB81" s="280"/>
    </row>
    <row r="82" spans="1:28">
      <c r="A82" s="290" t="s">
        <v>208</v>
      </c>
      <c r="B82" s="15"/>
      <c r="C82" s="15"/>
      <c r="D82" s="16"/>
      <c r="E82" s="16"/>
      <c r="F82" s="16"/>
      <c r="G82" s="14"/>
      <c r="H82" s="14"/>
      <c r="I82" s="14"/>
      <c r="J82" s="14"/>
      <c r="K82" s="14"/>
      <c r="L82" s="14"/>
      <c r="M82" s="13"/>
      <c r="N82" s="14"/>
      <c r="O82" s="19"/>
      <c r="P82" s="16"/>
      <c r="Q82" s="16"/>
      <c r="R82" s="16"/>
      <c r="S82" s="16"/>
      <c r="T82" s="16"/>
      <c r="U82" s="16"/>
      <c r="V82" s="16"/>
      <c r="W82" s="16"/>
      <c r="X82" s="293">
        <f>R86/O83</f>
        <v>0.67</v>
      </c>
      <c r="Y82" s="26"/>
      <c r="Z82" s="278" t="s">
        <v>62</v>
      </c>
      <c r="AA82" s="296">
        <v>1</v>
      </c>
      <c r="AB82" s="278">
        <v>15</v>
      </c>
    </row>
    <row r="83" spans="1:28" ht="17.5">
      <c r="A83" s="291"/>
      <c r="B83" s="15"/>
      <c r="C83" s="15">
        <v>16</v>
      </c>
      <c r="D83" s="27" t="s">
        <v>45</v>
      </c>
      <c r="E83" s="203" t="s">
        <v>128</v>
      </c>
      <c r="F83" s="28" t="s">
        <v>44</v>
      </c>
      <c r="G83" s="14"/>
      <c r="H83" s="39">
        <v>226.23</v>
      </c>
      <c r="I83" s="14"/>
      <c r="J83" s="14">
        <f>O83/O$83</f>
        <v>1</v>
      </c>
      <c r="K83" s="14"/>
      <c r="L83" s="27">
        <f>O83*H83</f>
        <v>3.3732634525503178</v>
      </c>
      <c r="M83" s="76">
        <f>L83/1000</f>
        <v>3.3732634525503176E-3</v>
      </c>
      <c r="N83" s="14"/>
      <c r="O83" s="117">
        <v>1.4910769803077921E-2</v>
      </c>
      <c r="P83" s="19"/>
      <c r="Q83" s="19"/>
      <c r="R83" s="16"/>
      <c r="S83" s="14"/>
      <c r="T83" s="16"/>
      <c r="U83" s="16"/>
      <c r="V83" s="16"/>
      <c r="W83" s="16"/>
      <c r="X83" s="294"/>
      <c r="Y83" s="29"/>
      <c r="Z83" s="279"/>
      <c r="AA83" s="296"/>
      <c r="AB83" s="279"/>
    </row>
    <row r="84" spans="1:28" ht="17.5">
      <c r="A84" s="291"/>
      <c r="B84" s="20"/>
      <c r="C84" s="20"/>
      <c r="D84" s="17" t="s">
        <v>133</v>
      </c>
      <c r="E84" s="17" t="s">
        <v>46</v>
      </c>
      <c r="F84" s="35" t="s">
        <v>47</v>
      </c>
      <c r="G84" s="17"/>
      <c r="H84" s="21">
        <v>32.04</v>
      </c>
      <c r="I84" s="21">
        <v>0.79100000000000004</v>
      </c>
      <c r="J84" s="14">
        <f t="shared" ref="J84:J85" si="24">O84/O$83</f>
        <v>100.69427457065296</v>
      </c>
      <c r="K84" s="21"/>
      <c r="L84" s="56">
        <f>O84*H84</f>
        <v>48.105789921494171</v>
      </c>
      <c r="M84" s="14">
        <f t="shared" ref="M84:M85" si="25">L84/1000</f>
        <v>4.8105789921494169E-2</v>
      </c>
      <c r="N84" s="21">
        <f>L84/I84</f>
        <v>60.816422151067215</v>
      </c>
      <c r="O84" s="77">
        <f>O83*J11</f>
        <v>1.5014291486109292</v>
      </c>
      <c r="P84" s="21"/>
      <c r="Q84" s="21"/>
      <c r="R84" s="21"/>
      <c r="S84" s="21">
        <f>6297.14 * 0.078</f>
        <v>491.17692000000005</v>
      </c>
      <c r="T84" s="17" t="s">
        <v>48</v>
      </c>
      <c r="U84" s="21">
        <f>S84/((I84*20000)/H84)</f>
        <v>0.99477297830594191</v>
      </c>
      <c r="V84" s="17" t="s">
        <v>49</v>
      </c>
      <c r="W84" s="16" t="s">
        <v>50</v>
      </c>
      <c r="X84" s="294"/>
      <c r="Y84" s="30">
        <f>U84*O84</f>
        <v>1.4935811458790487</v>
      </c>
      <c r="Z84" s="279"/>
      <c r="AA84" s="296"/>
      <c r="AB84" s="279"/>
    </row>
    <row r="85" spans="1:28" ht="17.5">
      <c r="A85" s="291"/>
      <c r="B85" s="15"/>
      <c r="C85" s="15"/>
      <c r="D85" s="16" t="s">
        <v>51</v>
      </c>
      <c r="E85" s="17" t="s">
        <v>52</v>
      </c>
      <c r="F85" s="34" t="s">
        <v>34</v>
      </c>
      <c r="G85" s="14"/>
      <c r="H85" s="14">
        <v>213.89</v>
      </c>
      <c r="I85" s="14">
        <v>3.86</v>
      </c>
      <c r="J85" s="14">
        <f t="shared" si="24"/>
        <v>1.502010138209072</v>
      </c>
      <c r="K85" s="14"/>
      <c r="L85" s="14">
        <f>O85*H85</f>
        <v>4.7903076923076906</v>
      </c>
      <c r="M85" s="14">
        <f t="shared" si="25"/>
        <v>4.7903076923076909E-3</v>
      </c>
      <c r="N85" s="14">
        <f>L85/I85</f>
        <v>1.2410123555201271</v>
      </c>
      <c r="O85" s="19">
        <f>O83*J12</f>
        <v>2.2396127412724724E-2</v>
      </c>
      <c r="P85" s="16"/>
      <c r="Q85" s="16"/>
      <c r="R85" s="16"/>
      <c r="S85" s="14">
        <v>1970</v>
      </c>
      <c r="T85" s="16" t="s">
        <v>53</v>
      </c>
      <c r="U85" s="14">
        <f>S85/((I85*2500)/H85)</f>
        <v>43.664590673575127</v>
      </c>
      <c r="V85" s="16" t="s">
        <v>54</v>
      </c>
      <c r="W85" s="16" t="s">
        <v>55</v>
      </c>
      <c r="X85" s="294"/>
      <c r="Y85" s="31">
        <f>U85*O85</f>
        <v>0.97791773614986022</v>
      </c>
      <c r="Z85" s="279"/>
      <c r="AA85" s="296"/>
      <c r="AB85" s="279"/>
    </row>
    <row r="86" spans="1:28" ht="17.5">
      <c r="A86" s="292"/>
      <c r="B86" s="256"/>
      <c r="C86" s="256">
        <v>11</v>
      </c>
      <c r="D86" s="23"/>
      <c r="E86" s="24" t="s">
        <v>57</v>
      </c>
      <c r="F86" s="38" t="s">
        <v>59</v>
      </c>
      <c r="G86" s="25" t="s">
        <v>58</v>
      </c>
      <c r="H86" s="25">
        <v>194.19</v>
      </c>
      <c r="I86" s="25"/>
      <c r="J86" s="25"/>
      <c r="K86" s="25"/>
      <c r="L86" s="25"/>
      <c r="M86" s="25"/>
      <c r="N86" s="25"/>
      <c r="O86" s="32"/>
      <c r="P86" s="236">
        <f>1.94</f>
        <v>1.94</v>
      </c>
      <c r="Q86" s="237">
        <f>P86/1000</f>
        <v>1.9399999999999999E-3</v>
      </c>
      <c r="R86" s="236">
        <f>P86/H86</f>
        <v>9.9902157680622078E-3</v>
      </c>
      <c r="S86" s="25"/>
      <c r="T86" s="23"/>
      <c r="U86" s="23"/>
      <c r="V86" s="23"/>
      <c r="W86" s="23"/>
      <c r="X86" s="295"/>
      <c r="Y86" s="33"/>
      <c r="Z86" s="218" t="s">
        <v>137</v>
      </c>
      <c r="AA86" s="296"/>
      <c r="AB86" s="218" t="s">
        <v>138</v>
      </c>
    </row>
    <row r="87" spans="1:28">
      <c r="X87" s="20" t="s">
        <v>72</v>
      </c>
      <c r="Y87" s="55">
        <f>(SUM(Y77:Y80)+SUM(Y84:Y85))/10</f>
        <v>0.67709493259242015</v>
      </c>
    </row>
    <row r="88" spans="1:28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</row>
    <row r="89" spans="1:28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</row>
    <row r="90" spans="1:28">
      <c r="A90" s="272" t="s">
        <v>126</v>
      </c>
      <c r="B90" s="273"/>
      <c r="C90" s="273"/>
      <c r="D90" s="273"/>
      <c r="E90" s="273"/>
      <c r="F90" s="273"/>
      <c r="G90" s="273"/>
      <c r="H90" s="273"/>
      <c r="I90" s="273"/>
      <c r="J90" s="273"/>
      <c r="K90" s="273"/>
      <c r="L90" s="273"/>
      <c r="M90" s="273"/>
      <c r="N90" s="273"/>
      <c r="O90" s="273"/>
      <c r="P90" s="273"/>
      <c r="Q90" s="273"/>
      <c r="R90" s="273"/>
      <c r="S90" s="273"/>
      <c r="T90" s="273"/>
      <c r="U90" s="273"/>
      <c r="V90" s="273"/>
      <c r="W90" s="273"/>
      <c r="X90" s="273"/>
      <c r="Y90" s="273"/>
      <c r="Z90" s="273"/>
      <c r="AA90" s="273"/>
      <c r="AB90" s="274"/>
    </row>
    <row r="91" spans="1:28">
      <c r="A91" s="1" t="s">
        <v>0</v>
      </c>
      <c r="B91" s="2" t="s">
        <v>1</v>
      </c>
      <c r="C91" s="3" t="s">
        <v>2</v>
      </c>
      <c r="D91" s="4" t="s">
        <v>3</v>
      </c>
      <c r="E91" s="5" t="s">
        <v>4</v>
      </c>
      <c r="F91" s="5" t="s">
        <v>5</v>
      </c>
      <c r="G91" s="5" t="s">
        <v>6</v>
      </c>
      <c r="H91" s="6" t="s">
        <v>7</v>
      </c>
      <c r="I91" s="1" t="s">
        <v>8</v>
      </c>
      <c r="J91" s="1" t="s">
        <v>9</v>
      </c>
      <c r="K91" s="1" t="s">
        <v>10</v>
      </c>
      <c r="L91" s="6" t="s">
        <v>11</v>
      </c>
      <c r="M91" s="7" t="s">
        <v>12</v>
      </c>
      <c r="N91" s="1" t="s">
        <v>13</v>
      </c>
      <c r="O91" s="6" t="s">
        <v>14</v>
      </c>
      <c r="P91" s="6" t="s">
        <v>15</v>
      </c>
      <c r="Q91" s="7" t="s">
        <v>16</v>
      </c>
      <c r="R91" s="1" t="s">
        <v>17</v>
      </c>
      <c r="S91" s="1" t="s">
        <v>18</v>
      </c>
      <c r="T91" s="1" t="s">
        <v>19</v>
      </c>
      <c r="U91" s="1" t="s">
        <v>20</v>
      </c>
      <c r="V91" s="8" t="s">
        <v>21</v>
      </c>
      <c r="W91" s="1" t="s">
        <v>22</v>
      </c>
      <c r="X91" s="1" t="s">
        <v>23</v>
      </c>
      <c r="Y91" s="1" t="s">
        <v>24</v>
      </c>
      <c r="Z91" s="9" t="s">
        <v>25</v>
      </c>
      <c r="AA91" s="1" t="s">
        <v>26</v>
      </c>
      <c r="AB91" s="10" t="s">
        <v>27</v>
      </c>
    </row>
    <row r="92" spans="1:28" ht="17.5">
      <c r="A92" s="291" t="s">
        <v>207</v>
      </c>
      <c r="B92" s="41">
        <v>15</v>
      </c>
      <c r="C92" s="41"/>
      <c r="D92" s="43" t="s">
        <v>38</v>
      </c>
      <c r="E92" s="44" t="s">
        <v>39</v>
      </c>
      <c r="F92" s="36" t="s">
        <v>190</v>
      </c>
      <c r="G92" s="47"/>
      <c r="H92" s="46">
        <v>92.09</v>
      </c>
      <c r="I92" s="47">
        <v>1.25</v>
      </c>
      <c r="J92" s="47">
        <f>O92/O$93</f>
        <v>9.9662737761622715</v>
      </c>
      <c r="K92" s="47"/>
      <c r="L92" s="49">
        <f>O92*H92</f>
        <v>1.3685017327780686</v>
      </c>
      <c r="M92" s="75">
        <f t="shared" ref="M92" si="26">L92/1000</f>
        <v>1.3685017327780687E-3</v>
      </c>
      <c r="N92" s="47">
        <f>L92/I92</f>
        <v>1.0948013862224548</v>
      </c>
      <c r="O92" s="118">
        <f>O93*J77</f>
        <v>1.4860481407080775E-2</v>
      </c>
      <c r="P92" s="48"/>
      <c r="Q92" s="48"/>
      <c r="R92" s="45"/>
      <c r="S92" s="47">
        <v>5000</v>
      </c>
      <c r="T92" s="45" t="s">
        <v>61</v>
      </c>
      <c r="U92" s="47">
        <f>S92/((I92*200000)/H92)</f>
        <v>1.8418000000000001</v>
      </c>
      <c r="V92" s="54" t="s">
        <v>60</v>
      </c>
      <c r="W92" s="45" t="s">
        <v>40</v>
      </c>
      <c r="X92" s="294">
        <f>R96/O93</f>
        <v>1</v>
      </c>
      <c r="Y92" s="47">
        <f t="shared" ref="Y92:Y93" si="27">U92*O92</f>
        <v>2.7370034655561374E-2</v>
      </c>
      <c r="Z92" s="279" t="s">
        <v>62</v>
      </c>
      <c r="AA92" s="297">
        <v>1</v>
      </c>
      <c r="AB92" s="279">
        <v>15</v>
      </c>
    </row>
    <row r="93" spans="1:28" ht="17.5">
      <c r="A93" s="291"/>
      <c r="B93" s="41"/>
      <c r="C93" s="41"/>
      <c r="D93" s="204" t="s">
        <v>28</v>
      </c>
      <c r="E93" s="44" t="s">
        <v>29</v>
      </c>
      <c r="F93" s="37" t="s">
        <v>34</v>
      </c>
      <c r="G93" s="45"/>
      <c r="H93" s="46">
        <v>170.59</v>
      </c>
      <c r="I93" s="47">
        <v>1.21</v>
      </c>
      <c r="J93" s="47">
        <f>O93/O$93</f>
        <v>1</v>
      </c>
      <c r="K93" s="45"/>
      <c r="L93" s="46">
        <f>O93*H93</f>
        <v>0.25436282207070626</v>
      </c>
      <c r="M93" s="205">
        <f>L93/1000</f>
        <v>2.5436282207070627E-4</v>
      </c>
      <c r="N93" s="205">
        <f>L93/I93</f>
        <v>0.21021720832289775</v>
      </c>
      <c r="O93" s="207">
        <f>R96</f>
        <v>1.491076980307792E-3</v>
      </c>
      <c r="P93" s="208"/>
      <c r="Q93" s="48"/>
      <c r="R93" s="45"/>
      <c r="S93" s="47">
        <v>157</v>
      </c>
      <c r="T93" s="45" t="s">
        <v>30</v>
      </c>
      <c r="U93" s="14">
        <f>S93/((I93*250)/H93)</f>
        <v>88.537619834710739</v>
      </c>
      <c r="V93" s="45">
        <v>8146880250</v>
      </c>
      <c r="W93" s="44" t="s">
        <v>31</v>
      </c>
      <c r="X93" s="294"/>
      <c r="Y93" s="47">
        <f t="shared" si="27"/>
        <v>0.13201640682677976</v>
      </c>
      <c r="Z93" s="279"/>
      <c r="AA93" s="297"/>
      <c r="AB93" s="279"/>
    </row>
    <row r="94" spans="1:28" ht="17.5">
      <c r="A94" s="291"/>
      <c r="B94" s="15"/>
      <c r="C94" s="15"/>
      <c r="D94" s="16" t="s">
        <v>32</v>
      </c>
      <c r="E94" s="17" t="s">
        <v>33</v>
      </c>
      <c r="F94" s="37" t="s">
        <v>34</v>
      </c>
      <c r="G94" s="16"/>
      <c r="H94" s="14">
        <v>79.099999999999994</v>
      </c>
      <c r="I94" s="14">
        <v>0.97799999999999998</v>
      </c>
      <c r="J94" s="47">
        <f t="shared" ref="J94:J95" si="28">O94/O$93</f>
        <v>1.0972364539667756</v>
      </c>
      <c r="K94" s="16"/>
      <c r="L94" s="14">
        <f>O94*H94</f>
        <v>0.12941266386053479</v>
      </c>
      <c r="M94" s="14">
        <f>L94/1000</f>
        <v>1.294126638605348E-4</v>
      </c>
      <c r="N94" s="14">
        <f>L94/I94</f>
        <v>0.13232378717846094</v>
      </c>
      <c r="O94" s="19">
        <f>O93*J79</f>
        <v>1.6360640184644095E-3</v>
      </c>
      <c r="P94" s="19"/>
      <c r="Q94" s="19"/>
      <c r="R94" s="16"/>
      <c r="S94" s="14">
        <v>879</v>
      </c>
      <c r="T94" s="16" t="s">
        <v>35</v>
      </c>
      <c r="U94" s="14">
        <f>S94/((I94*8000)/H94)</f>
        <v>8.8866180981595093</v>
      </c>
      <c r="V94" s="17" t="s">
        <v>36</v>
      </c>
      <c r="W94" s="16" t="s">
        <v>37</v>
      </c>
      <c r="X94" s="294"/>
      <c r="Y94" s="47">
        <f>U94*O94</f>
        <v>1.4539076116233394E-2</v>
      </c>
      <c r="Z94" s="279"/>
      <c r="AA94" s="297"/>
      <c r="AB94" s="279"/>
    </row>
    <row r="95" spans="1:28" ht="17.5">
      <c r="A95" s="291"/>
      <c r="B95" s="51"/>
      <c r="C95" s="20"/>
      <c r="D95" s="17" t="s">
        <v>41</v>
      </c>
      <c r="E95" s="17" t="s">
        <v>42</v>
      </c>
      <c r="F95" s="35" t="s">
        <v>47</v>
      </c>
      <c r="G95" s="17"/>
      <c r="H95" s="21">
        <v>88.11</v>
      </c>
      <c r="I95" s="21">
        <v>0.90200000000000002</v>
      </c>
      <c r="J95" s="47">
        <f t="shared" si="28"/>
        <v>41.09</v>
      </c>
      <c r="K95" s="17"/>
      <c r="L95" s="21">
        <f>O95*H95</f>
        <v>5.398354593477845</v>
      </c>
      <c r="M95" s="14">
        <f t="shared" ref="M95" si="29">L95/1000</f>
        <v>5.3983545934778452E-3</v>
      </c>
      <c r="N95" s="21">
        <f>L95/I95</f>
        <v>5.9848720548534864</v>
      </c>
      <c r="O95" s="77">
        <f>O93*J80</f>
        <v>6.1268353120847177E-2</v>
      </c>
      <c r="P95" s="17"/>
      <c r="Q95" s="17"/>
      <c r="R95" s="17"/>
      <c r="S95" s="21">
        <v>770</v>
      </c>
      <c r="T95" s="17" t="s">
        <v>63</v>
      </c>
      <c r="U95" s="21">
        <f>S95/((I95*18000)/H95)</f>
        <v>4.1786585365853659</v>
      </c>
      <c r="V95" s="17" t="s">
        <v>64</v>
      </c>
      <c r="W95" s="17" t="s">
        <v>43</v>
      </c>
      <c r="X95" s="294"/>
      <c r="Y95" s="53">
        <f t="shared" ref="Y95" si="30">U95*O95</f>
        <v>0.25601952679095469</v>
      </c>
      <c r="Z95" s="279"/>
      <c r="AA95" s="297"/>
      <c r="AB95" s="279"/>
    </row>
    <row r="96" spans="1:28" ht="17.5">
      <c r="A96" s="292"/>
      <c r="B96" s="256"/>
      <c r="C96" s="256">
        <v>16</v>
      </c>
      <c r="D96" s="23"/>
      <c r="E96" s="58" t="s">
        <v>128</v>
      </c>
      <c r="F96" s="59" t="s">
        <v>44</v>
      </c>
      <c r="G96" s="60" t="s">
        <v>45</v>
      </c>
      <c r="H96" s="25">
        <v>226.23</v>
      </c>
      <c r="I96" s="23"/>
      <c r="J96" s="25"/>
      <c r="K96" s="23"/>
      <c r="L96" s="25"/>
      <c r="M96" s="14"/>
      <c r="N96" s="25"/>
      <c r="O96" s="32"/>
      <c r="P96" s="60">
        <f>R96*H96</f>
        <v>0.33732634525503175</v>
      </c>
      <c r="Q96" s="62">
        <f>P96/1000</f>
        <v>3.3732634525503175E-4</v>
      </c>
      <c r="R96" s="87">
        <f>O98</f>
        <v>1.491076980307792E-3</v>
      </c>
      <c r="S96" s="25"/>
      <c r="T96" s="23"/>
      <c r="U96" s="23"/>
      <c r="V96" s="23"/>
      <c r="W96" s="23"/>
      <c r="X96" s="295"/>
      <c r="Y96" s="23"/>
      <c r="Z96" s="280"/>
      <c r="AA96" s="298"/>
      <c r="AB96" s="280"/>
    </row>
    <row r="97" spans="1:28">
      <c r="A97" s="290" t="s">
        <v>208</v>
      </c>
      <c r="B97" s="15"/>
      <c r="C97" s="15"/>
      <c r="D97" s="16"/>
      <c r="E97" s="16"/>
      <c r="F97" s="16"/>
      <c r="G97" s="14"/>
      <c r="H97" s="14"/>
      <c r="I97" s="14"/>
      <c r="J97" s="14"/>
      <c r="K97" s="14"/>
      <c r="L97" s="14"/>
      <c r="M97" s="13"/>
      <c r="N97" s="14"/>
      <c r="O97" s="19"/>
      <c r="P97" s="16"/>
      <c r="Q97" s="16"/>
      <c r="R97" s="16"/>
      <c r="S97" s="16"/>
      <c r="T97" s="16"/>
      <c r="U97" s="16"/>
      <c r="V97" s="16"/>
      <c r="W97" s="16"/>
      <c r="X97" s="293">
        <f>R101/O98</f>
        <v>0.67</v>
      </c>
      <c r="Y97" s="26"/>
      <c r="Z97" s="278" t="s">
        <v>62</v>
      </c>
      <c r="AA97" s="296">
        <v>1</v>
      </c>
      <c r="AB97" s="278">
        <v>15</v>
      </c>
    </row>
    <row r="98" spans="1:28" ht="17.5">
      <c r="A98" s="291"/>
      <c r="B98" s="15"/>
      <c r="C98" s="15">
        <v>16</v>
      </c>
      <c r="D98" s="27" t="s">
        <v>45</v>
      </c>
      <c r="E98" s="203" t="s">
        <v>128</v>
      </c>
      <c r="F98" s="28" t="s">
        <v>44</v>
      </c>
      <c r="G98" s="14"/>
      <c r="H98" s="39">
        <v>226.23</v>
      </c>
      <c r="I98" s="14"/>
      <c r="J98" s="14">
        <f>O98/O$98</f>
        <v>1</v>
      </c>
      <c r="K98" s="14"/>
      <c r="L98" s="27">
        <f>O98*H98</f>
        <v>0.33732634525503175</v>
      </c>
      <c r="M98" s="76">
        <f>L98/1000</f>
        <v>3.3732634525503175E-4</v>
      </c>
      <c r="N98" s="14"/>
      <c r="O98" s="117">
        <v>1.491076980307792E-3</v>
      </c>
      <c r="P98" s="19"/>
      <c r="Q98" s="19"/>
      <c r="R98" s="16"/>
      <c r="S98" s="14"/>
      <c r="T98" s="16"/>
      <c r="U98" s="16"/>
      <c r="V98" s="16"/>
      <c r="W98" s="16"/>
      <c r="X98" s="294"/>
      <c r="Y98" s="29"/>
      <c r="Z98" s="279"/>
      <c r="AA98" s="296"/>
      <c r="AB98" s="279"/>
    </row>
    <row r="99" spans="1:28" ht="17.5">
      <c r="A99" s="291"/>
      <c r="B99" s="20"/>
      <c r="C99" s="20"/>
      <c r="D99" s="17" t="s">
        <v>133</v>
      </c>
      <c r="E99" s="17" t="s">
        <v>46</v>
      </c>
      <c r="F99" s="35" t="s">
        <v>47</v>
      </c>
      <c r="G99" s="17"/>
      <c r="H99" s="21">
        <v>32.04</v>
      </c>
      <c r="I99" s="21">
        <v>0.79100000000000004</v>
      </c>
      <c r="J99" s="14">
        <f t="shared" ref="J99:J100" si="31">O99/O$98</f>
        <v>100.69427457065296</v>
      </c>
      <c r="K99" s="21"/>
      <c r="L99" s="56">
        <f>O99*H99</f>
        <v>4.8105789921494164</v>
      </c>
      <c r="M99" s="14">
        <f t="shared" ref="M99:M100" si="32">L99/1000</f>
        <v>4.8105789921494167E-3</v>
      </c>
      <c r="N99" s="21">
        <f>L99/I99</f>
        <v>6.0816422151067204</v>
      </c>
      <c r="O99" s="77">
        <f>O98*J84</f>
        <v>0.15014291486109291</v>
      </c>
      <c r="P99" s="21"/>
      <c r="Q99" s="21"/>
      <c r="R99" s="21"/>
      <c r="S99" s="21">
        <f>6297.14 * 0.078</f>
        <v>491.17692000000005</v>
      </c>
      <c r="T99" s="17" t="s">
        <v>48</v>
      </c>
      <c r="U99" s="21">
        <f>S99/((I99*20000)/H99)</f>
        <v>0.99477297830594191</v>
      </c>
      <c r="V99" s="17" t="s">
        <v>49</v>
      </c>
      <c r="W99" s="16" t="s">
        <v>50</v>
      </c>
      <c r="X99" s="294"/>
      <c r="Y99" s="30">
        <f>U99*O99</f>
        <v>0.14935811458790485</v>
      </c>
      <c r="Z99" s="279"/>
      <c r="AA99" s="296"/>
      <c r="AB99" s="279"/>
    </row>
    <row r="100" spans="1:28" ht="17.5">
      <c r="A100" s="291"/>
      <c r="B100" s="15"/>
      <c r="C100" s="15"/>
      <c r="D100" s="16" t="s">
        <v>51</v>
      </c>
      <c r="E100" s="17" t="s">
        <v>52</v>
      </c>
      <c r="F100" s="34" t="s">
        <v>34</v>
      </c>
      <c r="G100" s="14"/>
      <c r="H100" s="14">
        <v>213.89</v>
      </c>
      <c r="I100" s="14">
        <v>3.86</v>
      </c>
      <c r="J100" s="14">
        <f t="shared" si="31"/>
        <v>1.502010138209072</v>
      </c>
      <c r="K100" s="14"/>
      <c r="L100" s="14">
        <f>O100*H100</f>
        <v>0.47903076923076909</v>
      </c>
      <c r="M100" s="14">
        <f t="shared" si="32"/>
        <v>4.7903076923076912E-4</v>
      </c>
      <c r="N100" s="14">
        <f>L100/I100</f>
        <v>0.12410123555201272</v>
      </c>
      <c r="O100" s="19">
        <f>O98*J85</f>
        <v>2.2396127412724724E-3</v>
      </c>
      <c r="P100" s="16"/>
      <c r="Q100" s="16"/>
      <c r="R100" s="16"/>
      <c r="S100" s="14">
        <v>1970</v>
      </c>
      <c r="T100" s="16" t="s">
        <v>53</v>
      </c>
      <c r="U100" s="14">
        <f>S100/((I100*2500)/H100)</f>
        <v>43.664590673575127</v>
      </c>
      <c r="V100" s="16" t="s">
        <v>54</v>
      </c>
      <c r="W100" s="16" t="s">
        <v>55</v>
      </c>
      <c r="X100" s="294"/>
      <c r="Y100" s="31">
        <f>U100*O100</f>
        <v>9.7791773614986019E-2</v>
      </c>
      <c r="Z100" s="279"/>
      <c r="AA100" s="296"/>
      <c r="AB100" s="279"/>
    </row>
    <row r="101" spans="1:28" ht="17.5">
      <c r="A101" s="292"/>
      <c r="B101" s="256"/>
      <c r="C101" s="256">
        <v>11</v>
      </c>
      <c r="D101" s="23"/>
      <c r="E101" s="24" t="s">
        <v>57</v>
      </c>
      <c r="F101" s="38" t="s">
        <v>59</v>
      </c>
      <c r="G101" s="25" t="s">
        <v>58</v>
      </c>
      <c r="H101" s="25">
        <v>194.19</v>
      </c>
      <c r="I101" s="25"/>
      <c r="J101" s="25"/>
      <c r="K101" s="25"/>
      <c r="L101" s="25"/>
      <c r="M101" s="25"/>
      <c r="N101" s="25"/>
      <c r="O101" s="32"/>
      <c r="P101" s="236">
        <v>0.19400000000000001</v>
      </c>
      <c r="Q101" s="237">
        <f>P101/1000</f>
        <v>1.94E-4</v>
      </c>
      <c r="R101" s="236">
        <f>P101/H101</f>
        <v>9.9902157680622074E-4</v>
      </c>
      <c r="S101" s="25"/>
      <c r="T101" s="23"/>
      <c r="U101" s="23"/>
      <c r="V101" s="23"/>
      <c r="W101" s="23"/>
      <c r="X101" s="295"/>
      <c r="Y101" s="33"/>
      <c r="Z101" s="218" t="s">
        <v>137</v>
      </c>
      <c r="AA101" s="296"/>
      <c r="AB101" s="218" t="s">
        <v>138</v>
      </c>
    </row>
    <row r="102" spans="1:28">
      <c r="X102" s="20" t="s">
        <v>72</v>
      </c>
      <c r="Y102" s="55">
        <f>(SUM(Y92:Y95)+SUM(Y99:Y100))/10</f>
        <v>6.7709493259241998E-2</v>
      </c>
    </row>
    <row r="105" spans="1:28">
      <c r="Y105" s="21"/>
    </row>
  </sheetData>
  <mergeCells count="59">
    <mergeCell ref="A1:AB1"/>
    <mergeCell ref="A2:AB2"/>
    <mergeCell ref="A4:A8"/>
    <mergeCell ref="X4:X8"/>
    <mergeCell ref="Z4:Z8"/>
    <mergeCell ref="AA4:AA8"/>
    <mergeCell ref="AB4:AB8"/>
    <mergeCell ref="A9:A13"/>
    <mergeCell ref="X9:X13"/>
    <mergeCell ref="AA9:AA13"/>
    <mergeCell ref="Z9:Z12"/>
    <mergeCell ref="AB9:AB12"/>
    <mergeCell ref="A30:D30"/>
    <mergeCell ref="A16:AB16"/>
    <mergeCell ref="A18:A22"/>
    <mergeCell ref="X18:X22"/>
    <mergeCell ref="Z18:Z22"/>
    <mergeCell ref="AA18:AA22"/>
    <mergeCell ref="AB18:AB22"/>
    <mergeCell ref="A23:A27"/>
    <mergeCell ref="X23:X27"/>
    <mergeCell ref="AA23:AA27"/>
    <mergeCell ref="Z23:Z26"/>
    <mergeCell ref="AB23:AB26"/>
    <mergeCell ref="A75:AB75"/>
    <mergeCell ref="A32:A36"/>
    <mergeCell ref="A37:A41"/>
    <mergeCell ref="A60:AB60"/>
    <mergeCell ref="A62:A66"/>
    <mergeCell ref="X62:X66"/>
    <mergeCell ref="Z62:Z66"/>
    <mergeCell ref="AA62:AA66"/>
    <mergeCell ref="AB62:AB66"/>
    <mergeCell ref="A67:A71"/>
    <mergeCell ref="X67:X71"/>
    <mergeCell ref="AA67:AA71"/>
    <mergeCell ref="Z67:Z70"/>
    <mergeCell ref="AB67:AB70"/>
    <mergeCell ref="A82:A86"/>
    <mergeCell ref="X82:X86"/>
    <mergeCell ref="AA82:AA86"/>
    <mergeCell ref="Z82:Z85"/>
    <mergeCell ref="AB82:AB85"/>
    <mergeCell ref="A77:A81"/>
    <mergeCell ref="X77:X81"/>
    <mergeCell ref="Z77:Z81"/>
    <mergeCell ref="AA77:AA81"/>
    <mergeCell ref="AB77:AB81"/>
    <mergeCell ref="A90:AB90"/>
    <mergeCell ref="A92:A96"/>
    <mergeCell ref="X92:X96"/>
    <mergeCell ref="Z92:Z96"/>
    <mergeCell ref="AA92:AA96"/>
    <mergeCell ref="AB92:AB96"/>
    <mergeCell ref="A97:A101"/>
    <mergeCell ref="X97:X101"/>
    <mergeCell ref="AA97:AA101"/>
    <mergeCell ref="Z97:Z100"/>
    <mergeCell ref="AB97:AB100"/>
  </mergeCells>
  <phoneticPr fontId="21" type="noConversion"/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="93" workbookViewId="0">
      <selection activeCell="E22" sqref="E22"/>
    </sheetView>
  </sheetViews>
  <sheetFormatPr defaultColWidth="10.6640625" defaultRowHeight="15.5"/>
  <cols>
    <col min="1" max="1" width="23.5" customWidth="1"/>
    <col min="2" max="2" width="41" customWidth="1"/>
    <col min="3" max="3" width="28.1640625" customWidth="1"/>
    <col min="4" max="4" width="14.1640625" customWidth="1"/>
    <col min="5" max="5" width="31.83203125" customWidth="1"/>
    <col min="6" max="6" width="28.1640625" customWidth="1"/>
    <col min="7" max="7" width="30.33203125" customWidth="1"/>
    <col min="8" max="8" width="35.5" bestFit="1" customWidth="1"/>
    <col min="9" max="9" width="19.83203125" bestFit="1" customWidth="1"/>
    <col min="10" max="10" width="36.1640625" customWidth="1"/>
    <col min="11" max="11" width="35.83203125" customWidth="1"/>
    <col min="12" max="12" width="32.1640625" bestFit="1" customWidth="1"/>
    <col min="13" max="13" width="17.33203125" bestFit="1" customWidth="1"/>
  </cols>
  <sheetData>
    <row r="1" spans="1:13" ht="26">
      <c r="A1" s="312" t="s">
        <v>165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4"/>
    </row>
    <row r="2" spans="1:13">
      <c r="A2" s="289" t="s">
        <v>146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</row>
    <row r="3" spans="1:13">
      <c r="A3" s="10" t="s">
        <v>70</v>
      </c>
      <c r="B3" s="83" t="s">
        <v>192</v>
      </c>
      <c r="C3" s="84" t="s">
        <v>173</v>
      </c>
      <c r="D3" s="209" t="s">
        <v>174</v>
      </c>
      <c r="E3" s="85" t="s">
        <v>175</v>
      </c>
      <c r="F3" s="86" t="s">
        <v>182</v>
      </c>
      <c r="G3" s="10" t="s">
        <v>176</v>
      </c>
      <c r="H3" s="10" t="s">
        <v>177</v>
      </c>
      <c r="I3" s="10" t="s">
        <v>178</v>
      </c>
      <c r="J3" s="10" t="s">
        <v>179</v>
      </c>
      <c r="K3" s="209" t="s">
        <v>180</v>
      </c>
      <c r="L3" s="10" t="s">
        <v>181</v>
      </c>
      <c r="M3" s="10" t="s">
        <v>71</v>
      </c>
    </row>
    <row r="4" spans="1:13">
      <c r="A4" s="10" t="s">
        <v>77</v>
      </c>
      <c r="B4" s="21">
        <f>'Advanced Starting Material'!C32</f>
        <v>7.0541326431859233</v>
      </c>
      <c r="C4" s="21">
        <f>'Advanced Starting Material'!C33</f>
        <v>27.826570069473441</v>
      </c>
      <c r="D4" s="21">
        <f>'Advanced Starting Material'!C34</f>
        <v>1.9782241542847483</v>
      </c>
      <c r="E4" s="21">
        <f>'Advanced Starting Material'!C35</f>
        <v>0</v>
      </c>
      <c r="F4" s="21">
        <f>'Advanced Starting Material'!D36</f>
        <v>1.7387955940981026</v>
      </c>
      <c r="G4" s="21">
        <f>(B4+D4-F4)/F4</f>
        <v>4.1946052935311648</v>
      </c>
      <c r="H4" s="21">
        <f>(B4+D4-F4)/F6</f>
        <v>7.2935612033725681</v>
      </c>
      <c r="I4" s="21">
        <f>(B4+C4+D4+E4-F4)/F4</f>
        <v>20.197964264489929</v>
      </c>
      <c r="J4" s="21">
        <f>(B4+C4+D4+E4-F4)/F6</f>
        <v>35.12013127284601</v>
      </c>
      <c r="K4" s="21">
        <f>(B4+D4+0.1*(C4)-F4)/F6</f>
        <v>10.076218210319913</v>
      </c>
      <c r="L4" s="21">
        <f>J4+1</f>
        <v>36.12013127284601</v>
      </c>
      <c r="M4" s="73">
        <v>0</v>
      </c>
    </row>
    <row r="5" spans="1:13">
      <c r="A5" s="10" t="s">
        <v>56</v>
      </c>
      <c r="B5" s="21">
        <f>'Advanced Starting Material'!C37</f>
        <v>1.7387955940981026</v>
      </c>
      <c r="C5" s="21">
        <f>'Advanced Starting Material'!C38</f>
        <v>24.796798928605252</v>
      </c>
      <c r="D5" s="21">
        <f>'Advanced Starting Material'!C39</f>
        <v>2.4692307692307698</v>
      </c>
      <c r="E5" s="21">
        <f>'Advanced Starting Material'!C40</f>
        <v>0</v>
      </c>
      <c r="F5" s="21">
        <f>'Advanced Starting Material'!D41</f>
        <v>1</v>
      </c>
      <c r="G5" s="21">
        <f>(B5+D5-F5)/F5</f>
        <v>3.2080263633288721</v>
      </c>
      <c r="H5" s="21">
        <f>(B5+D5-F5)/F6</f>
        <v>3.2080263633288721</v>
      </c>
      <c r="I5" s="21">
        <f>(B5+C5+D5+E5-F5)/F5</f>
        <v>28.004825291934125</v>
      </c>
      <c r="J5" s="21">
        <f>(B5+C5+D5+E5-F5)/F6</f>
        <v>28.004825291934125</v>
      </c>
      <c r="K5" s="21">
        <f>(B5+D5+0.1*(C5)-F5)/F6</f>
        <v>5.6877062561893972</v>
      </c>
      <c r="L5" s="21">
        <f>J5+1</f>
        <v>29.004825291934125</v>
      </c>
      <c r="M5" s="73">
        <v>1</v>
      </c>
    </row>
    <row r="6" spans="1:13">
      <c r="A6" s="88" t="s">
        <v>72</v>
      </c>
      <c r="B6" s="89">
        <f>B4</f>
        <v>7.0541326431859233</v>
      </c>
      <c r="C6" s="89">
        <f>SUM(C4:C5)</f>
        <v>52.623368998078689</v>
      </c>
      <c r="D6" s="89">
        <f>D4+D5</f>
        <v>4.4474549235155179</v>
      </c>
      <c r="E6" s="89">
        <f>E4+E5</f>
        <v>0</v>
      </c>
      <c r="F6" s="89">
        <v>1</v>
      </c>
      <c r="G6" s="90"/>
      <c r="H6" s="89">
        <f>(B6+D6-F6)/F$6</f>
        <v>10.501587566701442</v>
      </c>
      <c r="I6" s="90"/>
      <c r="J6" s="89">
        <f>(B6+D6+C6+E6-F6)/F$6</f>
        <v>63.124956564780135</v>
      </c>
      <c r="K6" s="89">
        <f>(B6+D6+0.1*(C6)-F6)/F$6</f>
        <v>15.763924466509312</v>
      </c>
      <c r="L6" s="89">
        <f>J6+1</f>
        <v>64.124956564780135</v>
      </c>
      <c r="M6" s="91">
        <v>1</v>
      </c>
    </row>
    <row r="7" spans="1:13">
      <c r="K7" s="81"/>
    </row>
    <row r="9" spans="1:13">
      <c r="A9" s="259" t="s">
        <v>127</v>
      </c>
      <c r="B9" s="260"/>
      <c r="C9" s="261"/>
      <c r="E9" s="259" t="s">
        <v>149</v>
      </c>
      <c r="F9" s="260"/>
      <c r="G9" s="261"/>
    </row>
    <row r="10" spans="1:13">
      <c r="A10" s="10" t="s">
        <v>73</v>
      </c>
      <c r="B10" s="10" t="s">
        <v>74</v>
      </c>
      <c r="C10" s="10" t="s">
        <v>75</v>
      </c>
      <c r="E10" s="230" t="s">
        <v>73</v>
      </c>
      <c r="F10" s="230" t="s">
        <v>74</v>
      </c>
      <c r="G10" s="230" t="s">
        <v>75</v>
      </c>
    </row>
    <row r="11" spans="1:13">
      <c r="A11" s="306" t="s">
        <v>183</v>
      </c>
      <c r="B11" s="307"/>
      <c r="C11" s="308"/>
      <c r="E11" s="306" t="s">
        <v>183</v>
      </c>
      <c r="F11" s="307"/>
      <c r="G11" s="308"/>
    </row>
    <row r="12" spans="1:13">
      <c r="A12" s="92">
        <f>H6</f>
        <v>10.501587566701442</v>
      </c>
      <c r="B12" s="92">
        <f>J6</f>
        <v>63.124956564780135</v>
      </c>
      <c r="C12" s="92">
        <f>K6</f>
        <v>15.763924466509312</v>
      </c>
      <c r="E12" s="246">
        <f>H6</f>
        <v>10.501587566701442</v>
      </c>
      <c r="F12" s="246">
        <f>J6</f>
        <v>63.124956564780135</v>
      </c>
      <c r="G12" s="246">
        <f>K6</f>
        <v>15.763924466509312</v>
      </c>
    </row>
    <row r="13" spans="1:13">
      <c r="A13" s="306" t="s">
        <v>185</v>
      </c>
      <c r="B13" s="307"/>
      <c r="C13" s="308"/>
      <c r="E13" s="306" t="s">
        <v>185</v>
      </c>
      <c r="F13" s="307"/>
      <c r="G13" s="308"/>
    </row>
    <row r="14" spans="1:13">
      <c r="A14" s="309">
        <v>4.2629999999999999</v>
      </c>
      <c r="B14" s="310"/>
      <c r="C14" s="311"/>
      <c r="E14" s="315">
        <v>4.1459999999999999</v>
      </c>
      <c r="F14" s="316"/>
      <c r="G14" s="317"/>
    </row>
    <row r="15" spans="1:13">
      <c r="A15" s="306" t="s">
        <v>184</v>
      </c>
      <c r="B15" s="307"/>
      <c r="C15" s="308"/>
      <c r="E15" s="306" t="s">
        <v>186</v>
      </c>
      <c r="F15" s="307"/>
      <c r="G15" s="308"/>
    </row>
    <row r="16" spans="1:13">
      <c r="A16" s="92">
        <f>A14*A12</f>
        <v>44.768267796848249</v>
      </c>
      <c r="B16" s="92">
        <f>A14*B12</f>
        <v>269.10168983565768</v>
      </c>
      <c r="C16" s="92">
        <f>A14*C12</f>
        <v>67.201610000729204</v>
      </c>
      <c r="E16" s="246">
        <f>E14*E12</f>
        <v>43.53958205154418</v>
      </c>
      <c r="F16" s="246">
        <f>E14*F12</f>
        <v>261.71606991757841</v>
      </c>
      <c r="G16" s="246">
        <f>E14*G12</f>
        <v>65.357230838147601</v>
      </c>
    </row>
    <row r="18" spans="1:6">
      <c r="A18" s="259" t="s">
        <v>150</v>
      </c>
      <c r="B18" s="260"/>
      <c r="C18" s="260"/>
      <c r="D18" s="261"/>
    </row>
    <row r="19" spans="1:6">
      <c r="A19" s="83" t="s">
        <v>193</v>
      </c>
      <c r="B19" s="84" t="s">
        <v>173</v>
      </c>
      <c r="C19" s="209" t="s">
        <v>174</v>
      </c>
      <c r="D19" s="85" t="s">
        <v>175</v>
      </c>
    </row>
    <row r="20" spans="1:6">
      <c r="A20" s="92">
        <f>B6</f>
        <v>7.0541326431859233</v>
      </c>
      <c r="B20" s="92">
        <f>C6</f>
        <v>52.623368998078689</v>
      </c>
      <c r="C20" s="92">
        <f>D6</f>
        <v>4.4474549235155179</v>
      </c>
      <c r="D20" s="92">
        <f>E6</f>
        <v>0</v>
      </c>
    </row>
    <row r="21" spans="1:6">
      <c r="A21" s="257">
        <f>A20*E14</f>
        <v>29.246433938648838</v>
      </c>
      <c r="B21" s="257">
        <f>B20*E14</f>
        <v>218.17648786603425</v>
      </c>
      <c r="C21" s="257">
        <f>C20*E14</f>
        <v>18.439148112895335</v>
      </c>
      <c r="D21" s="257">
        <f>D20*E14</f>
        <v>0</v>
      </c>
      <c r="E21" s="258" t="s">
        <v>217</v>
      </c>
      <c r="F21" s="258"/>
    </row>
  </sheetData>
  <mergeCells count="13">
    <mergeCell ref="A18:D18"/>
    <mergeCell ref="A13:C13"/>
    <mergeCell ref="A14:C14"/>
    <mergeCell ref="A15:C15"/>
    <mergeCell ref="A1:M1"/>
    <mergeCell ref="A2:M2"/>
    <mergeCell ref="A9:C9"/>
    <mergeCell ref="A11:C11"/>
    <mergeCell ref="E9:G9"/>
    <mergeCell ref="E11:G11"/>
    <mergeCell ref="E13:G13"/>
    <mergeCell ref="E14:G14"/>
    <mergeCell ref="E15:G1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="89" workbookViewId="0">
      <selection activeCell="B20" sqref="B20"/>
    </sheetView>
  </sheetViews>
  <sheetFormatPr defaultColWidth="10.6640625" defaultRowHeight="15.5"/>
  <cols>
    <col min="1" max="1" width="19.83203125" customWidth="1"/>
    <col min="2" max="2" width="29.5" customWidth="1"/>
    <col min="3" max="3" width="33.33203125" customWidth="1"/>
    <col min="4" max="4" width="28.83203125" customWidth="1"/>
    <col min="5" max="5" width="32.33203125" customWidth="1"/>
    <col min="6" max="6" width="22.33203125" customWidth="1"/>
    <col min="7" max="7" width="33.33203125" customWidth="1"/>
  </cols>
  <sheetData>
    <row r="1" spans="1:7" ht="26.5" thickBot="1">
      <c r="A1" s="318" t="s">
        <v>168</v>
      </c>
      <c r="B1" s="319"/>
      <c r="C1" s="319"/>
      <c r="D1" s="319"/>
      <c r="E1" s="319"/>
      <c r="F1" s="319"/>
      <c r="G1" s="320"/>
    </row>
    <row r="2" spans="1:7" ht="16" thickBot="1"/>
    <row r="3" spans="1:7" ht="16" thickBot="1">
      <c r="A3" s="324" t="s">
        <v>170</v>
      </c>
      <c r="B3" s="325"/>
      <c r="C3" s="326"/>
      <c r="E3" s="324" t="s">
        <v>194</v>
      </c>
      <c r="F3" s="325"/>
      <c r="G3" s="326"/>
    </row>
    <row r="4" spans="1:7">
      <c r="A4" s="259" t="s">
        <v>151</v>
      </c>
      <c r="B4" s="260"/>
      <c r="C4" s="261"/>
      <c r="E4" s="259" t="s">
        <v>152</v>
      </c>
      <c r="F4" s="260"/>
      <c r="G4" s="261"/>
    </row>
    <row r="5" spans="1:7">
      <c r="A5" s="10" t="s">
        <v>187</v>
      </c>
      <c r="B5" s="10" t="s">
        <v>188</v>
      </c>
      <c r="C5" s="10" t="s">
        <v>189</v>
      </c>
      <c r="E5" s="230" t="s">
        <v>187</v>
      </c>
      <c r="F5" s="230" t="s">
        <v>188</v>
      </c>
      <c r="G5" s="230" t="s">
        <v>189</v>
      </c>
    </row>
    <row r="6" spans="1:7">
      <c r="A6" s="92">
        <f>'One-pot E-factor'!H5</f>
        <v>13.635802087386125</v>
      </c>
      <c r="B6" s="92">
        <f>'One-pot E-factor'!J5</f>
        <v>102.14842551569592</v>
      </c>
      <c r="C6" s="92">
        <f>'One-pot E-factor'!K5</f>
        <v>22.487064430217103</v>
      </c>
      <c r="E6" s="246">
        <f>'ASM E-factor'!A16</f>
        <v>44.768267796848249</v>
      </c>
      <c r="F6" s="246">
        <f>'ASM E-factor'!B16</f>
        <v>269.10168983565768</v>
      </c>
      <c r="G6" s="246">
        <f>'ASM E-factor'!C16</f>
        <v>67.201610000729204</v>
      </c>
    </row>
    <row r="7" spans="1:7">
      <c r="E7" s="247"/>
      <c r="F7" s="247"/>
      <c r="G7" s="247"/>
    </row>
    <row r="10" spans="1:7">
      <c r="C10" s="327" t="s">
        <v>153</v>
      </c>
      <c r="D10" s="328"/>
      <c r="E10" s="329"/>
    </row>
    <row r="11" spans="1:7">
      <c r="C11" s="259" t="s">
        <v>147</v>
      </c>
      <c r="D11" s="260"/>
      <c r="E11" s="261"/>
    </row>
    <row r="12" spans="1:7">
      <c r="C12" s="10" t="s">
        <v>187</v>
      </c>
      <c r="D12" s="10" t="s">
        <v>188</v>
      </c>
      <c r="E12" s="10" t="s">
        <v>189</v>
      </c>
    </row>
    <row r="13" spans="1:7">
      <c r="C13" s="160">
        <f>A6+E6</f>
        <v>58.404069884234374</v>
      </c>
      <c r="D13" s="160">
        <f>B6+F6</f>
        <v>371.2501153513536</v>
      </c>
      <c r="E13" s="160">
        <f>C6+G6</f>
        <v>89.688674430946307</v>
      </c>
    </row>
    <row r="14" spans="1:7">
      <c r="C14" s="306" t="s">
        <v>117</v>
      </c>
      <c r="D14" s="307"/>
      <c r="E14" s="308"/>
    </row>
    <row r="15" spans="1:7">
      <c r="C15" s="321">
        <v>3</v>
      </c>
      <c r="D15" s="322"/>
      <c r="E15" s="323"/>
    </row>
    <row r="18" spans="1:8">
      <c r="A18" s="259" t="s">
        <v>154</v>
      </c>
      <c r="B18" s="260"/>
      <c r="C18" s="260"/>
      <c r="D18" s="261"/>
    </row>
    <row r="19" spans="1:8">
      <c r="A19" s="83" t="s">
        <v>193</v>
      </c>
      <c r="B19" s="84" t="s">
        <v>173</v>
      </c>
      <c r="C19" s="209" t="s">
        <v>174</v>
      </c>
      <c r="D19" s="85" t="s">
        <v>175</v>
      </c>
      <c r="F19" s="114"/>
      <c r="G19" s="114"/>
      <c r="H19" s="114"/>
    </row>
    <row r="20" spans="1:8">
      <c r="A20" s="92">
        <f>'One-pot E-factor'!A10+'ASM E-factor'!A21</f>
        <v>33.509754757986258</v>
      </c>
      <c r="B20" s="92">
        <f>'One-pot E-factor'!B10+'ASM E-factor'!B21</f>
        <v>306.68911129434406</v>
      </c>
      <c r="C20" s="92">
        <f>'One-pot E-factor'!C10+'ASM E-factor'!C21</f>
        <v>28.811629380944041</v>
      </c>
      <c r="D20" s="92">
        <f>'ASM E-factor'!D20+'One-pot E-factor'!D10</f>
        <v>0</v>
      </c>
      <c r="F20" s="114"/>
      <c r="G20" s="114"/>
      <c r="H20" s="114"/>
    </row>
    <row r="21" spans="1:8">
      <c r="F21" s="114"/>
      <c r="G21" s="114"/>
      <c r="H21" s="114"/>
    </row>
    <row r="22" spans="1:8">
      <c r="F22" s="114"/>
      <c r="G22" s="114"/>
      <c r="H22" s="114"/>
    </row>
    <row r="23" spans="1:8">
      <c r="F23" s="114"/>
      <c r="G23" s="114"/>
      <c r="H23" s="114"/>
    </row>
    <row r="24" spans="1:8">
      <c r="F24" s="114"/>
      <c r="G24" s="114"/>
      <c r="H24" s="114"/>
    </row>
  </sheetData>
  <mergeCells count="10">
    <mergeCell ref="A1:G1"/>
    <mergeCell ref="A18:D18"/>
    <mergeCell ref="C14:E14"/>
    <mergeCell ref="C15:E15"/>
    <mergeCell ref="A3:C3"/>
    <mergeCell ref="E3:G3"/>
    <mergeCell ref="A4:C4"/>
    <mergeCell ref="E4:G4"/>
    <mergeCell ref="C10:E10"/>
    <mergeCell ref="C11:E1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96"/>
  <sheetViews>
    <sheetView topLeftCell="M66" zoomScale="75" workbookViewId="0">
      <selection activeCell="C84" sqref="C84"/>
    </sheetView>
  </sheetViews>
  <sheetFormatPr defaultColWidth="10.6640625" defaultRowHeight="15.5"/>
  <cols>
    <col min="1" max="1" width="13.6640625" customWidth="1"/>
    <col min="2" max="2" width="22.33203125" customWidth="1"/>
    <col min="3" max="3" width="27.33203125" customWidth="1"/>
    <col min="4" max="4" width="36.6640625" customWidth="1"/>
    <col min="5" max="5" width="25.6640625" bestFit="1" customWidth="1"/>
    <col min="6" max="6" width="24" bestFit="1" customWidth="1"/>
    <col min="7" max="7" width="57.6640625" bestFit="1" customWidth="1"/>
    <col min="8" max="8" width="23" bestFit="1" customWidth="1"/>
    <col min="9" max="9" width="13.33203125" bestFit="1" customWidth="1"/>
    <col min="10" max="10" width="16.5" bestFit="1" customWidth="1"/>
    <col min="11" max="11" width="12.5" bestFit="1" customWidth="1"/>
    <col min="12" max="12" width="13" bestFit="1" customWidth="1"/>
    <col min="13" max="13" width="14" bestFit="1" customWidth="1"/>
    <col min="14" max="14" width="16.33203125" bestFit="1" customWidth="1"/>
    <col min="15" max="15" width="11.1640625" customWidth="1"/>
    <col min="16" max="16" width="14.5" bestFit="1" customWidth="1"/>
    <col min="17" max="17" width="16.1640625" customWidth="1"/>
    <col min="19" max="19" width="47.33203125" bestFit="1" customWidth="1"/>
    <col min="21" max="21" width="18.5" bestFit="1" customWidth="1"/>
    <col min="22" max="22" width="25" bestFit="1" customWidth="1"/>
    <col min="23" max="23" width="16.33203125" customWidth="1"/>
    <col min="24" max="24" width="11.6640625" bestFit="1" customWidth="1"/>
    <col min="25" max="25" width="17.33203125" bestFit="1" customWidth="1"/>
    <col min="26" max="26" width="15.83203125" bestFit="1" customWidth="1"/>
    <col min="27" max="27" width="13.83203125" bestFit="1" customWidth="1"/>
    <col min="28" max="28" width="16.6640625" bestFit="1" customWidth="1"/>
  </cols>
  <sheetData>
    <row r="1" spans="1:37" ht="25">
      <c r="A1" s="283" t="s">
        <v>202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5"/>
    </row>
    <row r="2" spans="1:37">
      <c r="A2" s="272" t="s">
        <v>155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4"/>
    </row>
    <row r="3" spans="1:37">
      <c r="A3" s="1" t="s">
        <v>0</v>
      </c>
      <c r="B3" s="5" t="s">
        <v>1</v>
      </c>
      <c r="C3" s="5" t="s">
        <v>2</v>
      </c>
      <c r="D3" s="4" t="s">
        <v>3</v>
      </c>
      <c r="E3" s="5" t="s">
        <v>4</v>
      </c>
      <c r="F3" s="5" t="s">
        <v>5</v>
      </c>
      <c r="G3" s="5" t="s">
        <v>6</v>
      </c>
      <c r="H3" s="6" t="s">
        <v>7</v>
      </c>
      <c r="I3" s="1" t="s">
        <v>8</v>
      </c>
      <c r="J3" s="1" t="s">
        <v>9</v>
      </c>
      <c r="K3" s="1" t="s">
        <v>10</v>
      </c>
      <c r="L3" s="6" t="s">
        <v>11</v>
      </c>
      <c r="M3" s="7" t="s">
        <v>12</v>
      </c>
      <c r="N3" s="1" t="s">
        <v>13</v>
      </c>
      <c r="O3" s="6" t="s">
        <v>14</v>
      </c>
      <c r="P3" s="6" t="s">
        <v>15</v>
      </c>
      <c r="Q3" s="7" t="s">
        <v>16</v>
      </c>
      <c r="R3" s="1" t="s">
        <v>17</v>
      </c>
      <c r="S3" s="1" t="s">
        <v>18</v>
      </c>
      <c r="T3" s="1" t="s">
        <v>19</v>
      </c>
      <c r="U3" s="1" t="s">
        <v>20</v>
      </c>
      <c r="V3" s="8" t="s">
        <v>21</v>
      </c>
      <c r="W3" s="1" t="s">
        <v>22</v>
      </c>
      <c r="X3" s="40" t="s">
        <v>23</v>
      </c>
      <c r="Y3" s="1" t="s">
        <v>24</v>
      </c>
      <c r="Z3" s="9" t="s">
        <v>25</v>
      </c>
      <c r="AA3" s="1" t="s">
        <v>26</v>
      </c>
      <c r="AB3" s="10" t="s">
        <v>27</v>
      </c>
    </row>
    <row r="4" spans="1:37" ht="18" customHeight="1">
      <c r="A4" s="335" t="s">
        <v>209</v>
      </c>
      <c r="B4" s="99">
        <v>11</v>
      </c>
      <c r="C4" s="12"/>
      <c r="D4" s="100" t="s">
        <v>132</v>
      </c>
      <c r="E4" s="101" t="s">
        <v>76</v>
      </c>
      <c r="F4" s="119" t="s">
        <v>59</v>
      </c>
      <c r="G4" s="12"/>
      <c r="H4" s="102">
        <v>194.19</v>
      </c>
      <c r="I4" s="102"/>
      <c r="J4" s="102">
        <f>O4/O4</f>
        <v>1</v>
      </c>
      <c r="K4" s="102"/>
      <c r="L4" s="123">
        <v>0.19400000000000001</v>
      </c>
      <c r="M4" s="124">
        <f>L4/1000</f>
        <v>1.94E-4</v>
      </c>
      <c r="N4" s="122"/>
      <c r="O4" s="125">
        <f t="shared" ref="O4" si="0">L4/H4</f>
        <v>9.9902157680622074E-4</v>
      </c>
      <c r="P4" s="102"/>
      <c r="Q4" s="102"/>
      <c r="R4" s="102"/>
      <c r="S4" s="102"/>
      <c r="T4" s="12"/>
      <c r="U4" s="12"/>
      <c r="V4" s="12"/>
      <c r="W4" s="12"/>
      <c r="X4" s="293">
        <f>R9/O4</f>
        <v>0.93128562904051304</v>
      </c>
      <c r="Y4" s="66">
        <f>'Advanced Starting Material'!Y102</f>
        <v>6.7709493259241998E-2</v>
      </c>
      <c r="Z4" s="334">
        <v>25</v>
      </c>
      <c r="AA4" s="334">
        <v>1</v>
      </c>
      <c r="AB4" s="334">
        <v>20</v>
      </c>
    </row>
    <row r="5" spans="1:37" ht="17.5">
      <c r="A5" s="291"/>
      <c r="B5" s="51">
        <v>10</v>
      </c>
      <c r="C5" s="44"/>
      <c r="D5" s="152" t="s">
        <v>78</v>
      </c>
      <c r="E5" s="44" t="s">
        <v>79</v>
      </c>
      <c r="F5" s="37" t="s">
        <v>34</v>
      </c>
      <c r="G5" s="44"/>
      <c r="H5" s="53">
        <v>68.069999999999993</v>
      </c>
      <c r="I5" s="53">
        <v>0.93600000000000005</v>
      </c>
      <c r="J5" s="53">
        <f>O5/O4</f>
        <v>4.9997501056371636</v>
      </c>
      <c r="K5" s="53" t="s">
        <v>80</v>
      </c>
      <c r="L5" s="210">
        <v>0.34</v>
      </c>
      <c r="M5" s="211">
        <f t="shared" ref="M5:M7" si="1">L5/1000</f>
        <v>3.4000000000000002E-4</v>
      </c>
      <c r="N5" s="212">
        <f>L5/I5</f>
        <v>0.36324786324786323</v>
      </c>
      <c r="O5" s="213">
        <f>L5/H5</f>
        <v>4.9948582341707076E-3</v>
      </c>
      <c r="P5" s="53"/>
      <c r="Q5" s="53"/>
      <c r="R5" s="53"/>
      <c r="S5" s="53">
        <f>61.2</f>
        <v>61.2</v>
      </c>
      <c r="T5" s="44" t="s">
        <v>81</v>
      </c>
      <c r="U5" s="53">
        <f>S5/((I5*500)/H5)</f>
        <v>8.9014615384615379</v>
      </c>
      <c r="V5" s="94" t="s">
        <v>82</v>
      </c>
      <c r="W5" s="44" t="s">
        <v>83</v>
      </c>
      <c r="X5" s="294"/>
      <c r="Y5" s="30">
        <f>U5*O5</f>
        <v>4.4461538461538469E-2</v>
      </c>
      <c r="Z5" s="334"/>
      <c r="AA5" s="334"/>
      <c r="AB5" s="334"/>
    </row>
    <row r="6" spans="1:37" s="225" customFormat="1" ht="17.5">
      <c r="A6" s="291"/>
      <c r="B6" s="152"/>
      <c r="C6" s="152"/>
      <c r="D6" s="152" t="s">
        <v>91</v>
      </c>
      <c r="E6" s="152" t="s">
        <v>84</v>
      </c>
      <c r="F6" s="221" t="s">
        <v>47</v>
      </c>
      <c r="G6" s="152"/>
      <c r="H6" s="212">
        <v>88.15</v>
      </c>
      <c r="I6" s="212">
        <v>0.74</v>
      </c>
      <c r="J6" s="212">
        <f>O6/O4</f>
        <v>42.015016577880957</v>
      </c>
      <c r="K6" s="212">
        <v>0.998</v>
      </c>
      <c r="L6" s="212">
        <v>3.7</v>
      </c>
      <c r="M6" s="222">
        <f t="shared" si="1"/>
        <v>3.7000000000000002E-3</v>
      </c>
      <c r="N6" s="212">
        <f>L6/I6</f>
        <v>5</v>
      </c>
      <c r="O6" s="212">
        <f>L6/H6</f>
        <v>4.1973908111174137E-2</v>
      </c>
      <c r="P6" s="212"/>
      <c r="Q6" s="212"/>
      <c r="R6" s="212"/>
      <c r="S6" s="212">
        <v>4100</v>
      </c>
      <c r="T6" s="152" t="s">
        <v>61</v>
      </c>
      <c r="U6" s="212">
        <f>S6/((I6*200000)/H6)</f>
        <v>2.4419932432432434</v>
      </c>
      <c r="V6" s="223" t="s">
        <v>141</v>
      </c>
      <c r="W6" s="152" t="s">
        <v>85</v>
      </c>
      <c r="X6" s="294"/>
      <c r="Y6" s="224">
        <f t="shared" ref="Y6:Y7" si="2">U6*O6</f>
        <v>0.10250000000000001</v>
      </c>
      <c r="Z6" s="334"/>
      <c r="AA6" s="334"/>
      <c r="AB6" s="334"/>
    </row>
    <row r="7" spans="1:37" s="114" customFormat="1" ht="17.5">
      <c r="A7" s="291"/>
      <c r="B7" s="113"/>
      <c r="C7" s="113"/>
      <c r="D7" s="113" t="s">
        <v>131</v>
      </c>
      <c r="E7" s="113" t="s">
        <v>86</v>
      </c>
      <c r="F7" s="221" t="s">
        <v>114</v>
      </c>
      <c r="G7" s="113"/>
      <c r="H7" s="229">
        <v>84.16</v>
      </c>
      <c r="I7" s="229">
        <v>0.77900000000000003</v>
      </c>
      <c r="J7" s="229">
        <f>O7/O$4</f>
        <v>17.99000000000003</v>
      </c>
      <c r="K7" s="113"/>
      <c r="L7" s="229">
        <v>1.5125570297131701</v>
      </c>
      <c r="M7" s="229">
        <f t="shared" si="1"/>
        <v>1.5125570297131702E-3</v>
      </c>
      <c r="N7" s="229">
        <f>L7/I7</f>
        <v>1.9416649932133119</v>
      </c>
      <c r="O7" s="229">
        <f>L7/H7</f>
        <v>1.7972398166743942E-2</v>
      </c>
      <c r="P7" s="113"/>
      <c r="Q7" s="113"/>
      <c r="R7" s="113"/>
      <c r="S7" s="229">
        <v>4120</v>
      </c>
      <c r="T7" s="113" t="s">
        <v>61</v>
      </c>
      <c r="U7" s="229">
        <f>S7/((I7*200000)/H7)</f>
        <v>2.225540436456996</v>
      </c>
      <c r="V7" s="228" t="s">
        <v>142</v>
      </c>
      <c r="W7" s="113" t="s">
        <v>87</v>
      </c>
      <c r="X7" s="294"/>
      <c r="Y7" s="224">
        <f t="shared" si="2"/>
        <v>3.999829886019423E-2</v>
      </c>
      <c r="Z7" s="334"/>
      <c r="AA7" s="334"/>
      <c r="AB7" s="334"/>
    </row>
    <row r="8" spans="1:37" ht="17.5">
      <c r="A8" s="291"/>
      <c r="B8" s="17"/>
      <c r="C8" s="17"/>
      <c r="D8" s="17" t="s">
        <v>41</v>
      </c>
      <c r="E8" s="17" t="s">
        <v>42</v>
      </c>
      <c r="F8" s="120" t="s">
        <v>114</v>
      </c>
      <c r="G8" s="17"/>
      <c r="H8" s="21">
        <v>88.11</v>
      </c>
      <c r="I8" s="21">
        <v>0.90200000000000002</v>
      </c>
      <c r="J8" s="21">
        <f t="shared" ref="J8" si="3">O8/O$4</f>
        <v>11.760000000000019</v>
      </c>
      <c r="K8" s="17"/>
      <c r="L8" s="21">
        <v>1.0351597837169799</v>
      </c>
      <c r="M8" s="21">
        <f>L8/1000</f>
        <v>1.0351597837169799E-3</v>
      </c>
      <c r="N8" s="21">
        <f>L8/I8</f>
        <v>1.147627254675144</v>
      </c>
      <c r="O8" s="21">
        <f>L8/H8</f>
        <v>1.1748493743241176E-2</v>
      </c>
      <c r="P8" s="17"/>
      <c r="Q8" s="17"/>
      <c r="R8" s="17"/>
      <c r="S8" s="21">
        <v>3650</v>
      </c>
      <c r="T8" s="17" t="s">
        <v>61</v>
      </c>
      <c r="U8" s="21">
        <f>S8/((I8*200000)/H8)</f>
        <v>1.7827134146341463</v>
      </c>
      <c r="V8" s="54" t="s">
        <v>115</v>
      </c>
      <c r="W8" s="17" t="s">
        <v>43</v>
      </c>
      <c r="X8" s="294"/>
      <c r="Y8" s="30">
        <f>U8*O8</f>
        <v>2.0944197397821381E-2</v>
      </c>
      <c r="Z8" s="334"/>
      <c r="AA8" s="334"/>
      <c r="AB8" s="334"/>
    </row>
    <row r="9" spans="1:37" ht="17.5">
      <c r="A9" s="292"/>
      <c r="B9" s="97"/>
      <c r="C9" s="95" t="s">
        <v>210</v>
      </c>
      <c r="D9" s="97"/>
      <c r="E9" s="168" t="s">
        <v>88</v>
      </c>
      <c r="F9" s="169" t="s">
        <v>44</v>
      </c>
      <c r="G9" s="169" t="s">
        <v>89</v>
      </c>
      <c r="H9" s="71">
        <v>262.26</v>
      </c>
      <c r="I9" s="71"/>
      <c r="J9" s="71"/>
      <c r="K9" s="71"/>
      <c r="L9" s="71"/>
      <c r="M9" s="71"/>
      <c r="N9" s="71"/>
      <c r="O9" s="98"/>
      <c r="P9" s="172">
        <v>0.24399999999999999</v>
      </c>
      <c r="Q9" s="173">
        <f>P9/1000</f>
        <v>2.4399999999999999E-4</v>
      </c>
      <c r="R9" s="173">
        <f>P9/H9</f>
        <v>9.3037443758102651E-4</v>
      </c>
      <c r="S9" s="71"/>
      <c r="T9" s="97"/>
      <c r="U9" s="71"/>
      <c r="V9" s="97"/>
      <c r="W9" s="97"/>
      <c r="X9" s="295"/>
      <c r="Y9" s="68"/>
      <c r="Z9" s="334"/>
      <c r="AA9" s="334"/>
      <c r="AB9" s="334"/>
      <c r="AC9" s="161"/>
      <c r="AD9" s="161"/>
      <c r="AE9" s="44"/>
      <c r="AF9" s="44"/>
      <c r="AG9" s="53"/>
      <c r="AH9" s="53"/>
      <c r="AI9" s="53"/>
      <c r="AJ9" s="53"/>
      <c r="AK9" s="52"/>
    </row>
    <row r="10" spans="1:37" ht="16" customHeight="1">
      <c r="A10" s="262" t="s">
        <v>211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12"/>
      <c r="X10" s="293">
        <f>R17/O11</f>
        <v>0.89992398086851866</v>
      </c>
      <c r="Y10" s="143"/>
      <c r="Z10" s="278">
        <v>25</v>
      </c>
      <c r="AA10" s="278">
        <v>1</v>
      </c>
      <c r="AB10" s="278">
        <v>24</v>
      </c>
    </row>
    <row r="11" spans="1:37" s="52" customFormat="1" ht="17.5">
      <c r="A11" s="263"/>
      <c r="B11" s="51" t="s">
        <v>210</v>
      </c>
      <c r="D11" s="44"/>
      <c r="E11" s="170" t="s">
        <v>88</v>
      </c>
      <c r="F11" s="171" t="s">
        <v>44</v>
      </c>
      <c r="G11" s="171" t="s">
        <v>89</v>
      </c>
      <c r="H11" s="53">
        <v>262.26</v>
      </c>
      <c r="I11" s="53"/>
      <c r="J11" s="53"/>
      <c r="K11" s="53"/>
      <c r="L11" s="174">
        <v>0.26200000000000001</v>
      </c>
      <c r="M11" s="175">
        <f>L11/1000</f>
        <v>2.6200000000000003E-4</v>
      </c>
      <c r="O11" s="176">
        <f t="shared" ref="O11:O16" si="4">L11/H11</f>
        <v>9.9900861740257764E-4</v>
      </c>
      <c r="S11" s="53"/>
      <c r="T11" s="44"/>
      <c r="U11" s="53"/>
      <c r="V11" s="44"/>
      <c r="W11" s="73"/>
      <c r="X11" s="294"/>
      <c r="Y11" s="30"/>
      <c r="Z11" s="279"/>
      <c r="AA11" s="279"/>
      <c r="AB11" s="279"/>
      <c r="AC11" s="161"/>
      <c r="AD11" s="161"/>
      <c r="AE11" s="44"/>
      <c r="AF11" s="44"/>
      <c r="AG11" s="53"/>
      <c r="AH11" s="53"/>
      <c r="AI11" s="53"/>
      <c r="AJ11" s="53"/>
    </row>
    <row r="12" spans="1:37" s="225" customFormat="1" ht="17.5">
      <c r="A12" s="263"/>
      <c r="B12" s="152"/>
      <c r="C12" s="152"/>
      <c r="D12" s="152" t="s">
        <v>91</v>
      </c>
      <c r="E12" s="152" t="s">
        <v>84</v>
      </c>
      <c r="F12" s="221" t="s">
        <v>47</v>
      </c>
      <c r="G12" s="152"/>
      <c r="H12" s="212">
        <v>88.15</v>
      </c>
      <c r="I12" s="212">
        <v>0.74</v>
      </c>
      <c r="J12" s="212">
        <f>O12/O11</f>
        <v>84.031123215546017</v>
      </c>
      <c r="K12" s="212">
        <v>0.998</v>
      </c>
      <c r="L12" s="212">
        <f>7.4</f>
        <v>7.4</v>
      </c>
      <c r="M12" s="222">
        <f t="shared" ref="M12:M15" si="5">L12/1000</f>
        <v>7.4000000000000003E-3</v>
      </c>
      <c r="N12" s="212">
        <f>L12/I12</f>
        <v>10</v>
      </c>
      <c r="O12" s="226">
        <f t="shared" si="4"/>
        <v>8.3947816222348273E-2</v>
      </c>
      <c r="P12" s="212"/>
      <c r="Q12" s="212"/>
      <c r="R12" s="212"/>
      <c r="S12" s="212">
        <f>4100</f>
        <v>4100</v>
      </c>
      <c r="T12" s="152" t="s">
        <v>61</v>
      </c>
      <c r="U12" s="212">
        <f>S12/((I12*200000)/H12)</f>
        <v>2.4419932432432434</v>
      </c>
      <c r="V12" s="223" t="s">
        <v>141</v>
      </c>
      <c r="W12" s="227" t="s">
        <v>85</v>
      </c>
      <c r="X12" s="294"/>
      <c r="Y12" s="224">
        <f t="shared" ref="Y12" si="6">U12*O12</f>
        <v>0.20500000000000002</v>
      </c>
      <c r="Z12" s="279"/>
      <c r="AA12" s="279"/>
      <c r="AB12" s="279"/>
    </row>
    <row r="13" spans="1:37" s="52" customFormat="1" ht="18" thickBot="1">
      <c r="A13" s="264"/>
      <c r="B13" s="44"/>
      <c r="C13" s="44"/>
      <c r="D13" s="106" t="s">
        <v>94</v>
      </c>
      <c r="E13" s="44" t="s">
        <v>95</v>
      </c>
      <c r="F13" s="139" t="s">
        <v>34</v>
      </c>
      <c r="G13" s="106"/>
      <c r="H13" s="107">
        <f>1.008*2</f>
        <v>2.016</v>
      </c>
      <c r="I13" s="107">
        <v>4.0450000000000002E-4</v>
      </c>
      <c r="J13" s="107">
        <f>O13/O$11</f>
        <v>0.99304798255179927</v>
      </c>
      <c r="K13" s="107" t="s">
        <v>97</v>
      </c>
      <c r="L13" s="109">
        <f>0.002</f>
        <v>2E-3</v>
      </c>
      <c r="M13" s="108">
        <f t="shared" si="5"/>
        <v>1.9999999999999999E-6</v>
      </c>
      <c r="N13" s="107">
        <f>L13/I13</f>
        <v>4.9443757725587147</v>
      </c>
      <c r="O13" s="109">
        <f t="shared" si="4"/>
        <v>9.9206349206349201E-4</v>
      </c>
      <c r="P13" s="140"/>
      <c r="Q13" s="107"/>
      <c r="R13" s="107"/>
      <c r="S13" s="107">
        <f>243</f>
        <v>243</v>
      </c>
      <c r="T13" s="106" t="s">
        <v>99</v>
      </c>
      <c r="U13" s="107">
        <f>S13/((I13*56000)/H13)</f>
        <v>21.626699629171817</v>
      </c>
      <c r="V13" s="141" t="s">
        <v>98</v>
      </c>
      <c r="W13" s="110" t="s">
        <v>96</v>
      </c>
      <c r="X13" s="294"/>
      <c r="Y13" s="111">
        <f>U13*O13</f>
        <v>2.1455059155924421E-2</v>
      </c>
      <c r="Z13" s="279"/>
      <c r="AA13" s="279"/>
      <c r="AB13" s="279"/>
    </row>
    <row r="14" spans="1:37" s="133" customFormat="1" ht="16" customHeight="1">
      <c r="A14" s="333" t="s">
        <v>212</v>
      </c>
      <c r="B14" s="165"/>
      <c r="C14" s="166" t="s">
        <v>215</v>
      </c>
      <c r="D14" s="163" t="s">
        <v>104</v>
      </c>
      <c r="E14" s="136" t="s">
        <v>105</v>
      </c>
      <c r="F14" s="137" t="s">
        <v>92</v>
      </c>
      <c r="G14" s="128"/>
      <c r="H14" s="128">
        <v>106.42</v>
      </c>
      <c r="I14" s="129"/>
      <c r="J14" s="129">
        <f>O14/O$11</f>
        <v>1.9940836466772159E-2</v>
      </c>
      <c r="K14" s="129" t="s">
        <v>93</v>
      </c>
      <c r="L14" s="130">
        <v>2.1199999999999999E-3</v>
      </c>
      <c r="M14" s="131">
        <f t="shared" si="5"/>
        <v>2.12E-6</v>
      </c>
      <c r="N14" s="129"/>
      <c r="O14" s="131">
        <f>L14/H14</f>
        <v>1.9921067468520955E-5</v>
      </c>
      <c r="P14" s="129"/>
      <c r="Q14" s="129"/>
      <c r="R14" s="129"/>
      <c r="S14" s="129">
        <f>2</f>
        <v>2</v>
      </c>
      <c r="T14" s="128" t="s">
        <v>140</v>
      </c>
      <c r="U14" s="129">
        <f>S14/(2/H14)</f>
        <v>106.42</v>
      </c>
      <c r="V14" s="128" t="s">
        <v>69</v>
      </c>
      <c r="W14" s="162" t="s">
        <v>69</v>
      </c>
      <c r="X14" s="294"/>
      <c r="Y14" s="164">
        <f>U14*O14</f>
        <v>2.1199999999999999E-3</v>
      </c>
      <c r="Z14" s="279"/>
      <c r="AA14" s="279"/>
      <c r="AB14" s="279"/>
    </row>
    <row r="15" spans="1:37" s="114" customFormat="1" ht="17.5">
      <c r="A15" s="281"/>
      <c r="B15" s="113"/>
      <c r="C15" s="113"/>
      <c r="D15" s="113" t="s">
        <v>131</v>
      </c>
      <c r="E15" s="113" t="s">
        <v>86</v>
      </c>
      <c r="F15" s="221" t="s">
        <v>114</v>
      </c>
      <c r="G15" s="113"/>
      <c r="H15" s="229">
        <v>84.16</v>
      </c>
      <c r="I15" s="229">
        <v>0.77900000000000003</v>
      </c>
      <c r="J15" s="229">
        <f>O15/O$11</f>
        <v>17.99023337103155</v>
      </c>
      <c r="K15" s="113"/>
      <c r="L15" s="229">
        <v>1.5125570297131701</v>
      </c>
      <c r="M15" s="229">
        <f t="shared" si="5"/>
        <v>1.5125570297131702E-3</v>
      </c>
      <c r="N15" s="229">
        <f>L15/I15</f>
        <v>1.9416649932133119</v>
      </c>
      <c r="O15" s="229">
        <f t="shared" si="4"/>
        <v>1.7972398166743942E-2</v>
      </c>
      <c r="P15" s="113"/>
      <c r="Q15" s="113"/>
      <c r="R15" s="113"/>
      <c r="S15" s="229">
        <v>4120</v>
      </c>
      <c r="T15" s="113" t="s">
        <v>61</v>
      </c>
      <c r="U15" s="229">
        <f>S15/((I15*200000)/H15)</f>
        <v>2.225540436456996</v>
      </c>
      <c r="V15" s="228" t="s">
        <v>142</v>
      </c>
      <c r="W15" s="113" t="s">
        <v>87</v>
      </c>
      <c r="X15" s="294"/>
      <c r="Y15" s="224">
        <f t="shared" ref="Y15" si="7">U15*O15</f>
        <v>3.999829886019423E-2</v>
      </c>
      <c r="Z15" s="279"/>
      <c r="AA15" s="279"/>
      <c r="AB15" s="279"/>
    </row>
    <row r="16" spans="1:37" ht="17.5">
      <c r="A16" s="281"/>
      <c r="B16" s="17"/>
      <c r="C16" s="17"/>
      <c r="D16" s="17" t="s">
        <v>41</v>
      </c>
      <c r="E16" s="17" t="s">
        <v>42</v>
      </c>
      <c r="F16" s="120" t="s">
        <v>114</v>
      </c>
      <c r="G16" s="17"/>
      <c r="H16" s="21">
        <v>88.11</v>
      </c>
      <c r="I16" s="21">
        <v>0.90200000000000002</v>
      </c>
      <c r="J16" s="21">
        <f>O16/O$11</f>
        <v>11.760152553826071</v>
      </c>
      <c r="K16" s="17"/>
      <c r="L16" s="21">
        <v>1.0351597837169799</v>
      </c>
      <c r="M16" s="21">
        <f>L16/1000</f>
        <v>1.0351597837169799E-3</v>
      </c>
      <c r="N16" s="21">
        <f>L16/I16</f>
        <v>1.147627254675144</v>
      </c>
      <c r="O16" s="21">
        <f t="shared" si="4"/>
        <v>1.1748493743241176E-2</v>
      </c>
      <c r="P16" s="17"/>
      <c r="Q16" s="17"/>
      <c r="R16" s="17"/>
      <c r="S16" s="21">
        <v>3650</v>
      </c>
      <c r="T16" s="17" t="s">
        <v>61</v>
      </c>
      <c r="U16" s="21">
        <f>S16/((I16*200000)/H16)</f>
        <v>1.7827134146341463</v>
      </c>
      <c r="V16" s="54" t="s">
        <v>115</v>
      </c>
      <c r="W16" s="17" t="s">
        <v>43</v>
      </c>
      <c r="X16" s="294"/>
      <c r="Y16" s="30">
        <f>U16*O16</f>
        <v>2.0944197397821381E-2</v>
      </c>
      <c r="Z16" s="279"/>
      <c r="AA16" s="279"/>
      <c r="AB16" s="279"/>
    </row>
    <row r="17" spans="1:28" ht="17.5">
      <c r="A17" s="282"/>
      <c r="B17" s="97"/>
      <c r="C17" s="95" t="s">
        <v>214</v>
      </c>
      <c r="D17" s="97"/>
      <c r="E17" s="168" t="s">
        <v>112</v>
      </c>
      <c r="F17" s="169" t="s">
        <v>44</v>
      </c>
      <c r="G17" s="169" t="s">
        <v>118</v>
      </c>
      <c r="H17" s="71">
        <v>130.13999999999999</v>
      </c>
      <c r="I17" s="71"/>
      <c r="J17" s="71"/>
      <c r="K17" s="71"/>
      <c r="L17" s="71"/>
      <c r="M17" s="71"/>
      <c r="N17" s="71"/>
      <c r="O17" s="71"/>
      <c r="P17" s="172">
        <v>0.11700000000000001</v>
      </c>
      <c r="Q17" s="177">
        <f>P17/1000</f>
        <v>1.1700000000000001E-4</v>
      </c>
      <c r="R17" s="172">
        <f>P17/H17</f>
        <v>8.990318118948826E-4</v>
      </c>
      <c r="S17" s="71"/>
      <c r="T17" s="97"/>
      <c r="U17" s="97"/>
      <c r="V17" s="97"/>
      <c r="W17" s="97"/>
      <c r="X17" s="295"/>
      <c r="Y17" s="68"/>
      <c r="Z17" s="280"/>
      <c r="AA17" s="280"/>
      <c r="AB17" s="280"/>
    </row>
    <row r="18" spans="1:28">
      <c r="A18" s="330" t="s">
        <v>213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293">
        <f>R25/O19</f>
        <v>0.43</v>
      </c>
      <c r="Y18" s="53"/>
      <c r="Z18" s="278">
        <v>25</v>
      </c>
      <c r="AA18" s="278">
        <v>1</v>
      </c>
      <c r="AB18" s="278">
        <v>22</v>
      </c>
    </row>
    <row r="19" spans="1:28" ht="17.5">
      <c r="A19" s="331"/>
      <c r="B19" s="51" t="s">
        <v>214</v>
      </c>
      <c r="C19" s="17"/>
      <c r="D19" s="178" t="s">
        <v>118</v>
      </c>
      <c r="E19" s="179" t="s">
        <v>112</v>
      </c>
      <c r="F19" s="178" t="s">
        <v>44</v>
      </c>
      <c r="G19" s="17"/>
      <c r="H19" s="21">
        <v>130.13999999999999</v>
      </c>
      <c r="I19" s="17"/>
      <c r="J19" s="21">
        <f>O19/O19</f>
        <v>1</v>
      </c>
      <c r="K19" s="17"/>
      <c r="L19" s="180">
        <v>0.13</v>
      </c>
      <c r="M19" s="181">
        <f>L19/1000</f>
        <v>1.3000000000000002E-4</v>
      </c>
      <c r="N19" s="17"/>
      <c r="O19" s="182">
        <f t="shared" ref="O19" si="8">L19/H19</f>
        <v>9.9892423543875833E-4</v>
      </c>
      <c r="P19" s="17"/>
      <c r="Q19" s="17"/>
      <c r="R19" s="17"/>
      <c r="S19" s="17"/>
      <c r="T19" s="17"/>
      <c r="U19" s="17"/>
      <c r="V19" s="17"/>
      <c r="W19" s="17"/>
      <c r="X19" s="294"/>
      <c r="Y19" s="53"/>
      <c r="Z19" s="279"/>
      <c r="AA19" s="279"/>
      <c r="AB19" s="279"/>
    </row>
    <row r="20" spans="1:28" s="225" customFormat="1" ht="17.5">
      <c r="A20" s="331"/>
      <c r="B20" s="152"/>
      <c r="C20" s="152"/>
      <c r="D20" s="152" t="s">
        <v>91</v>
      </c>
      <c r="E20" s="152" t="s">
        <v>84</v>
      </c>
      <c r="F20" s="221" t="s">
        <v>47</v>
      </c>
      <c r="G20" s="152"/>
      <c r="H20" s="212">
        <v>88.15</v>
      </c>
      <c r="I20" s="212">
        <v>0.74</v>
      </c>
      <c r="J20" s="212">
        <f>O20/O$19</f>
        <v>84.038221562895416</v>
      </c>
      <c r="K20" s="212">
        <v>0.998</v>
      </c>
      <c r="L20" s="212">
        <f>7.4</f>
        <v>7.4</v>
      </c>
      <c r="M20" s="222">
        <f t="shared" ref="M20:M23" si="9">L20/1000</f>
        <v>7.4000000000000003E-3</v>
      </c>
      <c r="N20" s="212">
        <f>L20/I20</f>
        <v>10</v>
      </c>
      <c r="O20" s="226">
        <f>L20/H20</f>
        <v>8.3947816222348273E-2</v>
      </c>
      <c r="P20" s="212"/>
      <c r="Q20" s="212"/>
      <c r="R20" s="212"/>
      <c r="S20" s="212">
        <f>4100</f>
        <v>4100</v>
      </c>
      <c r="T20" s="152" t="s">
        <v>61</v>
      </c>
      <c r="U20" s="212">
        <f>S20/((I20*200000)/H20)</f>
        <v>2.4419932432432434</v>
      </c>
      <c r="V20" s="228" t="s">
        <v>141</v>
      </c>
      <c r="W20" s="152" t="s">
        <v>85</v>
      </c>
      <c r="X20" s="294"/>
      <c r="Y20" s="212">
        <f t="shared" ref="Y20:Y23" si="10">U20*O20</f>
        <v>0.20500000000000002</v>
      </c>
      <c r="Z20" s="279"/>
      <c r="AA20" s="279"/>
      <c r="AB20" s="279"/>
    </row>
    <row r="21" spans="1:28" s="148" customFormat="1">
      <c r="A21" s="331"/>
      <c r="B21" s="144"/>
      <c r="C21" s="144"/>
      <c r="D21" s="138" t="s">
        <v>106</v>
      </c>
      <c r="E21" s="149" t="s">
        <v>107</v>
      </c>
      <c r="F21" s="137" t="s">
        <v>101</v>
      </c>
      <c r="G21" s="144"/>
      <c r="H21" s="147">
        <v>238.202</v>
      </c>
      <c r="I21" s="144"/>
      <c r="J21" s="145">
        <f>O21/O$19</f>
        <v>5.4634301978992612E-2</v>
      </c>
      <c r="K21" s="144" t="s">
        <v>108</v>
      </c>
      <c r="L21" s="145">
        <v>1.2999999999999999E-2</v>
      </c>
      <c r="M21" s="146">
        <f t="shared" si="9"/>
        <v>1.2999999999999999E-5</v>
      </c>
      <c r="N21" s="145"/>
      <c r="O21" s="146">
        <f>L21/H21</f>
        <v>5.4575528333095438E-5</v>
      </c>
      <c r="P21" s="144"/>
      <c r="Q21" s="144"/>
      <c r="R21" s="144"/>
      <c r="S21" s="145">
        <v>202</v>
      </c>
      <c r="T21" s="144" t="s">
        <v>102</v>
      </c>
      <c r="U21" s="145">
        <f>S21/(500/H21)</f>
        <v>96.233608000000004</v>
      </c>
      <c r="V21" s="144" t="s">
        <v>103</v>
      </c>
      <c r="W21" s="144" t="s">
        <v>100</v>
      </c>
      <c r="X21" s="294"/>
      <c r="Y21" s="153">
        <f t="shared" si="10"/>
        <v>5.2519999999999997E-3</v>
      </c>
      <c r="Z21" s="279"/>
      <c r="AA21" s="279"/>
      <c r="AB21" s="279"/>
    </row>
    <row r="22" spans="1:28" ht="17.5">
      <c r="A22" s="331"/>
      <c r="B22" s="17"/>
      <c r="C22" s="17"/>
      <c r="D22" s="54" t="s">
        <v>134</v>
      </c>
      <c r="E22" s="17" t="s">
        <v>109</v>
      </c>
      <c r="F22" s="37" t="s">
        <v>34</v>
      </c>
      <c r="G22" s="17"/>
      <c r="H22" s="17">
        <v>130.13999999999999</v>
      </c>
      <c r="I22" s="21">
        <v>1.0149999999999999</v>
      </c>
      <c r="J22" s="21">
        <f>O22/O$19</f>
        <v>1</v>
      </c>
      <c r="K22" s="151">
        <v>0.99</v>
      </c>
      <c r="L22" s="21">
        <v>0.13</v>
      </c>
      <c r="M22" s="74">
        <f t="shared" si="9"/>
        <v>1.3000000000000002E-4</v>
      </c>
      <c r="N22" s="21">
        <f>L22/I22</f>
        <v>0.12807881773399016</v>
      </c>
      <c r="O22" s="21">
        <f>L22/H22</f>
        <v>9.9892423543875833E-4</v>
      </c>
      <c r="P22" s="17"/>
      <c r="Q22" s="17"/>
      <c r="R22" s="17"/>
      <c r="S22" s="21">
        <v>60.4</v>
      </c>
      <c r="T22" s="17" t="s">
        <v>143</v>
      </c>
      <c r="U22" s="229">
        <f>S22/((I22*1000)/H22)</f>
        <v>7.7442916256157641</v>
      </c>
      <c r="V22" s="54">
        <v>8006801000</v>
      </c>
      <c r="W22" s="17" t="s">
        <v>110</v>
      </c>
      <c r="X22" s="294"/>
      <c r="Y22" s="53">
        <f t="shared" si="10"/>
        <v>7.7359605911330063E-3</v>
      </c>
      <c r="Z22" s="279"/>
      <c r="AA22" s="279"/>
      <c r="AB22" s="279"/>
    </row>
    <row r="23" spans="1:28" s="114" customFormat="1" ht="17.5">
      <c r="A23" s="331"/>
      <c r="B23" s="113"/>
      <c r="C23" s="113"/>
      <c r="D23" s="113" t="s">
        <v>131</v>
      </c>
      <c r="E23" s="113" t="s">
        <v>86</v>
      </c>
      <c r="F23" s="221" t="s">
        <v>114</v>
      </c>
      <c r="G23" s="113"/>
      <c r="H23" s="229">
        <v>84.16</v>
      </c>
      <c r="I23" s="229">
        <v>0.77900000000000003</v>
      </c>
      <c r="J23" s="229">
        <f>O23/O$19</f>
        <v>17.991753057077357</v>
      </c>
      <c r="K23" s="113"/>
      <c r="L23" s="229">
        <v>1.5125570297131701</v>
      </c>
      <c r="M23" s="229">
        <f t="shared" si="9"/>
        <v>1.5125570297131702E-3</v>
      </c>
      <c r="N23" s="229">
        <f>L23/I23</f>
        <v>1.9416649932133119</v>
      </c>
      <c r="O23" s="229">
        <f>L23/H23</f>
        <v>1.7972398166743942E-2</v>
      </c>
      <c r="P23" s="113"/>
      <c r="Q23" s="113"/>
      <c r="R23" s="113"/>
      <c r="S23" s="229">
        <v>4120</v>
      </c>
      <c r="T23" s="113" t="s">
        <v>61</v>
      </c>
      <c r="U23" s="229">
        <f>S23/((I23*200000)/H23)</f>
        <v>2.225540436456996</v>
      </c>
      <c r="V23" s="228" t="s">
        <v>142</v>
      </c>
      <c r="W23" s="113" t="s">
        <v>87</v>
      </c>
      <c r="X23" s="294"/>
      <c r="Y23" s="212">
        <f t="shared" si="10"/>
        <v>3.999829886019423E-2</v>
      </c>
      <c r="Z23" s="279"/>
      <c r="AA23" s="279"/>
      <c r="AB23" s="279"/>
    </row>
    <row r="24" spans="1:28" ht="17.5">
      <c r="A24" s="331"/>
      <c r="B24" s="17"/>
      <c r="C24" s="17"/>
      <c r="D24" s="17" t="s">
        <v>41</v>
      </c>
      <c r="E24" s="17" t="s">
        <v>42</v>
      </c>
      <c r="F24" s="120" t="s">
        <v>114</v>
      </c>
      <c r="G24" s="17"/>
      <c r="H24" s="21">
        <v>88.11</v>
      </c>
      <c r="I24" s="21">
        <v>0.90200000000000002</v>
      </c>
      <c r="J24" s="21">
        <f>O24/O$19</f>
        <v>11.761145967272357</v>
      </c>
      <c r="K24" s="17"/>
      <c r="L24" s="21">
        <v>1.0351597837169799</v>
      </c>
      <c r="M24" s="21">
        <f>L24/1000</f>
        <v>1.0351597837169799E-3</v>
      </c>
      <c r="N24" s="21">
        <f>L24/I24</f>
        <v>1.147627254675144</v>
      </c>
      <c r="O24" s="21">
        <f>L24/H24</f>
        <v>1.1748493743241176E-2</v>
      </c>
      <c r="P24" s="17"/>
      <c r="Q24" s="17"/>
      <c r="R24" s="17"/>
      <c r="S24" s="21">
        <v>3650</v>
      </c>
      <c r="T24" s="17" t="s">
        <v>61</v>
      </c>
      <c r="U24" s="21">
        <f>S24/((I24*200000)/H24)</f>
        <v>1.7827134146341463</v>
      </c>
      <c r="V24" s="54" t="s">
        <v>115</v>
      </c>
      <c r="W24" s="17" t="s">
        <v>43</v>
      </c>
      <c r="X24" s="294"/>
      <c r="Y24" s="53">
        <f>U24*O24</f>
        <v>2.0944197397821381E-2</v>
      </c>
      <c r="Z24" s="279"/>
      <c r="AA24" s="279"/>
      <c r="AB24" s="279"/>
    </row>
    <row r="25" spans="1:28" ht="17.5">
      <c r="A25" s="332"/>
      <c r="B25" s="97"/>
      <c r="C25" s="95" t="s">
        <v>216</v>
      </c>
      <c r="D25" s="97" t="s">
        <v>111</v>
      </c>
      <c r="E25" s="96" t="s">
        <v>112</v>
      </c>
      <c r="F25" s="95" t="s">
        <v>116</v>
      </c>
      <c r="G25" s="96" t="s">
        <v>113</v>
      </c>
      <c r="H25" s="71">
        <v>130.143</v>
      </c>
      <c r="I25" s="97"/>
      <c r="J25" s="97"/>
      <c r="K25" s="167">
        <v>0.99</v>
      </c>
      <c r="L25" s="97"/>
      <c r="M25" s="97"/>
      <c r="N25" s="97"/>
      <c r="O25" s="97"/>
      <c r="P25" s="240">
        <f>R25*H25</f>
        <v>5.5901288612263719E-2</v>
      </c>
      <c r="Q25" s="244">
        <f>P25/1000</f>
        <v>5.5901288612263719E-5</v>
      </c>
      <c r="R25" s="243">
        <v>4.2953742123866609E-4</v>
      </c>
      <c r="S25" s="97"/>
      <c r="T25" s="97"/>
      <c r="U25" s="97"/>
      <c r="V25" s="97"/>
      <c r="W25" s="97"/>
      <c r="X25" s="295"/>
      <c r="Y25" s="97"/>
      <c r="Z25" s="280"/>
      <c r="AA25" s="280"/>
      <c r="AB25" s="280"/>
    </row>
    <row r="26" spans="1:28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</row>
    <row r="27" spans="1:28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</row>
    <row r="28" spans="1:28">
      <c r="A28" s="272" t="s">
        <v>197</v>
      </c>
      <c r="B28" s="273"/>
      <c r="C28" s="273"/>
      <c r="D28" s="273"/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273"/>
      <c r="P28" s="273"/>
      <c r="Q28" s="273"/>
      <c r="R28" s="273"/>
      <c r="S28" s="273"/>
      <c r="T28" s="273"/>
      <c r="U28" s="273"/>
      <c r="V28" s="273"/>
      <c r="W28" s="273"/>
      <c r="X28" s="273"/>
      <c r="Y28" s="273"/>
      <c r="Z28" s="273"/>
      <c r="AA28" s="273"/>
      <c r="AB28" s="274"/>
    </row>
    <row r="29" spans="1:28">
      <c r="A29" s="1" t="s">
        <v>0</v>
      </c>
      <c r="B29" s="5" t="s">
        <v>1</v>
      </c>
      <c r="C29" s="5" t="s">
        <v>2</v>
      </c>
      <c r="D29" s="4" t="s">
        <v>3</v>
      </c>
      <c r="E29" s="5" t="s">
        <v>4</v>
      </c>
      <c r="F29" s="5" t="s">
        <v>5</v>
      </c>
      <c r="G29" s="5" t="s">
        <v>6</v>
      </c>
      <c r="H29" s="6" t="s">
        <v>7</v>
      </c>
      <c r="I29" s="1" t="s">
        <v>8</v>
      </c>
      <c r="J29" s="1" t="s">
        <v>9</v>
      </c>
      <c r="K29" s="1" t="s">
        <v>10</v>
      </c>
      <c r="L29" s="6" t="s">
        <v>11</v>
      </c>
      <c r="M29" s="7" t="s">
        <v>12</v>
      </c>
      <c r="N29" s="1" t="s">
        <v>13</v>
      </c>
      <c r="O29" s="6" t="s">
        <v>14</v>
      </c>
      <c r="P29" s="6" t="s">
        <v>15</v>
      </c>
      <c r="Q29" s="7" t="s">
        <v>16</v>
      </c>
      <c r="R29" s="1" t="s">
        <v>17</v>
      </c>
      <c r="S29" s="1" t="s">
        <v>18</v>
      </c>
      <c r="T29" s="1" t="s">
        <v>19</v>
      </c>
      <c r="U29" s="1" t="s">
        <v>20</v>
      </c>
      <c r="V29" s="93" t="s">
        <v>21</v>
      </c>
      <c r="W29" s="1" t="s">
        <v>22</v>
      </c>
      <c r="X29" s="40" t="s">
        <v>23</v>
      </c>
      <c r="Y29" s="1" t="s">
        <v>24</v>
      </c>
      <c r="Z29" s="9" t="s">
        <v>25</v>
      </c>
      <c r="AA29" s="1" t="s">
        <v>26</v>
      </c>
      <c r="AB29" s="82" t="s">
        <v>27</v>
      </c>
    </row>
    <row r="30" spans="1:28" ht="17.5">
      <c r="A30" s="335" t="s">
        <v>209</v>
      </c>
      <c r="B30" s="99">
        <v>11</v>
      </c>
      <c r="C30" s="12"/>
      <c r="D30" s="100" t="s">
        <v>132</v>
      </c>
      <c r="E30" s="101" t="s">
        <v>76</v>
      </c>
      <c r="F30" s="119" t="s">
        <v>59</v>
      </c>
      <c r="G30" s="12"/>
      <c r="H30" s="102">
        <v>194.19</v>
      </c>
      <c r="I30" s="102"/>
      <c r="J30" s="102">
        <f>O30/O30</f>
        <v>1</v>
      </c>
      <c r="K30" s="102"/>
      <c r="L30" s="123">
        <f>O30*H30</f>
        <v>0.23175758336899935</v>
      </c>
      <c r="M30" s="124">
        <f>L30/1000</f>
        <v>2.3175758336899934E-4</v>
      </c>
      <c r="N30" s="122"/>
      <c r="O30" s="125">
        <v>1.1934578679077159E-3</v>
      </c>
      <c r="P30" s="102"/>
      <c r="Q30" s="102"/>
      <c r="R30" s="102"/>
      <c r="S30" s="102"/>
      <c r="T30" s="12"/>
      <c r="U30" s="12"/>
      <c r="V30" s="12"/>
      <c r="W30" s="12"/>
      <c r="X30" s="293">
        <f>R35/O30</f>
        <v>0.93</v>
      </c>
      <c r="Y30" s="66">
        <f>'Advanced Starting Material'!Y128</f>
        <v>0</v>
      </c>
      <c r="Z30" s="334">
        <v>25</v>
      </c>
      <c r="AA30" s="334">
        <v>1</v>
      </c>
      <c r="AB30" s="334">
        <v>20</v>
      </c>
    </row>
    <row r="31" spans="1:28" ht="17.5">
      <c r="A31" s="291"/>
      <c r="B31" s="51">
        <v>10</v>
      </c>
      <c r="C31" s="44"/>
      <c r="D31" s="152" t="s">
        <v>78</v>
      </c>
      <c r="E31" s="44" t="s">
        <v>79</v>
      </c>
      <c r="F31" s="37" t="s">
        <v>34</v>
      </c>
      <c r="G31" s="44"/>
      <c r="H31" s="53">
        <v>68.069999999999993</v>
      </c>
      <c r="I31" s="53">
        <v>0.93600000000000005</v>
      </c>
      <c r="J31" s="53">
        <f>O31/O30</f>
        <v>4.9997501056371636</v>
      </c>
      <c r="K31" s="53" t="s">
        <v>80</v>
      </c>
      <c r="L31" s="210">
        <f>O31*H31</f>
        <v>0.40617308425494736</v>
      </c>
      <c r="M31" s="211">
        <f t="shared" ref="M31:M33" si="11">L31/1000</f>
        <v>4.0617308425494738E-4</v>
      </c>
      <c r="N31" s="212">
        <f>L31/I31</f>
        <v>0.4339456028364822</v>
      </c>
      <c r="O31" s="213">
        <f>O30*J5</f>
        <v>5.9669911011451067E-3</v>
      </c>
      <c r="P31" s="53"/>
      <c r="Q31" s="53"/>
      <c r="R31" s="53"/>
      <c r="S31" s="53">
        <f>61.2</f>
        <v>61.2</v>
      </c>
      <c r="T31" s="44" t="s">
        <v>81</v>
      </c>
      <c r="U31" s="53">
        <f>S31/((I31*500)/H31)</f>
        <v>8.9014615384615379</v>
      </c>
      <c r="V31" s="94" t="s">
        <v>82</v>
      </c>
      <c r="W31" s="44" t="s">
        <v>83</v>
      </c>
      <c r="X31" s="294"/>
      <c r="Y31" s="30">
        <f>U31*O31</f>
        <v>5.3114941787185427E-2</v>
      </c>
      <c r="Z31" s="334"/>
      <c r="AA31" s="334"/>
      <c r="AB31" s="334"/>
    </row>
    <row r="32" spans="1:28" s="114" customFormat="1" ht="17.5">
      <c r="A32" s="291"/>
      <c r="B32" s="152"/>
      <c r="C32" s="152"/>
      <c r="D32" s="152" t="s">
        <v>91</v>
      </c>
      <c r="E32" s="152" t="s">
        <v>84</v>
      </c>
      <c r="F32" s="221" t="s">
        <v>47</v>
      </c>
      <c r="G32" s="152"/>
      <c r="H32" s="212">
        <v>88.15</v>
      </c>
      <c r="I32" s="212">
        <v>0.74</v>
      </c>
      <c r="J32" s="212">
        <f>O32/O30</f>
        <v>42.015016577880957</v>
      </c>
      <c r="K32" s="212">
        <v>0.998</v>
      </c>
      <c r="L32" s="212">
        <f>O32*H32</f>
        <v>4.4201188580685447</v>
      </c>
      <c r="M32" s="222">
        <f t="shared" si="11"/>
        <v>4.4201188580685448E-3</v>
      </c>
      <c r="N32" s="212">
        <f>L32/I32</f>
        <v>5.9731335919845199</v>
      </c>
      <c r="O32" s="212">
        <f>O30*J6</f>
        <v>5.0143152105145146E-2</v>
      </c>
      <c r="P32" s="212"/>
      <c r="Q32" s="212"/>
      <c r="R32" s="212"/>
      <c r="S32" s="212">
        <f>4100</f>
        <v>4100</v>
      </c>
      <c r="T32" s="152" t="s">
        <v>61</v>
      </c>
      <c r="U32" s="212">
        <f>S32/((I32*200000)/H32)</f>
        <v>2.4419932432432434</v>
      </c>
      <c r="V32" s="228" t="s">
        <v>141</v>
      </c>
      <c r="W32" s="152" t="s">
        <v>85</v>
      </c>
      <c r="X32" s="294"/>
      <c r="Y32" s="224">
        <f t="shared" ref="Y32:Y33" si="12">U32*O32</f>
        <v>0.12244923863568266</v>
      </c>
      <c r="Z32" s="334"/>
      <c r="AA32" s="334"/>
      <c r="AB32" s="334"/>
    </row>
    <row r="33" spans="1:28" s="114" customFormat="1" ht="17.5">
      <c r="A33" s="291"/>
      <c r="B33" s="113"/>
      <c r="C33" s="113"/>
      <c r="D33" s="113" t="s">
        <v>131</v>
      </c>
      <c r="E33" s="113" t="s">
        <v>86</v>
      </c>
      <c r="F33" s="221" t="s">
        <v>114</v>
      </c>
      <c r="G33" s="113"/>
      <c r="H33" s="229">
        <v>84.16</v>
      </c>
      <c r="I33" s="229">
        <v>0.77900000000000003</v>
      </c>
      <c r="J33" s="229">
        <f>O33/O30</f>
        <v>17.99000000000003</v>
      </c>
      <c r="K33" s="113"/>
      <c r="L33" s="229">
        <f>O33*H33</f>
        <v>1.8069410407944126</v>
      </c>
      <c r="M33" s="229">
        <f t="shared" si="11"/>
        <v>1.8069410407944126E-3</v>
      </c>
      <c r="N33" s="229">
        <f>L33/I33</f>
        <v>2.3195648790685657</v>
      </c>
      <c r="O33" s="229">
        <f>O30*J7</f>
        <v>2.1470307043659848E-2</v>
      </c>
      <c r="P33" s="113"/>
      <c r="Q33" s="113"/>
      <c r="R33" s="113"/>
      <c r="S33" s="229">
        <v>4120</v>
      </c>
      <c r="T33" s="113" t="s">
        <v>61</v>
      </c>
      <c r="U33" s="229">
        <f>S33/((I33*200000)/H33)</f>
        <v>2.225540436456996</v>
      </c>
      <c r="V33" s="228" t="s">
        <v>142</v>
      </c>
      <c r="W33" s="113" t="s">
        <v>87</v>
      </c>
      <c r="X33" s="294"/>
      <c r="Y33" s="224">
        <f t="shared" si="12"/>
        <v>4.7783036508812451E-2</v>
      </c>
      <c r="Z33" s="334"/>
      <c r="AA33" s="334"/>
      <c r="AB33" s="334"/>
    </row>
    <row r="34" spans="1:28" ht="17.5">
      <c r="A34" s="291"/>
      <c r="B34" s="17"/>
      <c r="C34" s="17"/>
      <c r="D34" s="17" t="s">
        <v>41</v>
      </c>
      <c r="E34" s="17" t="s">
        <v>42</v>
      </c>
      <c r="F34" s="120" t="s">
        <v>114</v>
      </c>
      <c r="G34" s="17"/>
      <c r="H34" s="21">
        <v>88.11</v>
      </c>
      <c r="I34" s="21">
        <v>0.90200000000000002</v>
      </c>
      <c r="J34" s="21">
        <f>O34/O30</f>
        <v>11.760000000000019</v>
      </c>
      <c r="K34" s="17"/>
      <c r="L34" s="21">
        <f>O34*H34</f>
        <v>1.2366295354382646</v>
      </c>
      <c r="M34" s="21">
        <f>L34/1000</f>
        <v>1.2366295354382646E-3</v>
      </c>
      <c r="N34" s="21">
        <f>L34/I34</f>
        <v>1.3709861811954152</v>
      </c>
      <c r="O34" s="21">
        <f>O30*J8</f>
        <v>1.4035064526594762E-2</v>
      </c>
      <c r="P34" s="17"/>
      <c r="Q34" s="17"/>
      <c r="R34" s="17"/>
      <c r="S34" s="21">
        <v>3650</v>
      </c>
      <c r="T34" s="17" t="s">
        <v>61</v>
      </c>
      <c r="U34" s="21">
        <f>S34/((I34*200000)/H34)</f>
        <v>1.7827134146341463</v>
      </c>
      <c r="V34" s="54" t="s">
        <v>115</v>
      </c>
      <c r="W34" s="17" t="s">
        <v>43</v>
      </c>
      <c r="X34" s="294"/>
      <c r="Y34" s="30">
        <f>U34*O34</f>
        <v>2.5020497806816328E-2</v>
      </c>
      <c r="Z34" s="334"/>
      <c r="AA34" s="334"/>
      <c r="AB34" s="334"/>
    </row>
    <row r="35" spans="1:28" ht="17.5">
      <c r="A35" s="292"/>
      <c r="B35" s="97"/>
      <c r="C35" s="95" t="s">
        <v>210</v>
      </c>
      <c r="D35" s="97"/>
      <c r="E35" s="168" t="s">
        <v>88</v>
      </c>
      <c r="F35" s="169" t="s">
        <v>44</v>
      </c>
      <c r="G35" s="169" t="s">
        <v>89</v>
      </c>
      <c r="H35" s="71">
        <v>262.26</v>
      </c>
      <c r="I35" s="71"/>
      <c r="J35" s="71"/>
      <c r="K35" s="71"/>
      <c r="L35" s="71"/>
      <c r="M35" s="71"/>
      <c r="N35" s="71"/>
      <c r="O35" s="98"/>
      <c r="P35" s="183">
        <f>R35*H35</f>
        <v>0.29108652220685416</v>
      </c>
      <c r="Q35" s="173">
        <f>P35/1000</f>
        <v>2.9108652220685417E-4</v>
      </c>
      <c r="R35" s="173">
        <f>O37</f>
        <v>1.1099158171541759E-3</v>
      </c>
      <c r="S35" s="71"/>
      <c r="T35" s="97"/>
      <c r="U35" s="71"/>
      <c r="V35" s="97"/>
      <c r="W35" s="97"/>
      <c r="X35" s="295"/>
      <c r="Y35" s="68"/>
      <c r="Z35" s="334"/>
      <c r="AA35" s="334"/>
      <c r="AB35" s="334"/>
    </row>
    <row r="36" spans="1:28" ht="16" customHeight="1">
      <c r="A36" s="262" t="s">
        <v>211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12"/>
      <c r="X36" s="293">
        <f>R43/O37</f>
        <v>0.9</v>
      </c>
      <c r="Y36" s="143"/>
      <c r="Z36" s="278">
        <v>25</v>
      </c>
      <c r="AA36" s="278">
        <v>1</v>
      </c>
      <c r="AB36" s="278">
        <v>24</v>
      </c>
    </row>
    <row r="37" spans="1:28" ht="17.5">
      <c r="A37" s="263"/>
      <c r="B37" s="51" t="s">
        <v>210</v>
      </c>
      <c r="C37" s="52"/>
      <c r="D37" s="44"/>
      <c r="E37" s="170" t="s">
        <v>88</v>
      </c>
      <c r="F37" s="171" t="s">
        <v>44</v>
      </c>
      <c r="G37" s="171" t="s">
        <v>89</v>
      </c>
      <c r="H37" s="53">
        <v>262.26</v>
      </c>
      <c r="I37" s="53"/>
      <c r="J37" s="53"/>
      <c r="K37" s="53"/>
      <c r="L37" s="174">
        <f t="shared" ref="L37:L42" si="13">O37*H37</f>
        <v>0.29108652220685416</v>
      </c>
      <c r="M37" s="175">
        <f>L37/1000</f>
        <v>2.9108652220685417E-4</v>
      </c>
      <c r="N37" s="52"/>
      <c r="O37" s="176">
        <v>1.1099158171541759E-3</v>
      </c>
      <c r="P37" s="52"/>
      <c r="Q37" s="52"/>
      <c r="R37" s="52"/>
      <c r="S37" s="53"/>
      <c r="T37" s="44"/>
      <c r="U37" s="53"/>
      <c r="V37" s="44"/>
      <c r="W37" s="73"/>
      <c r="X37" s="294"/>
      <c r="Y37" s="30"/>
      <c r="Z37" s="279"/>
      <c r="AA37" s="279"/>
      <c r="AB37" s="279"/>
    </row>
    <row r="38" spans="1:28" s="114" customFormat="1" ht="17.5">
      <c r="A38" s="263"/>
      <c r="B38" s="152"/>
      <c r="C38" s="152"/>
      <c r="D38" s="152" t="s">
        <v>91</v>
      </c>
      <c r="E38" s="152" t="s">
        <v>84</v>
      </c>
      <c r="F38" s="221" t="s">
        <v>47</v>
      </c>
      <c r="G38" s="152"/>
      <c r="H38" s="212">
        <v>88.15</v>
      </c>
      <c r="I38" s="212">
        <v>0.74</v>
      </c>
      <c r="J38" s="212">
        <f>O38/O37</f>
        <v>84.031123215546017</v>
      </c>
      <c r="K38" s="212">
        <v>0.998</v>
      </c>
      <c r="L38" s="212">
        <f t="shared" si="13"/>
        <v>8.2215277264531323</v>
      </c>
      <c r="M38" s="222">
        <f t="shared" ref="M38:M41" si="14">L38/1000</f>
        <v>8.2215277264531331E-3</v>
      </c>
      <c r="N38" s="212">
        <f>L38/I38</f>
        <v>11.110172603315045</v>
      </c>
      <c r="O38" s="226">
        <f>O37*J12</f>
        <v>9.3267472790165992E-2</v>
      </c>
      <c r="P38" s="212"/>
      <c r="Q38" s="212"/>
      <c r="R38" s="212"/>
      <c r="S38" s="212">
        <f>4100</f>
        <v>4100</v>
      </c>
      <c r="T38" s="152" t="s">
        <v>61</v>
      </c>
      <c r="U38" s="212">
        <f>S38/((I38*200000)/H38)</f>
        <v>2.4419932432432434</v>
      </c>
      <c r="V38" s="228" t="s">
        <v>141</v>
      </c>
      <c r="W38" s="227" t="s">
        <v>85</v>
      </c>
      <c r="X38" s="294"/>
      <c r="Y38" s="224">
        <f t="shared" ref="Y38" si="15">U38*O38</f>
        <v>0.2277585383679584</v>
      </c>
      <c r="Z38" s="279"/>
      <c r="AA38" s="279"/>
      <c r="AB38" s="279"/>
    </row>
    <row r="39" spans="1:28" ht="18" thickBot="1">
      <c r="A39" s="264"/>
      <c r="B39" s="44"/>
      <c r="C39" s="44"/>
      <c r="D39" s="106" t="s">
        <v>94</v>
      </c>
      <c r="E39" s="44" t="s">
        <v>95</v>
      </c>
      <c r="F39" s="139" t="s">
        <v>34</v>
      </c>
      <c r="G39" s="106"/>
      <c r="H39" s="107">
        <f>1.008*2</f>
        <v>2.016</v>
      </c>
      <c r="I39" s="107">
        <v>4.0450000000000002E-4</v>
      </c>
      <c r="J39" s="107">
        <f>O39/O$37</f>
        <v>0.99304798255179938</v>
      </c>
      <c r="K39" s="107" t="s">
        <v>97</v>
      </c>
      <c r="L39" s="107">
        <f t="shared" si="13"/>
        <v>2.2220345206630091E-3</v>
      </c>
      <c r="M39" s="108">
        <f t="shared" si="14"/>
        <v>2.222034520663009E-6</v>
      </c>
      <c r="N39" s="107">
        <f>L39/I39</f>
        <v>5.4932868248776492</v>
      </c>
      <c r="O39" s="109">
        <f>O37*J13</f>
        <v>1.1021996630272862E-3</v>
      </c>
      <c r="P39" s="140"/>
      <c r="Q39" s="107"/>
      <c r="R39" s="107"/>
      <c r="S39" s="107">
        <f>243</f>
        <v>243</v>
      </c>
      <c r="T39" s="106" t="s">
        <v>99</v>
      </c>
      <c r="U39" s="107">
        <f>S39/((I39*56000)/H39)</f>
        <v>21.626699629171817</v>
      </c>
      <c r="V39" s="141" t="s">
        <v>98</v>
      </c>
      <c r="W39" s="110" t="s">
        <v>96</v>
      </c>
      <c r="X39" s="294"/>
      <c r="Y39" s="111">
        <f>U39*O39</f>
        <v>2.3836941043665513E-2</v>
      </c>
      <c r="Z39" s="279"/>
      <c r="AA39" s="279"/>
      <c r="AB39" s="279"/>
    </row>
    <row r="40" spans="1:28" ht="16" customHeight="1">
      <c r="A40" s="333" t="s">
        <v>212</v>
      </c>
      <c r="B40" s="165"/>
      <c r="C40" s="166" t="s">
        <v>215</v>
      </c>
      <c r="D40" s="163" t="s">
        <v>104</v>
      </c>
      <c r="E40" s="136" t="s">
        <v>105</v>
      </c>
      <c r="F40" s="137" t="s">
        <v>92</v>
      </c>
      <c r="G40" s="128"/>
      <c r="H40" s="128">
        <v>106.42</v>
      </c>
      <c r="I40" s="129"/>
      <c r="J40" s="129">
        <f>O40/O37</f>
        <v>1.9940836466772159E-2</v>
      </c>
      <c r="K40" s="129" t="s">
        <v>93</v>
      </c>
      <c r="L40" s="130">
        <f t="shared" si="13"/>
        <v>2.3553565919027897E-3</v>
      </c>
      <c r="M40" s="131">
        <f t="shared" si="14"/>
        <v>2.3553565919027899E-6</v>
      </c>
      <c r="N40" s="129"/>
      <c r="O40" s="150">
        <f>O37*J14</f>
        <v>2.2132649801755211E-5</v>
      </c>
      <c r="P40" s="129"/>
      <c r="Q40" s="129"/>
      <c r="R40" s="129"/>
      <c r="S40" s="129">
        <f>2</f>
        <v>2</v>
      </c>
      <c r="T40" s="128" t="s">
        <v>139</v>
      </c>
      <c r="U40" s="129">
        <f>S40/(2/H40)</f>
        <v>106.42</v>
      </c>
      <c r="V40" s="128" t="s">
        <v>69</v>
      </c>
      <c r="W40" s="162" t="s">
        <v>69</v>
      </c>
      <c r="X40" s="294"/>
      <c r="Y40" s="164">
        <f>U40*O40</f>
        <v>2.3553565919027897E-3</v>
      </c>
      <c r="Z40" s="279"/>
      <c r="AA40" s="279"/>
      <c r="AB40" s="279"/>
    </row>
    <row r="41" spans="1:28" s="114" customFormat="1" ht="17.5">
      <c r="A41" s="281"/>
      <c r="B41" s="113"/>
      <c r="C41" s="113"/>
      <c r="D41" s="113" t="s">
        <v>131</v>
      </c>
      <c r="E41" s="113" t="s">
        <v>86</v>
      </c>
      <c r="F41" s="221" t="s">
        <v>114</v>
      </c>
      <c r="G41" s="113"/>
      <c r="H41" s="229">
        <v>84.16</v>
      </c>
      <c r="I41" s="229">
        <v>0.77900000000000003</v>
      </c>
      <c r="J41" s="229">
        <f>O41/O37</f>
        <v>17.99023337103155</v>
      </c>
      <c r="K41" s="113"/>
      <c r="L41" s="229">
        <f t="shared" si="13"/>
        <v>1.6804769672470843</v>
      </c>
      <c r="M41" s="229">
        <f t="shared" si="14"/>
        <v>1.6804769672470843E-3</v>
      </c>
      <c r="N41" s="229">
        <f>L41/I41</f>
        <v>2.1572233212414433</v>
      </c>
      <c r="O41" s="229">
        <f>O37*J15</f>
        <v>1.9967644572802808E-2</v>
      </c>
      <c r="P41" s="113"/>
      <c r="Q41" s="113"/>
      <c r="R41" s="113"/>
      <c r="S41" s="229">
        <v>4120</v>
      </c>
      <c r="T41" s="113" t="s">
        <v>61</v>
      </c>
      <c r="U41" s="229">
        <f>S41/((I41*200000)/H41)</f>
        <v>2.225540436456996</v>
      </c>
      <c r="V41" s="228" t="s">
        <v>142</v>
      </c>
      <c r="W41" s="113" t="s">
        <v>87</v>
      </c>
      <c r="X41" s="294"/>
      <c r="Y41" s="224">
        <f t="shared" ref="Y41" si="16">U41*O41</f>
        <v>4.4438800417573726E-2</v>
      </c>
      <c r="Z41" s="279"/>
      <c r="AA41" s="279"/>
      <c r="AB41" s="279"/>
    </row>
    <row r="42" spans="1:28" ht="17.5">
      <c r="A42" s="281"/>
      <c r="B42" s="17"/>
      <c r="C42" s="17"/>
      <c r="D42" s="17" t="s">
        <v>41</v>
      </c>
      <c r="E42" s="17" t="s">
        <v>42</v>
      </c>
      <c r="F42" s="120" t="s">
        <v>114</v>
      </c>
      <c r="G42" s="17"/>
      <c r="H42" s="21">
        <v>88.11</v>
      </c>
      <c r="I42" s="21">
        <v>0.90200000000000002</v>
      </c>
      <c r="J42" s="21">
        <f>O42/O37</f>
        <v>11.760152553826071</v>
      </c>
      <c r="K42" s="17"/>
      <c r="L42" s="21">
        <f t="shared" si="13"/>
        <v>1.1500803869105916</v>
      </c>
      <c r="M42" s="21">
        <f>L42/1000</f>
        <v>1.1500803869105916E-3</v>
      </c>
      <c r="N42" s="21">
        <f>L42/I42</f>
        <v>1.2750336883709441</v>
      </c>
      <c r="O42" s="21">
        <f>O37*J16</f>
        <v>1.3052779331637631E-2</v>
      </c>
      <c r="P42" s="17"/>
      <c r="Q42" s="17"/>
      <c r="R42" s="17"/>
      <c r="S42" s="21">
        <v>3650</v>
      </c>
      <c r="T42" s="17" t="s">
        <v>61</v>
      </c>
      <c r="U42" s="21">
        <f>S42/((I42*200000)/H42)</f>
        <v>1.7827134146341463</v>
      </c>
      <c r="V42" s="54" t="s">
        <v>115</v>
      </c>
      <c r="W42" s="17" t="s">
        <v>43</v>
      </c>
      <c r="X42" s="294"/>
      <c r="Y42" s="30">
        <f>U42*O42</f>
        <v>2.3269364812769731E-2</v>
      </c>
      <c r="Z42" s="279"/>
      <c r="AA42" s="279"/>
      <c r="AB42" s="279"/>
    </row>
    <row r="43" spans="1:28" ht="17.5">
      <c r="A43" s="282"/>
      <c r="B43" s="97"/>
      <c r="C43" s="95" t="s">
        <v>214</v>
      </c>
      <c r="D43" s="97"/>
      <c r="E43" s="168" t="s">
        <v>112</v>
      </c>
      <c r="F43" s="169" t="s">
        <v>44</v>
      </c>
      <c r="G43" s="169" t="s">
        <v>118</v>
      </c>
      <c r="H43" s="71">
        <v>130.13999999999999</v>
      </c>
      <c r="I43" s="71"/>
      <c r="J43" s="71"/>
      <c r="K43" s="71"/>
      <c r="L43" s="71"/>
      <c r="M43" s="71"/>
      <c r="N43" s="71"/>
      <c r="O43" s="71"/>
      <c r="P43" s="183">
        <f>R43*H43</f>
        <v>0.13</v>
      </c>
      <c r="Q43" s="177">
        <f>P43/1000</f>
        <v>1.3000000000000002E-4</v>
      </c>
      <c r="R43" s="172">
        <f>O45</f>
        <v>9.9892423543875833E-4</v>
      </c>
      <c r="S43" s="71"/>
      <c r="T43" s="97"/>
      <c r="U43" s="97"/>
      <c r="V43" s="97"/>
      <c r="W43" s="97"/>
      <c r="X43" s="295"/>
      <c r="Y43" s="68"/>
      <c r="Z43" s="280"/>
      <c r="AA43" s="280"/>
      <c r="AB43" s="280"/>
    </row>
    <row r="44" spans="1:28">
      <c r="A44" s="330" t="s">
        <v>213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293">
        <f>R51/O45</f>
        <v>0.43</v>
      </c>
      <c r="Y44" s="53"/>
      <c r="Z44" s="278">
        <v>25</v>
      </c>
      <c r="AA44" s="278">
        <v>1</v>
      </c>
      <c r="AB44" s="278">
        <v>22</v>
      </c>
    </row>
    <row r="45" spans="1:28" ht="17.5">
      <c r="A45" s="331"/>
      <c r="B45" s="51" t="s">
        <v>214</v>
      </c>
      <c r="C45" s="17"/>
      <c r="D45" s="178" t="s">
        <v>118</v>
      </c>
      <c r="E45" s="179" t="s">
        <v>112</v>
      </c>
      <c r="F45" s="178" t="s">
        <v>44</v>
      </c>
      <c r="G45" s="17"/>
      <c r="H45" s="21">
        <v>130.13999999999999</v>
      </c>
      <c r="I45" s="17"/>
      <c r="J45" s="21">
        <f>O45/O45</f>
        <v>1</v>
      </c>
      <c r="K45" s="17"/>
      <c r="L45" s="180">
        <f t="shared" ref="L45:L50" si="17">O45*H45</f>
        <v>0.13</v>
      </c>
      <c r="M45" s="181">
        <f>L45/1000</f>
        <v>1.3000000000000002E-4</v>
      </c>
      <c r="N45" s="17"/>
      <c r="O45" s="182">
        <v>9.9892423543875833E-4</v>
      </c>
      <c r="P45" s="17"/>
      <c r="Q45" s="17"/>
      <c r="R45" s="17"/>
      <c r="S45" s="17"/>
      <c r="T45" s="17"/>
      <c r="U45" s="17"/>
      <c r="V45" s="17"/>
      <c r="W45" s="17"/>
      <c r="X45" s="294"/>
      <c r="Y45" s="53"/>
      <c r="Z45" s="279"/>
      <c r="AA45" s="279"/>
      <c r="AB45" s="279"/>
    </row>
    <row r="46" spans="1:28" s="114" customFormat="1" ht="17.5">
      <c r="A46" s="331"/>
      <c r="B46" s="152"/>
      <c r="C46" s="152"/>
      <c r="D46" s="152" t="s">
        <v>91</v>
      </c>
      <c r="E46" s="152" t="s">
        <v>84</v>
      </c>
      <c r="F46" s="221" t="s">
        <v>47</v>
      </c>
      <c r="G46" s="152"/>
      <c r="H46" s="212">
        <v>88.15</v>
      </c>
      <c r="I46" s="212">
        <v>0.74</v>
      </c>
      <c r="J46" s="212">
        <f>O46/O45</f>
        <v>84.038221562895416</v>
      </c>
      <c r="K46" s="212">
        <v>0.998</v>
      </c>
      <c r="L46" s="212">
        <f t="shared" si="17"/>
        <v>7.4</v>
      </c>
      <c r="M46" s="222">
        <f t="shared" ref="M46:M49" si="18">L46/1000</f>
        <v>7.4000000000000003E-3</v>
      </c>
      <c r="N46" s="212">
        <f>L46/I46</f>
        <v>10</v>
      </c>
      <c r="O46" s="226">
        <f>O45*J20</f>
        <v>8.3947816222348273E-2</v>
      </c>
      <c r="P46" s="212"/>
      <c r="Q46" s="212"/>
      <c r="R46" s="212"/>
      <c r="S46" s="212">
        <f>4100</f>
        <v>4100</v>
      </c>
      <c r="T46" s="152" t="s">
        <v>61</v>
      </c>
      <c r="U46" s="212">
        <f>S46/((I46*200000)/H46)</f>
        <v>2.4419932432432434</v>
      </c>
      <c r="V46" s="228" t="s">
        <v>141</v>
      </c>
      <c r="W46" s="152" t="s">
        <v>85</v>
      </c>
      <c r="X46" s="294"/>
      <c r="Y46" s="212">
        <f t="shared" ref="Y46:Y49" si="19">U46*O46</f>
        <v>0.20500000000000002</v>
      </c>
      <c r="Z46" s="279"/>
      <c r="AA46" s="279"/>
      <c r="AB46" s="279"/>
    </row>
    <row r="47" spans="1:28">
      <c r="A47" s="331"/>
      <c r="B47" s="144"/>
      <c r="C47" s="144"/>
      <c r="D47" s="138" t="s">
        <v>106</v>
      </c>
      <c r="E47" s="149" t="s">
        <v>107</v>
      </c>
      <c r="F47" s="137" t="s">
        <v>101</v>
      </c>
      <c r="G47" s="144"/>
      <c r="H47" s="147">
        <v>238.202</v>
      </c>
      <c r="I47" s="144"/>
      <c r="J47" s="145">
        <f>O47/O45</f>
        <v>5.4634301978992612E-2</v>
      </c>
      <c r="K47" s="144" t="s">
        <v>108</v>
      </c>
      <c r="L47" s="145">
        <f t="shared" si="17"/>
        <v>1.2999999999999999E-2</v>
      </c>
      <c r="M47" s="146">
        <f t="shared" si="18"/>
        <v>1.2999999999999999E-5</v>
      </c>
      <c r="N47" s="145"/>
      <c r="O47" s="146">
        <f>O45*J21</f>
        <v>5.4575528333095438E-5</v>
      </c>
      <c r="P47" s="144"/>
      <c r="Q47" s="144"/>
      <c r="R47" s="144"/>
      <c r="S47" s="145">
        <v>202</v>
      </c>
      <c r="T47" s="144" t="s">
        <v>102</v>
      </c>
      <c r="U47" s="145">
        <f>S47/(500/H47)</f>
        <v>96.233608000000004</v>
      </c>
      <c r="V47" s="144" t="s">
        <v>103</v>
      </c>
      <c r="W47" s="144" t="s">
        <v>100</v>
      </c>
      <c r="X47" s="294"/>
      <c r="Y47" s="153">
        <f t="shared" si="19"/>
        <v>5.2519999999999997E-3</v>
      </c>
      <c r="Z47" s="279"/>
      <c r="AA47" s="279"/>
      <c r="AB47" s="279"/>
    </row>
    <row r="48" spans="1:28" ht="17.5">
      <c r="A48" s="331"/>
      <c r="B48" s="17"/>
      <c r="C48" s="17"/>
      <c r="D48" s="54" t="s">
        <v>134</v>
      </c>
      <c r="E48" s="17" t="s">
        <v>109</v>
      </c>
      <c r="F48" s="37" t="s">
        <v>34</v>
      </c>
      <c r="G48" s="17"/>
      <c r="H48" s="17">
        <v>130.13999999999999</v>
      </c>
      <c r="I48" s="21">
        <v>1.0149999999999999</v>
      </c>
      <c r="J48" s="21">
        <f>O48/O45</f>
        <v>1</v>
      </c>
      <c r="K48" s="151">
        <v>0.99</v>
      </c>
      <c r="L48" s="21">
        <f t="shared" si="17"/>
        <v>0.13</v>
      </c>
      <c r="M48" s="74">
        <f t="shared" si="18"/>
        <v>1.3000000000000002E-4</v>
      </c>
      <c r="N48" s="21">
        <f>L48/I48</f>
        <v>0.12807881773399016</v>
      </c>
      <c r="O48" s="21">
        <f>O45*J22</f>
        <v>9.9892423543875833E-4</v>
      </c>
      <c r="P48" s="17"/>
      <c r="Q48" s="17"/>
      <c r="R48" s="17"/>
      <c r="S48" s="21">
        <f>60.4</f>
        <v>60.4</v>
      </c>
      <c r="T48" s="17" t="s">
        <v>143</v>
      </c>
      <c r="U48" s="229">
        <f>S48/((I48*1000)/H48)</f>
        <v>7.7442916256157641</v>
      </c>
      <c r="V48" s="54">
        <v>8006801000</v>
      </c>
      <c r="W48" s="17" t="s">
        <v>110</v>
      </c>
      <c r="X48" s="294"/>
      <c r="Y48" s="53">
        <f t="shared" si="19"/>
        <v>7.7359605911330063E-3</v>
      </c>
      <c r="Z48" s="279"/>
      <c r="AA48" s="279"/>
      <c r="AB48" s="279"/>
    </row>
    <row r="49" spans="1:28" s="114" customFormat="1" ht="17.5">
      <c r="A49" s="331"/>
      <c r="B49" s="113"/>
      <c r="C49" s="113"/>
      <c r="D49" s="113" t="s">
        <v>131</v>
      </c>
      <c r="E49" s="113" t="s">
        <v>86</v>
      </c>
      <c r="F49" s="221" t="s">
        <v>114</v>
      </c>
      <c r="G49" s="113"/>
      <c r="H49" s="229">
        <v>84.16</v>
      </c>
      <c r="I49" s="229">
        <v>0.77900000000000003</v>
      </c>
      <c r="J49" s="229">
        <f>O49/O45</f>
        <v>17.991753057077357</v>
      </c>
      <c r="K49" s="113"/>
      <c r="L49" s="229">
        <f t="shared" si="17"/>
        <v>1.5125570297131701</v>
      </c>
      <c r="M49" s="229">
        <f t="shared" si="18"/>
        <v>1.5125570297131702E-3</v>
      </c>
      <c r="N49" s="229">
        <f>L49/I49</f>
        <v>1.9416649932133119</v>
      </c>
      <c r="O49" s="229">
        <f>O45*J23</f>
        <v>1.7972398166743942E-2</v>
      </c>
      <c r="P49" s="113"/>
      <c r="Q49" s="113"/>
      <c r="R49" s="113"/>
      <c r="S49" s="229">
        <v>4120</v>
      </c>
      <c r="T49" s="113" t="s">
        <v>61</v>
      </c>
      <c r="U49" s="229">
        <f>S49/((I49*200000)/H49)</f>
        <v>2.225540436456996</v>
      </c>
      <c r="V49" s="228" t="s">
        <v>142</v>
      </c>
      <c r="W49" s="113" t="s">
        <v>87</v>
      </c>
      <c r="X49" s="294"/>
      <c r="Y49" s="212">
        <f t="shared" si="19"/>
        <v>3.999829886019423E-2</v>
      </c>
      <c r="Z49" s="279"/>
      <c r="AA49" s="279"/>
      <c r="AB49" s="279"/>
    </row>
    <row r="50" spans="1:28" ht="17.5">
      <c r="A50" s="331"/>
      <c r="B50" s="17"/>
      <c r="C50" s="17"/>
      <c r="D50" s="17" t="s">
        <v>41</v>
      </c>
      <c r="E50" s="17" t="s">
        <v>42</v>
      </c>
      <c r="F50" s="120" t="s">
        <v>114</v>
      </c>
      <c r="G50" s="17"/>
      <c r="H50" s="21">
        <v>88.11</v>
      </c>
      <c r="I50" s="21">
        <v>0.90200000000000002</v>
      </c>
      <c r="J50" s="21">
        <f>O50/O45</f>
        <v>11.761145967272357</v>
      </c>
      <c r="K50" s="17"/>
      <c r="L50" s="21">
        <f t="shared" si="17"/>
        <v>1.0351597837169799</v>
      </c>
      <c r="M50" s="21">
        <f>L50/1000</f>
        <v>1.0351597837169799E-3</v>
      </c>
      <c r="N50" s="21">
        <f>L50/I50</f>
        <v>1.147627254675144</v>
      </c>
      <c r="O50" s="21">
        <f>O45*J24</f>
        <v>1.1748493743241176E-2</v>
      </c>
      <c r="P50" s="17"/>
      <c r="Q50" s="17"/>
      <c r="R50" s="17"/>
      <c r="S50" s="21">
        <v>3650</v>
      </c>
      <c r="T50" s="17" t="s">
        <v>61</v>
      </c>
      <c r="U50" s="21">
        <f>S50/((I50*200000)/H50)</f>
        <v>1.7827134146341463</v>
      </c>
      <c r="V50" s="54" t="s">
        <v>115</v>
      </c>
      <c r="W50" s="17" t="s">
        <v>43</v>
      </c>
      <c r="X50" s="294"/>
      <c r="Y50" s="53">
        <f>U50*O50</f>
        <v>2.0944197397821381E-2</v>
      </c>
      <c r="Z50" s="279"/>
      <c r="AA50" s="279"/>
      <c r="AB50" s="279"/>
    </row>
    <row r="51" spans="1:28" ht="17.5">
      <c r="A51" s="332"/>
      <c r="B51" s="97"/>
      <c r="C51" s="95" t="s">
        <v>216</v>
      </c>
      <c r="D51" s="97" t="s">
        <v>111</v>
      </c>
      <c r="E51" s="96" t="s">
        <v>112</v>
      </c>
      <c r="F51" s="95" t="s">
        <v>116</v>
      </c>
      <c r="G51" s="96" t="s">
        <v>113</v>
      </c>
      <c r="H51" s="71">
        <v>130.143</v>
      </c>
      <c r="I51" s="97"/>
      <c r="J51" s="97"/>
      <c r="K51" s="167">
        <v>0.99</v>
      </c>
      <c r="L51" s="97"/>
      <c r="M51" s="97"/>
      <c r="N51" s="97"/>
      <c r="O51" s="97"/>
      <c r="P51" s="240">
        <f>R51*H51</f>
        <v>5.5901288612263719E-2</v>
      </c>
      <c r="Q51" s="244">
        <f>P51/1000</f>
        <v>5.5901288612263719E-5</v>
      </c>
      <c r="R51" s="243">
        <v>4.2953742123866609E-4</v>
      </c>
      <c r="S51" s="97"/>
      <c r="T51" s="97"/>
      <c r="U51" s="97"/>
      <c r="V51" s="97"/>
      <c r="W51" s="97"/>
      <c r="X51" s="295"/>
      <c r="Y51" s="97"/>
      <c r="Z51" s="280"/>
      <c r="AA51" s="280"/>
      <c r="AB51" s="280"/>
    </row>
    <row r="52" spans="1:28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</row>
    <row r="53" spans="1:28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</row>
    <row r="54" spans="1:28">
      <c r="A54" s="272" t="s">
        <v>196</v>
      </c>
      <c r="B54" s="273"/>
      <c r="C54" s="273"/>
      <c r="D54" s="273"/>
      <c r="E54" s="273"/>
      <c r="F54" s="273"/>
      <c r="G54" s="273"/>
      <c r="H54" s="273"/>
      <c r="I54" s="273"/>
      <c r="J54" s="273"/>
      <c r="K54" s="273"/>
      <c r="L54" s="273"/>
      <c r="M54" s="273"/>
      <c r="N54" s="273"/>
      <c r="O54" s="273"/>
      <c r="P54" s="273"/>
      <c r="Q54" s="273"/>
      <c r="R54" s="273"/>
      <c r="S54" s="273"/>
      <c r="T54" s="273"/>
      <c r="U54" s="273"/>
      <c r="V54" s="273"/>
      <c r="W54" s="273"/>
      <c r="X54" s="273"/>
      <c r="Y54" s="273"/>
      <c r="Z54" s="273"/>
      <c r="AA54" s="273"/>
      <c r="AB54" s="274"/>
    </row>
    <row r="55" spans="1:28">
      <c r="A55" s="1" t="s">
        <v>0</v>
      </c>
      <c r="B55" s="5" t="s">
        <v>1</v>
      </c>
      <c r="C55" s="5" t="s">
        <v>2</v>
      </c>
      <c r="D55" s="4" t="s">
        <v>3</v>
      </c>
      <c r="E55" s="5" t="s">
        <v>4</v>
      </c>
      <c r="F55" s="5" t="s">
        <v>5</v>
      </c>
      <c r="G55" s="5" t="s">
        <v>6</v>
      </c>
      <c r="H55" s="6" t="s">
        <v>7</v>
      </c>
      <c r="I55" s="1" t="s">
        <v>8</v>
      </c>
      <c r="J55" s="1" t="s">
        <v>9</v>
      </c>
      <c r="K55" s="1" t="s">
        <v>10</v>
      </c>
      <c r="L55" s="6" t="s">
        <v>11</v>
      </c>
      <c r="M55" s="7" t="s">
        <v>12</v>
      </c>
      <c r="N55" s="1" t="s">
        <v>13</v>
      </c>
      <c r="O55" s="6" t="s">
        <v>14</v>
      </c>
      <c r="P55" s="6" t="s">
        <v>15</v>
      </c>
      <c r="Q55" s="7" t="s">
        <v>16</v>
      </c>
      <c r="R55" s="1" t="s">
        <v>17</v>
      </c>
      <c r="S55" s="1" t="s">
        <v>18</v>
      </c>
      <c r="T55" s="1" t="s">
        <v>19</v>
      </c>
      <c r="U55" s="1" t="s">
        <v>20</v>
      </c>
      <c r="V55" s="93" t="s">
        <v>21</v>
      </c>
      <c r="W55" s="1" t="s">
        <v>22</v>
      </c>
      <c r="X55" s="40" t="s">
        <v>23</v>
      </c>
      <c r="Y55" s="1" t="s">
        <v>24</v>
      </c>
      <c r="Z55" s="9" t="s">
        <v>25</v>
      </c>
      <c r="AA55" s="1" t="s">
        <v>26</v>
      </c>
      <c r="AB55" s="82" t="s">
        <v>27</v>
      </c>
    </row>
    <row r="56" spans="1:28" ht="17.5">
      <c r="A56" s="335" t="s">
        <v>209</v>
      </c>
      <c r="B56" s="99">
        <v>11</v>
      </c>
      <c r="C56" s="12"/>
      <c r="D56" s="100" t="s">
        <v>132</v>
      </c>
      <c r="E56" s="101" t="s">
        <v>76</v>
      </c>
      <c r="F56" s="119" t="s">
        <v>59</v>
      </c>
      <c r="G56" s="12"/>
      <c r="H56" s="102">
        <v>194.19</v>
      </c>
      <c r="I56" s="102"/>
      <c r="J56" s="102">
        <f>O56/O56</f>
        <v>1</v>
      </c>
      <c r="K56" s="102"/>
      <c r="L56" s="123">
        <f>O56*H56</f>
        <v>4145.8361537332439</v>
      </c>
      <c r="M56" s="245">
        <f>L56/1000</f>
        <v>4.145836153733244</v>
      </c>
      <c r="N56" s="122"/>
      <c r="O56" s="123">
        <v>21.349380265375373</v>
      </c>
      <c r="P56" s="102"/>
      <c r="Q56" s="102"/>
      <c r="R56" s="102"/>
      <c r="S56" s="102"/>
      <c r="T56" s="12"/>
      <c r="U56" s="12"/>
      <c r="V56" s="12"/>
      <c r="W56" s="12"/>
      <c r="X56" s="293">
        <f>R61/O56</f>
        <v>0.93</v>
      </c>
      <c r="Y56" s="217">
        <f>'Advanced Starting Material'!Y72</f>
        <v>1446.9714697071381</v>
      </c>
      <c r="Z56" s="334">
        <v>25</v>
      </c>
      <c r="AA56" s="334">
        <v>1</v>
      </c>
      <c r="AB56" s="334">
        <v>20</v>
      </c>
    </row>
    <row r="57" spans="1:28" ht="17.5">
      <c r="A57" s="291"/>
      <c r="B57" s="51">
        <v>10</v>
      </c>
      <c r="C57" s="44"/>
      <c r="D57" s="152" t="s">
        <v>78</v>
      </c>
      <c r="E57" s="44" t="s">
        <v>79</v>
      </c>
      <c r="F57" s="37" t="s">
        <v>34</v>
      </c>
      <c r="G57" s="44"/>
      <c r="H57" s="53">
        <v>68.069999999999993</v>
      </c>
      <c r="I57" s="53">
        <v>0.93600000000000005</v>
      </c>
      <c r="J57" s="53">
        <f>O57/O56</f>
        <v>4.9997501056371636</v>
      </c>
      <c r="K57" s="53" t="s">
        <v>80</v>
      </c>
      <c r="L57" s="210">
        <f>O57*H57</f>
        <v>7265.8984137592943</v>
      </c>
      <c r="M57" s="210">
        <f t="shared" ref="M57:M59" si="20">L57/1000</f>
        <v>7.2658984137592943</v>
      </c>
      <c r="N57" s="212">
        <f>L57/I57</f>
        <v>7762.7119805120665</v>
      </c>
      <c r="O57" s="210">
        <f>O56*J31</f>
        <v>106.7415662370985</v>
      </c>
      <c r="P57" s="53"/>
      <c r="Q57" s="53"/>
      <c r="R57" s="53"/>
      <c r="S57" s="53">
        <f>61.2</f>
        <v>61.2</v>
      </c>
      <c r="T57" s="44" t="s">
        <v>81</v>
      </c>
      <c r="U57" s="53">
        <f>S57/((I57*500)/H57)</f>
        <v>8.9014615384615379</v>
      </c>
      <c r="V57" s="94" t="s">
        <v>82</v>
      </c>
      <c r="W57" s="44" t="s">
        <v>83</v>
      </c>
      <c r="X57" s="294"/>
      <c r="Y57" s="30">
        <f>U57*O57</f>
        <v>950.15594641467692</v>
      </c>
      <c r="Z57" s="334"/>
      <c r="AA57" s="334"/>
      <c r="AB57" s="334"/>
    </row>
    <row r="58" spans="1:28" s="114" customFormat="1" ht="17.5">
      <c r="A58" s="291"/>
      <c r="B58" s="152"/>
      <c r="C58" s="152"/>
      <c r="D58" s="152" t="s">
        <v>91</v>
      </c>
      <c r="E58" s="152" t="s">
        <v>84</v>
      </c>
      <c r="F58" s="221" t="s">
        <v>47</v>
      </c>
      <c r="G58" s="152"/>
      <c r="H58" s="212">
        <v>88.15</v>
      </c>
      <c r="I58" s="212">
        <v>0.74</v>
      </c>
      <c r="J58" s="212">
        <f>O58/O56</f>
        <v>42.015016577880957</v>
      </c>
      <c r="K58" s="212">
        <v>0.998</v>
      </c>
      <c r="L58" s="212">
        <f>O58*H58</f>
        <v>79070.070973262904</v>
      </c>
      <c r="M58" s="212">
        <f t="shared" si="20"/>
        <v>79.070070973262901</v>
      </c>
      <c r="N58" s="212">
        <f>L58/I58</f>
        <v>106851.44726116609</v>
      </c>
      <c r="O58" s="212">
        <f>O56*J32</f>
        <v>896.99456577723083</v>
      </c>
      <c r="P58" s="212"/>
      <c r="Q58" s="212"/>
      <c r="R58" s="212"/>
      <c r="S58" s="212">
        <f>4100</f>
        <v>4100</v>
      </c>
      <c r="T58" s="152" t="s">
        <v>61</v>
      </c>
      <c r="U58" s="212">
        <f>S58/((I58*200000)/H58)</f>
        <v>2.4419932432432434</v>
      </c>
      <c r="V58" s="228" t="s">
        <v>141</v>
      </c>
      <c r="W58" s="152" t="s">
        <v>85</v>
      </c>
      <c r="X58" s="294"/>
      <c r="Y58" s="224">
        <f t="shared" ref="Y58:Y59" si="21">U58*O58</f>
        <v>2190.4546688539049</v>
      </c>
      <c r="Z58" s="334"/>
      <c r="AA58" s="334"/>
      <c r="AB58" s="334"/>
    </row>
    <row r="59" spans="1:28" s="114" customFormat="1" ht="17.5">
      <c r="A59" s="291"/>
      <c r="B59" s="113"/>
      <c r="C59" s="113"/>
      <c r="D59" s="113" t="s">
        <v>131</v>
      </c>
      <c r="E59" s="113" t="s">
        <v>86</v>
      </c>
      <c r="F59" s="221" t="s">
        <v>114</v>
      </c>
      <c r="G59" s="113"/>
      <c r="H59" s="229">
        <v>84.16</v>
      </c>
      <c r="I59" s="229">
        <v>0.77900000000000003</v>
      </c>
      <c r="J59" s="229">
        <f>O59/O56</f>
        <v>17.99000000000003</v>
      </c>
      <c r="K59" s="113"/>
      <c r="L59" s="229">
        <f>O59*H59</f>
        <v>32323.781537980562</v>
      </c>
      <c r="M59" s="229">
        <f t="shared" si="20"/>
        <v>32.323781537980558</v>
      </c>
      <c r="N59" s="229">
        <f>L59/I59</f>
        <v>41493.942924236922</v>
      </c>
      <c r="O59" s="229">
        <f>O56*J33</f>
        <v>384.07535097410363</v>
      </c>
      <c r="P59" s="113"/>
      <c r="Q59" s="229"/>
      <c r="R59" s="229"/>
      <c r="S59" s="229">
        <v>4120</v>
      </c>
      <c r="T59" s="113" t="s">
        <v>61</v>
      </c>
      <c r="U59" s="229">
        <f>S59/((I59*200000)/H59)</f>
        <v>2.225540436456996</v>
      </c>
      <c r="V59" s="228" t="s">
        <v>142</v>
      </c>
      <c r="W59" s="113" t="s">
        <v>87</v>
      </c>
      <c r="X59" s="294"/>
      <c r="Y59" s="224">
        <f t="shared" si="21"/>
        <v>854.77522423928053</v>
      </c>
      <c r="Z59" s="334"/>
      <c r="AA59" s="334"/>
      <c r="AB59" s="334"/>
    </row>
    <row r="60" spans="1:28" s="114" customFormat="1" ht="17.5">
      <c r="A60" s="291"/>
      <c r="B60" s="17"/>
      <c r="C60" s="17"/>
      <c r="D60" s="113" t="s">
        <v>41</v>
      </c>
      <c r="E60" s="113" t="s">
        <v>42</v>
      </c>
      <c r="F60" s="221" t="s">
        <v>114</v>
      </c>
      <c r="G60" s="113"/>
      <c r="H60" s="229">
        <v>88.11</v>
      </c>
      <c r="I60" s="229">
        <v>0.90200000000000002</v>
      </c>
      <c r="J60" s="229">
        <f>O60/O56</f>
        <v>11.760000000000019</v>
      </c>
      <c r="K60" s="113"/>
      <c r="L60" s="229">
        <f>O60*H60</f>
        <v>22121.66420734299</v>
      </c>
      <c r="M60" s="229">
        <f>L60/1000</f>
        <v>22.121664207342992</v>
      </c>
      <c r="N60" s="229">
        <f>L60/I60</f>
        <v>24525.12661567959</v>
      </c>
      <c r="O60" s="229">
        <f>O56*J34</f>
        <v>251.06871192081479</v>
      </c>
      <c r="P60" s="113"/>
      <c r="Q60" s="229"/>
      <c r="R60" s="229"/>
      <c r="S60" s="229">
        <v>3650</v>
      </c>
      <c r="T60" s="113" t="s">
        <v>61</v>
      </c>
      <c r="U60" s="229">
        <f>S60/((I60*200000)/H60)</f>
        <v>1.7827134146341463</v>
      </c>
      <c r="V60" s="228" t="s">
        <v>115</v>
      </c>
      <c r="W60" s="113" t="s">
        <v>43</v>
      </c>
      <c r="X60" s="294"/>
      <c r="Y60" s="224">
        <f>U60*O60</f>
        <v>447.58356073615255</v>
      </c>
      <c r="Z60" s="334"/>
      <c r="AA60" s="334"/>
      <c r="AB60" s="334"/>
    </row>
    <row r="61" spans="1:28" ht="17.5">
      <c r="A61" s="292"/>
      <c r="B61" s="97"/>
      <c r="C61" s="95" t="s">
        <v>210</v>
      </c>
      <c r="D61" s="97"/>
      <c r="E61" s="168" t="s">
        <v>88</v>
      </c>
      <c r="F61" s="169" t="s">
        <v>44</v>
      </c>
      <c r="G61" s="169" t="s">
        <v>89</v>
      </c>
      <c r="H61" s="71">
        <v>262.26</v>
      </c>
      <c r="I61" s="71"/>
      <c r="J61" s="71"/>
      <c r="K61" s="71"/>
      <c r="L61" s="71"/>
      <c r="M61" s="71"/>
      <c r="N61" s="71"/>
      <c r="O61" s="71"/>
      <c r="P61" s="183">
        <f>R61*H61</f>
        <v>5207.152275609531</v>
      </c>
      <c r="Q61" s="183">
        <f>P61/1000</f>
        <v>5.2071522756095314</v>
      </c>
      <c r="R61" s="183">
        <f>O63</f>
        <v>19.854923646799097</v>
      </c>
      <c r="S61" s="71"/>
      <c r="T61" s="97"/>
      <c r="U61" s="71"/>
      <c r="V61" s="97"/>
      <c r="W61" s="97"/>
      <c r="X61" s="295"/>
      <c r="Y61" s="68"/>
      <c r="Z61" s="334"/>
      <c r="AA61" s="334"/>
      <c r="AB61" s="334"/>
    </row>
    <row r="62" spans="1:28" ht="16" customHeight="1">
      <c r="A62" s="262" t="s">
        <v>211</v>
      </c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86"/>
      <c r="N62" s="104"/>
      <c r="O62" s="186"/>
      <c r="P62" s="104"/>
      <c r="Q62" s="186"/>
      <c r="R62" s="186"/>
      <c r="S62" s="104"/>
      <c r="T62" s="104"/>
      <c r="U62" s="104"/>
      <c r="V62" s="104"/>
      <c r="W62" s="112"/>
      <c r="X62" s="293">
        <f>R69/O63</f>
        <v>0.9</v>
      </c>
      <c r="Y62" s="143"/>
      <c r="Z62" s="278">
        <v>25</v>
      </c>
      <c r="AA62" s="278">
        <v>1</v>
      </c>
      <c r="AB62" s="278">
        <v>24</v>
      </c>
    </row>
    <row r="63" spans="1:28" ht="17.5">
      <c r="A63" s="263"/>
      <c r="B63" s="51" t="s">
        <v>210</v>
      </c>
      <c r="C63" s="52"/>
      <c r="D63" s="44"/>
      <c r="E63" s="170" t="s">
        <v>88</v>
      </c>
      <c r="F63" s="171" t="s">
        <v>44</v>
      </c>
      <c r="G63" s="171" t="s">
        <v>89</v>
      </c>
      <c r="H63" s="53">
        <v>262.26</v>
      </c>
      <c r="I63" s="53"/>
      <c r="J63" s="53"/>
      <c r="K63" s="53"/>
      <c r="L63" s="174">
        <f t="shared" ref="L63:L68" si="22">O63*H63</f>
        <v>5207.152275609531</v>
      </c>
      <c r="M63" s="174">
        <f>L63/1000</f>
        <v>5.2071522756095314</v>
      </c>
      <c r="N63" s="52"/>
      <c r="O63" s="174">
        <v>19.854923646799097</v>
      </c>
      <c r="P63" s="52"/>
      <c r="Q63" s="187"/>
      <c r="R63" s="187"/>
      <c r="S63" s="53"/>
      <c r="T63" s="44"/>
      <c r="U63" s="53"/>
      <c r="V63" s="44"/>
      <c r="W63" s="73"/>
      <c r="X63" s="294"/>
      <c r="Y63" s="30"/>
      <c r="Z63" s="279"/>
      <c r="AA63" s="279"/>
      <c r="AB63" s="279"/>
    </row>
    <row r="64" spans="1:28" s="114" customFormat="1" ht="17.5">
      <c r="A64" s="263"/>
      <c r="B64" s="152"/>
      <c r="C64" s="152"/>
      <c r="D64" s="152" t="s">
        <v>91</v>
      </c>
      <c r="E64" s="152" t="s">
        <v>84</v>
      </c>
      <c r="F64" s="221" t="s">
        <v>47</v>
      </c>
      <c r="G64" s="152"/>
      <c r="H64" s="212">
        <v>88.15</v>
      </c>
      <c r="I64" s="212">
        <v>0.74</v>
      </c>
      <c r="J64" s="212">
        <f>O64/O63</f>
        <v>84.031123215546017</v>
      </c>
      <c r="K64" s="212">
        <v>0.998</v>
      </c>
      <c r="L64" s="212">
        <f t="shared" si="22"/>
        <v>147072.23984546005</v>
      </c>
      <c r="M64" s="212">
        <f t="shared" ref="M64:M67" si="23">L64/1000</f>
        <v>147.07223984546005</v>
      </c>
      <c r="N64" s="212">
        <f>L64/I64</f>
        <v>198746.2700614325</v>
      </c>
      <c r="O64" s="212">
        <f>O63*J38</f>
        <v>1668.4315353994332</v>
      </c>
      <c r="P64" s="212"/>
      <c r="Q64" s="212"/>
      <c r="R64" s="212"/>
      <c r="S64" s="212">
        <f>4100</f>
        <v>4100</v>
      </c>
      <c r="T64" s="152" t="s">
        <v>61</v>
      </c>
      <c r="U64" s="212">
        <f>S64/((I64*200000)/H64)</f>
        <v>2.4419932432432434</v>
      </c>
      <c r="V64" s="228" t="s">
        <v>141</v>
      </c>
      <c r="W64" s="227" t="s">
        <v>85</v>
      </c>
      <c r="X64" s="294"/>
      <c r="Y64" s="224">
        <f t="shared" ref="Y64" si="24">U64*O64</f>
        <v>4074.2985362593663</v>
      </c>
      <c r="Z64" s="279"/>
      <c r="AA64" s="279"/>
      <c r="AB64" s="279"/>
    </row>
    <row r="65" spans="1:28" ht="18" thickBot="1">
      <c r="A65" s="264"/>
      <c r="B65" s="44"/>
      <c r="C65" s="44"/>
      <c r="D65" s="106" t="s">
        <v>94</v>
      </c>
      <c r="E65" s="44" t="s">
        <v>95</v>
      </c>
      <c r="F65" s="139" t="s">
        <v>34</v>
      </c>
      <c r="G65" s="106"/>
      <c r="H65" s="107">
        <f>1.008*2</f>
        <v>2.016</v>
      </c>
      <c r="I65" s="107">
        <v>4.0450000000000002E-4</v>
      </c>
      <c r="J65" s="107">
        <f>O65/O63</f>
        <v>0.99304798255179949</v>
      </c>
      <c r="K65" s="107" t="s">
        <v>97</v>
      </c>
      <c r="L65" s="107">
        <f t="shared" si="22"/>
        <v>39.749254012286507</v>
      </c>
      <c r="M65" s="107">
        <f t="shared" si="23"/>
        <v>3.974925401228651E-2</v>
      </c>
      <c r="N65" s="107">
        <f>L65/I65</f>
        <v>98267.624257815827</v>
      </c>
      <c r="O65" s="107">
        <f>O63*J39</f>
        <v>19.716891871173861</v>
      </c>
      <c r="P65" s="140"/>
      <c r="Q65" s="107"/>
      <c r="R65" s="107"/>
      <c r="S65" s="107">
        <f>243</f>
        <v>243</v>
      </c>
      <c r="T65" s="106" t="s">
        <v>99</v>
      </c>
      <c r="U65" s="107">
        <f>S65/((I65*56000)/H65)</f>
        <v>21.626699629171817</v>
      </c>
      <c r="V65" s="141" t="s">
        <v>98</v>
      </c>
      <c r="W65" s="110" t="s">
        <v>96</v>
      </c>
      <c r="X65" s="294"/>
      <c r="Y65" s="111">
        <f>U65*O65</f>
        <v>426.41129811873657</v>
      </c>
      <c r="Z65" s="279"/>
      <c r="AA65" s="279"/>
      <c r="AB65" s="279"/>
    </row>
    <row r="66" spans="1:28" ht="16" customHeight="1">
      <c r="A66" s="333" t="s">
        <v>212</v>
      </c>
      <c r="B66" s="165"/>
      <c r="C66" s="166" t="s">
        <v>215</v>
      </c>
      <c r="D66" s="163" t="s">
        <v>104</v>
      </c>
      <c r="E66" s="136" t="s">
        <v>105</v>
      </c>
      <c r="F66" s="137" t="s">
        <v>92</v>
      </c>
      <c r="G66" s="128"/>
      <c r="H66" s="128">
        <v>106.42</v>
      </c>
      <c r="I66" s="129"/>
      <c r="J66" s="129">
        <f>O66/O63</f>
        <v>1.9940836466772159E-2</v>
      </c>
      <c r="K66" s="129" t="s">
        <v>93</v>
      </c>
      <c r="L66" s="129">
        <f t="shared" si="22"/>
        <v>42.134209253023691</v>
      </c>
      <c r="M66" s="129">
        <f t="shared" si="23"/>
        <v>4.2134209253023691E-2</v>
      </c>
      <c r="N66" s="129"/>
      <c r="O66" s="129">
        <f>O63*J40</f>
        <v>0.39592378550106833</v>
      </c>
      <c r="P66" s="129"/>
      <c r="Q66" s="129"/>
      <c r="R66" s="129"/>
      <c r="S66" s="129">
        <v>2</v>
      </c>
      <c r="T66" s="128" t="s">
        <v>140</v>
      </c>
      <c r="U66" s="129">
        <f>S66/(2/H66)</f>
        <v>106.42</v>
      </c>
      <c r="V66" s="128" t="s">
        <v>69</v>
      </c>
      <c r="W66" s="162" t="s">
        <v>69</v>
      </c>
      <c r="X66" s="294"/>
      <c r="Y66" s="164">
        <f>U66*O66</f>
        <v>42.134209253023691</v>
      </c>
      <c r="Z66" s="279"/>
      <c r="AA66" s="279"/>
      <c r="AB66" s="279"/>
    </row>
    <row r="67" spans="1:28" s="114" customFormat="1" ht="17.5">
      <c r="A67" s="281"/>
      <c r="B67" s="113"/>
      <c r="C67" s="113"/>
      <c r="D67" s="113" t="s">
        <v>131</v>
      </c>
      <c r="E67" s="113" t="s">
        <v>86</v>
      </c>
      <c r="F67" s="221" t="s">
        <v>114</v>
      </c>
      <c r="G67" s="113"/>
      <c r="H67" s="229">
        <v>84.16</v>
      </c>
      <c r="I67" s="229">
        <v>0.77900000000000003</v>
      </c>
      <c r="J67" s="229">
        <f>O67/O63</f>
        <v>17.99023337103155</v>
      </c>
      <c r="K67" s="113"/>
      <c r="L67" s="229">
        <f t="shared" si="22"/>
        <v>30061.506791069187</v>
      </c>
      <c r="M67" s="229">
        <f t="shared" si="23"/>
        <v>30.061506791069188</v>
      </c>
      <c r="N67" s="229">
        <f>L67/I67</f>
        <v>38589.867511000237</v>
      </c>
      <c r="O67" s="229">
        <f>O63*J41</f>
        <v>357.19470996992857</v>
      </c>
      <c r="P67" s="113"/>
      <c r="Q67" s="229"/>
      <c r="R67" s="229"/>
      <c r="S67" s="229">
        <v>4120</v>
      </c>
      <c r="T67" s="113" t="s">
        <v>61</v>
      </c>
      <c r="U67" s="229">
        <f>S67/((I67*200000)/H67)</f>
        <v>2.225540436456996</v>
      </c>
      <c r="V67" s="228" t="s">
        <v>142</v>
      </c>
      <c r="W67" s="113" t="s">
        <v>87</v>
      </c>
      <c r="X67" s="294"/>
      <c r="Y67" s="224">
        <f t="shared" ref="Y67" si="25">U67*O67</f>
        <v>794.95127072660489</v>
      </c>
      <c r="Z67" s="279"/>
      <c r="AA67" s="279"/>
      <c r="AB67" s="279"/>
    </row>
    <row r="68" spans="1:28" s="114" customFormat="1" ht="17.5">
      <c r="A68" s="281"/>
      <c r="B68" s="17"/>
      <c r="C68" s="17"/>
      <c r="D68" s="113" t="s">
        <v>41</v>
      </c>
      <c r="E68" s="113" t="s">
        <v>42</v>
      </c>
      <c r="F68" s="221" t="s">
        <v>114</v>
      </c>
      <c r="G68" s="113"/>
      <c r="H68" s="229">
        <v>88.11</v>
      </c>
      <c r="I68" s="229">
        <v>0.90200000000000002</v>
      </c>
      <c r="J68" s="229">
        <f>O68/O63</f>
        <v>11.760152553826071</v>
      </c>
      <c r="K68" s="113"/>
      <c r="L68" s="229">
        <f t="shared" si="22"/>
        <v>20573.414593134894</v>
      </c>
      <c r="M68" s="229">
        <f>L68/1000</f>
        <v>20.573414593134896</v>
      </c>
      <c r="N68" s="229">
        <f>L68/I68</f>
        <v>22808.663628752653</v>
      </c>
      <c r="O68" s="229">
        <f>O63*J42</f>
        <v>233.49693103092605</v>
      </c>
      <c r="P68" s="113"/>
      <c r="Q68" s="229"/>
      <c r="R68" s="229"/>
      <c r="S68" s="229">
        <v>3650</v>
      </c>
      <c r="T68" s="113" t="s">
        <v>61</v>
      </c>
      <c r="U68" s="229">
        <f>S68/((I68*200000)/H68)</f>
        <v>1.7827134146341463</v>
      </c>
      <c r="V68" s="228" t="s">
        <v>115</v>
      </c>
      <c r="W68" s="113" t="s">
        <v>43</v>
      </c>
      <c r="X68" s="294"/>
      <c r="Y68" s="224">
        <f>U68*O68</f>
        <v>416.25811122473596</v>
      </c>
      <c r="Z68" s="279"/>
      <c r="AA68" s="279"/>
      <c r="AB68" s="279"/>
    </row>
    <row r="69" spans="1:28" ht="17.5">
      <c r="A69" s="282"/>
      <c r="B69" s="97"/>
      <c r="C69" s="95" t="s">
        <v>214</v>
      </c>
      <c r="D69" s="97"/>
      <c r="E69" s="168" t="s">
        <v>112</v>
      </c>
      <c r="F69" s="169" t="s">
        <v>44</v>
      </c>
      <c r="G69" s="169" t="s">
        <v>118</v>
      </c>
      <c r="H69" s="71">
        <v>130.13999999999999</v>
      </c>
      <c r="I69" s="71"/>
      <c r="J69" s="71"/>
      <c r="K69" s="71"/>
      <c r="L69" s="71"/>
      <c r="M69" s="71"/>
      <c r="N69" s="71"/>
      <c r="O69" s="71"/>
      <c r="P69" s="172">
        <f>R69*H69</f>
        <v>2325.5277870549908</v>
      </c>
      <c r="Q69" s="183">
        <f>P69/1000</f>
        <v>2.3255277870549906</v>
      </c>
      <c r="R69" s="183">
        <f>O71</f>
        <v>17.869431282119187</v>
      </c>
      <c r="S69" s="71"/>
      <c r="T69" s="97"/>
      <c r="U69" s="97"/>
      <c r="V69" s="97"/>
      <c r="W69" s="97"/>
      <c r="X69" s="295"/>
      <c r="Y69" s="68"/>
      <c r="Z69" s="280"/>
      <c r="AA69" s="280"/>
      <c r="AB69" s="280"/>
    </row>
    <row r="70" spans="1:28">
      <c r="A70" s="330" t="s">
        <v>213</v>
      </c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02"/>
      <c r="N70" s="12"/>
      <c r="O70" s="102"/>
      <c r="P70" s="12"/>
      <c r="Q70" s="102"/>
      <c r="R70" s="102"/>
      <c r="S70" s="12"/>
      <c r="T70" s="12"/>
      <c r="U70" s="12"/>
      <c r="V70" s="12"/>
      <c r="W70" s="12"/>
      <c r="X70" s="293">
        <f>R77/O71</f>
        <v>0.43</v>
      </c>
      <c r="Y70" s="53"/>
      <c r="Z70" s="278">
        <v>25</v>
      </c>
      <c r="AA70" s="278">
        <v>1</v>
      </c>
      <c r="AB70" s="278">
        <v>22</v>
      </c>
    </row>
    <row r="71" spans="1:28" ht="17.5">
      <c r="A71" s="331"/>
      <c r="B71" s="51" t="s">
        <v>214</v>
      </c>
      <c r="C71" s="17"/>
      <c r="D71" s="178" t="s">
        <v>118</v>
      </c>
      <c r="E71" s="179" t="s">
        <v>112</v>
      </c>
      <c r="F71" s="178" t="s">
        <v>44</v>
      </c>
      <c r="G71" s="17"/>
      <c r="H71" s="21">
        <v>130.13999999999999</v>
      </c>
      <c r="I71" s="17"/>
      <c r="J71" s="21">
        <f>O71/O71</f>
        <v>1</v>
      </c>
      <c r="K71" s="17"/>
      <c r="L71" s="180">
        <f t="shared" ref="L71:L76" si="26">O71*H71</f>
        <v>2325.5277870549908</v>
      </c>
      <c r="M71" s="180">
        <f>L71/1000</f>
        <v>2.3255277870549906</v>
      </c>
      <c r="N71" s="17"/>
      <c r="O71" s="180">
        <v>17.869431282119187</v>
      </c>
      <c r="P71" s="17"/>
      <c r="Q71" s="21"/>
      <c r="R71" s="21"/>
      <c r="S71" s="17"/>
      <c r="T71" s="17"/>
      <c r="U71" s="17"/>
      <c r="V71" s="17"/>
      <c r="W71" s="17"/>
      <c r="X71" s="294"/>
      <c r="Y71" s="53"/>
      <c r="Z71" s="279"/>
      <c r="AA71" s="279"/>
      <c r="AB71" s="279"/>
    </row>
    <row r="72" spans="1:28" s="114" customFormat="1" ht="17.5">
      <c r="A72" s="331"/>
      <c r="B72" s="152"/>
      <c r="C72" s="152"/>
      <c r="D72" s="152" t="s">
        <v>91</v>
      </c>
      <c r="E72" s="152" t="s">
        <v>84</v>
      </c>
      <c r="F72" s="221" t="s">
        <v>47</v>
      </c>
      <c r="G72" s="152"/>
      <c r="H72" s="212">
        <v>88.15</v>
      </c>
      <c r="I72" s="212">
        <v>0.74</v>
      </c>
      <c r="J72" s="212">
        <f>O72/O71</f>
        <v>84.038221562895416</v>
      </c>
      <c r="K72" s="212">
        <v>0.998</v>
      </c>
      <c r="L72" s="212">
        <f t="shared" si="26"/>
        <v>132376.19710928411</v>
      </c>
      <c r="M72" s="212">
        <f t="shared" ref="M72:M75" si="27">L72/1000</f>
        <v>132.37619710928411</v>
      </c>
      <c r="N72" s="212">
        <f>L72/I72</f>
        <v>178886.75285038393</v>
      </c>
      <c r="O72" s="212">
        <f>O71*J46</f>
        <v>1501.7152252896665</v>
      </c>
      <c r="P72" s="212"/>
      <c r="Q72" s="212"/>
      <c r="R72" s="212"/>
      <c r="S72" s="212">
        <f>4100</f>
        <v>4100</v>
      </c>
      <c r="T72" s="152" t="s">
        <v>61</v>
      </c>
      <c r="U72" s="212">
        <f>S72/((I72*200000)/H72)</f>
        <v>2.4419932432432434</v>
      </c>
      <c r="V72" s="228" t="s">
        <v>141</v>
      </c>
      <c r="W72" s="152" t="s">
        <v>85</v>
      </c>
      <c r="X72" s="294"/>
      <c r="Y72" s="212">
        <f t="shared" ref="Y72:Y75" si="28">U72*O72</f>
        <v>3667.1784334328704</v>
      </c>
      <c r="Z72" s="279"/>
      <c r="AA72" s="279"/>
      <c r="AB72" s="279"/>
    </row>
    <row r="73" spans="1:28">
      <c r="A73" s="331"/>
      <c r="B73" s="144"/>
      <c r="C73" s="144"/>
      <c r="D73" s="138" t="s">
        <v>106</v>
      </c>
      <c r="E73" s="149" t="s">
        <v>107</v>
      </c>
      <c r="F73" s="137" t="s">
        <v>101</v>
      </c>
      <c r="G73" s="144"/>
      <c r="H73" s="147">
        <v>238.202</v>
      </c>
      <c r="I73" s="144"/>
      <c r="J73" s="145">
        <f>O73/O71</f>
        <v>5.4634301978992612E-2</v>
      </c>
      <c r="K73" s="144" t="s">
        <v>108</v>
      </c>
      <c r="L73" s="145">
        <f t="shared" si="26"/>
        <v>232.55277870549907</v>
      </c>
      <c r="M73" s="145">
        <f t="shared" si="27"/>
        <v>0.23255277870549906</v>
      </c>
      <c r="N73" s="145"/>
      <c r="O73" s="145">
        <f>O71*J47</f>
        <v>0.97628390486015681</v>
      </c>
      <c r="P73" s="144"/>
      <c r="Q73" s="145"/>
      <c r="R73" s="145"/>
      <c r="S73" s="145">
        <v>202</v>
      </c>
      <c r="T73" s="144" t="s">
        <v>102</v>
      </c>
      <c r="U73" s="145">
        <f>S73/(500/H73)</f>
        <v>96.233608000000004</v>
      </c>
      <c r="V73" s="144" t="s">
        <v>103</v>
      </c>
      <c r="W73" s="144" t="s">
        <v>100</v>
      </c>
      <c r="X73" s="294"/>
      <c r="Y73" s="153">
        <f t="shared" si="28"/>
        <v>93.95132259702163</v>
      </c>
      <c r="Z73" s="279"/>
      <c r="AA73" s="279"/>
      <c r="AB73" s="279"/>
    </row>
    <row r="74" spans="1:28" ht="17.5">
      <c r="A74" s="331"/>
      <c r="B74" s="17"/>
      <c r="C74" s="17"/>
      <c r="D74" s="54" t="s">
        <v>134</v>
      </c>
      <c r="E74" s="17" t="s">
        <v>109</v>
      </c>
      <c r="F74" s="37" t="s">
        <v>34</v>
      </c>
      <c r="G74" s="17"/>
      <c r="H74" s="17">
        <v>130.13999999999999</v>
      </c>
      <c r="I74" s="21">
        <v>1.0149999999999999</v>
      </c>
      <c r="J74" s="21">
        <f>O74/O71</f>
        <v>1</v>
      </c>
      <c r="K74" s="151">
        <v>0.99</v>
      </c>
      <c r="L74" s="21">
        <f t="shared" si="26"/>
        <v>2325.5277870549908</v>
      </c>
      <c r="M74" s="21">
        <f t="shared" si="27"/>
        <v>2.3255277870549906</v>
      </c>
      <c r="N74" s="21">
        <f>L74/I74</f>
        <v>2291.1603813349666</v>
      </c>
      <c r="O74" s="21">
        <f>O71*J48</f>
        <v>17.869431282119187</v>
      </c>
      <c r="P74" s="17"/>
      <c r="Q74" s="21"/>
      <c r="R74" s="21"/>
      <c r="S74" s="21">
        <f>60.4</f>
        <v>60.4</v>
      </c>
      <c r="T74" s="17" t="s">
        <v>143</v>
      </c>
      <c r="U74" s="229">
        <f>S74/((I74*1000)/H74)</f>
        <v>7.7442916256157641</v>
      </c>
      <c r="V74" s="54">
        <v>8006801000</v>
      </c>
      <c r="W74" s="17" t="s">
        <v>110</v>
      </c>
      <c r="X74" s="294"/>
      <c r="Y74" s="53">
        <f t="shared" si="28"/>
        <v>138.38608703263199</v>
      </c>
      <c r="Z74" s="279"/>
      <c r="AA74" s="279"/>
      <c r="AB74" s="279"/>
    </row>
    <row r="75" spans="1:28" s="114" customFormat="1" ht="17.5">
      <c r="A75" s="331"/>
      <c r="B75" s="113"/>
      <c r="C75" s="113"/>
      <c r="D75" s="113" t="s">
        <v>131</v>
      </c>
      <c r="E75" s="113" t="s">
        <v>86</v>
      </c>
      <c r="F75" s="221" t="s">
        <v>114</v>
      </c>
      <c r="G75" s="113"/>
      <c r="H75" s="229">
        <v>84.16</v>
      </c>
      <c r="I75" s="229">
        <v>0.77900000000000003</v>
      </c>
      <c r="J75" s="229">
        <f>O75/O71</f>
        <v>17.991753057077357</v>
      </c>
      <c r="K75" s="113"/>
      <c r="L75" s="229">
        <f t="shared" si="26"/>
        <v>27057.641554641064</v>
      </c>
      <c r="M75" s="229">
        <f t="shared" si="27"/>
        <v>27.057641554641066</v>
      </c>
      <c r="N75" s="229">
        <f>L75/I75</f>
        <v>34733.814575919212</v>
      </c>
      <c r="O75" s="229">
        <f>O71*J49</f>
        <v>321.50239489830165</v>
      </c>
      <c r="P75" s="113"/>
      <c r="Q75" s="229"/>
      <c r="R75" s="229"/>
      <c r="S75" s="229">
        <v>4120</v>
      </c>
      <c r="T75" s="113" t="s">
        <v>61</v>
      </c>
      <c r="U75" s="229">
        <f>S75/((I75*200000)/H75)</f>
        <v>2.225540436456996</v>
      </c>
      <c r="V75" s="228" t="s">
        <v>142</v>
      </c>
      <c r="W75" s="113" t="s">
        <v>87</v>
      </c>
      <c r="X75" s="294"/>
      <c r="Y75" s="212">
        <f t="shared" si="28"/>
        <v>715.51658026393568</v>
      </c>
      <c r="Z75" s="279"/>
      <c r="AA75" s="279"/>
      <c r="AB75" s="279"/>
    </row>
    <row r="76" spans="1:28" s="114" customFormat="1" ht="17.5">
      <c r="A76" s="331"/>
      <c r="B76" s="17"/>
      <c r="C76" s="17"/>
      <c r="D76" s="113" t="s">
        <v>41</v>
      </c>
      <c r="E76" s="113" t="s">
        <v>42</v>
      </c>
      <c r="F76" s="221" t="s">
        <v>114</v>
      </c>
      <c r="G76" s="113"/>
      <c r="H76" s="229">
        <v>88.11</v>
      </c>
      <c r="I76" s="229">
        <v>0.90200000000000002</v>
      </c>
      <c r="J76" s="229">
        <f>O76/O71</f>
        <v>11.761145967272357</v>
      </c>
      <c r="K76" s="113"/>
      <c r="L76" s="229">
        <f t="shared" si="26"/>
        <v>18517.637239043626</v>
      </c>
      <c r="M76" s="229">
        <f>L76/1000</f>
        <v>18.517637239043626</v>
      </c>
      <c r="N76" s="229">
        <f>L76/I76</f>
        <v>20529.531307143709</v>
      </c>
      <c r="O76" s="229">
        <f>O71*J50</f>
        <v>210.16498966114659</v>
      </c>
      <c r="P76" s="113"/>
      <c r="Q76" s="229"/>
      <c r="R76" s="229"/>
      <c r="S76" s="229">
        <v>3650</v>
      </c>
      <c r="T76" s="113" t="s">
        <v>61</v>
      </c>
      <c r="U76" s="229">
        <f>S76/((I76*200000)/H76)</f>
        <v>1.7827134146341463</v>
      </c>
      <c r="V76" s="228" t="s">
        <v>115</v>
      </c>
      <c r="W76" s="113" t="s">
        <v>43</v>
      </c>
      <c r="X76" s="294"/>
      <c r="Y76" s="212">
        <f>U76*O76</f>
        <v>374.66394635537273</v>
      </c>
      <c r="Z76" s="279"/>
      <c r="AA76" s="279"/>
      <c r="AB76" s="279"/>
    </row>
    <row r="77" spans="1:28" ht="17.5">
      <c r="A77" s="332"/>
      <c r="B77" s="97"/>
      <c r="C77" s="95" t="s">
        <v>216</v>
      </c>
      <c r="D77" s="97" t="s">
        <v>111</v>
      </c>
      <c r="E77" s="96" t="s">
        <v>112</v>
      </c>
      <c r="F77" s="95" t="s">
        <v>129</v>
      </c>
      <c r="G77" s="96" t="s">
        <v>113</v>
      </c>
      <c r="H77" s="71">
        <v>130.143</v>
      </c>
      <c r="I77" s="97"/>
      <c r="J77" s="97"/>
      <c r="K77" s="167">
        <v>0.99</v>
      </c>
      <c r="L77" s="97"/>
      <c r="M77" s="97"/>
      <c r="N77" s="97"/>
      <c r="O77" s="97"/>
      <c r="P77" s="242">
        <v>1000</v>
      </c>
      <c r="Q77" s="241">
        <f>P77/1000</f>
        <v>1</v>
      </c>
      <c r="R77" s="242">
        <f>P77/H77</f>
        <v>7.68385545131125</v>
      </c>
      <c r="S77" s="97"/>
      <c r="T77" s="97"/>
      <c r="U77" s="97"/>
      <c r="V77" s="97"/>
      <c r="W77" s="97"/>
      <c r="X77" s="295"/>
      <c r="Y77" s="97"/>
      <c r="Z77" s="280"/>
      <c r="AA77" s="280"/>
      <c r="AB77" s="280"/>
    </row>
    <row r="78" spans="1:28">
      <c r="W78" s="185" t="s">
        <v>119</v>
      </c>
      <c r="X78" s="184">
        <f>X70*X62*X56</f>
        <v>0.35991000000000001</v>
      </c>
      <c r="Y78" s="255">
        <f>(SUM(Y56:Y60) +SUM(Y64:Y68)+SUM(Y72:Y76) - Y73-Y66)/10</f>
        <v>1649.7605133365407</v>
      </c>
      <c r="AB78" s="17">
        <f>SUM(AB56:AB77)</f>
        <v>66</v>
      </c>
    </row>
    <row r="80" spans="1:28">
      <c r="A80" s="259" t="s">
        <v>156</v>
      </c>
      <c r="B80" s="260"/>
      <c r="C80" s="260"/>
      <c r="D80" s="261"/>
      <c r="Y80" s="81"/>
    </row>
    <row r="81" spans="1:25">
      <c r="A81" s="82" t="s">
        <v>65</v>
      </c>
      <c r="B81" s="82" t="s">
        <v>5</v>
      </c>
      <c r="C81" s="82" t="s">
        <v>66</v>
      </c>
      <c r="D81" s="82" t="s">
        <v>67</v>
      </c>
    </row>
    <row r="82" spans="1:25">
      <c r="A82" s="335" t="s">
        <v>203</v>
      </c>
      <c r="B82" s="65" t="s">
        <v>190</v>
      </c>
      <c r="C82" s="66">
        <f>M56</f>
        <v>4.145836153733244</v>
      </c>
      <c r="D82" s="72"/>
      <c r="Y82" s="81"/>
    </row>
    <row r="83" spans="1:25">
      <c r="A83" s="291"/>
      <c r="B83" s="67" t="s">
        <v>47</v>
      </c>
      <c r="C83" s="30">
        <f>M58+M59+M60</f>
        <v>133.51551671858647</v>
      </c>
      <c r="D83" s="73"/>
    </row>
    <row r="84" spans="1:25">
      <c r="A84" s="291"/>
      <c r="B84" s="216" t="s">
        <v>34</v>
      </c>
      <c r="C84" s="30">
        <f>M57</f>
        <v>7.2658984137592943</v>
      </c>
      <c r="D84" s="73"/>
    </row>
    <row r="85" spans="1:25">
      <c r="A85" s="291"/>
      <c r="B85" s="78" t="s">
        <v>68</v>
      </c>
      <c r="C85" s="30">
        <f>0</f>
        <v>0</v>
      </c>
      <c r="D85" s="22"/>
    </row>
    <row r="86" spans="1:25">
      <c r="A86" s="303"/>
      <c r="B86" s="79" t="s">
        <v>44</v>
      </c>
      <c r="C86" s="68" t="s">
        <v>69</v>
      </c>
      <c r="D86" s="70">
        <f>Q61</f>
        <v>5.2071522756095314</v>
      </c>
    </row>
    <row r="87" spans="1:25">
      <c r="A87" s="335" t="s">
        <v>204</v>
      </c>
      <c r="B87" s="69" t="s">
        <v>44</v>
      </c>
      <c r="C87" s="66">
        <f>M63</f>
        <v>5.2071522756095314</v>
      </c>
      <c r="D87" s="72"/>
    </row>
    <row r="88" spans="1:25">
      <c r="A88" s="291"/>
      <c r="B88" s="67" t="s">
        <v>47</v>
      </c>
      <c r="C88" s="30">
        <f>M64+M67+M68</f>
        <v>197.70716122966411</v>
      </c>
      <c r="D88" s="73"/>
    </row>
    <row r="89" spans="1:25">
      <c r="A89" s="291"/>
      <c r="B89" s="216" t="s">
        <v>34</v>
      </c>
      <c r="C89" s="30">
        <f>M65</f>
        <v>3.974925401228651E-2</v>
      </c>
      <c r="D89" s="73"/>
    </row>
    <row r="90" spans="1:25">
      <c r="A90" s="291"/>
      <c r="B90" s="78" t="s">
        <v>68</v>
      </c>
      <c r="C90" s="30">
        <f>0</f>
        <v>0</v>
      </c>
      <c r="D90" s="22"/>
    </row>
    <row r="91" spans="1:25">
      <c r="A91" s="303"/>
      <c r="B91" s="79" t="s">
        <v>44</v>
      </c>
      <c r="C91" s="70" t="s">
        <v>69</v>
      </c>
      <c r="D91" s="70">
        <f>Q69</f>
        <v>2.3255277870549906</v>
      </c>
    </row>
    <row r="92" spans="1:25">
      <c r="A92" s="335" t="s">
        <v>205</v>
      </c>
      <c r="B92" s="69" t="s">
        <v>44</v>
      </c>
      <c r="C92" s="66">
        <f>M71</f>
        <v>2.3255277870549906</v>
      </c>
      <c r="D92" s="72"/>
    </row>
    <row r="93" spans="1:25">
      <c r="A93" s="291"/>
      <c r="B93" s="67" t="s">
        <v>47</v>
      </c>
      <c r="C93" s="30">
        <f>M72+M75+M76</f>
        <v>177.95147590296881</v>
      </c>
      <c r="D93" s="73"/>
    </row>
    <row r="94" spans="1:25">
      <c r="A94" s="291"/>
      <c r="B94" s="216" t="s">
        <v>34</v>
      </c>
      <c r="C94" s="30">
        <f>M74</f>
        <v>2.3255277870549906</v>
      </c>
      <c r="D94" s="73"/>
      <c r="E94" s="81"/>
    </row>
    <row r="95" spans="1:25">
      <c r="A95" s="291"/>
      <c r="B95" s="78" t="s">
        <v>68</v>
      </c>
      <c r="C95" s="30">
        <f>0</f>
        <v>0</v>
      </c>
      <c r="D95" s="22"/>
    </row>
    <row r="96" spans="1:25">
      <c r="A96" s="292"/>
      <c r="B96" s="202" t="s">
        <v>116</v>
      </c>
      <c r="C96" s="68" t="s">
        <v>69</v>
      </c>
      <c r="D96" s="70">
        <f>Q77</f>
        <v>1</v>
      </c>
    </row>
  </sheetData>
  <mergeCells count="56">
    <mergeCell ref="A80:D80"/>
    <mergeCell ref="A82:A86"/>
    <mergeCell ref="A87:A91"/>
    <mergeCell ref="A92:A96"/>
    <mergeCell ref="A70:A77"/>
    <mergeCell ref="X70:X77"/>
    <mergeCell ref="Z70:Z77"/>
    <mergeCell ref="AA70:AA77"/>
    <mergeCell ref="AB70:AB77"/>
    <mergeCell ref="A62:A65"/>
    <mergeCell ref="X62:X69"/>
    <mergeCell ref="Z62:Z69"/>
    <mergeCell ref="AA62:AA69"/>
    <mergeCell ref="AB62:AB69"/>
    <mergeCell ref="A66:A69"/>
    <mergeCell ref="A54:AB54"/>
    <mergeCell ref="A56:A61"/>
    <mergeCell ref="X56:X61"/>
    <mergeCell ref="Z56:Z61"/>
    <mergeCell ref="AA56:AA61"/>
    <mergeCell ref="AB56:AB61"/>
    <mergeCell ref="A44:A51"/>
    <mergeCell ref="X44:X51"/>
    <mergeCell ref="Z44:Z51"/>
    <mergeCell ref="AA44:AA51"/>
    <mergeCell ref="AB44:AB51"/>
    <mergeCell ref="A36:A39"/>
    <mergeCell ref="X36:X43"/>
    <mergeCell ref="Z36:Z43"/>
    <mergeCell ref="AA36:AA43"/>
    <mergeCell ref="AB36:AB43"/>
    <mergeCell ref="A40:A43"/>
    <mergeCell ref="A28:AB28"/>
    <mergeCell ref="A30:A35"/>
    <mergeCell ref="X30:X35"/>
    <mergeCell ref="Z30:Z35"/>
    <mergeCell ref="AA30:AA35"/>
    <mergeCell ref="AB30:AB35"/>
    <mergeCell ref="A1:AB1"/>
    <mergeCell ref="A2:AB2"/>
    <mergeCell ref="X4:X9"/>
    <mergeCell ref="Z4:Z9"/>
    <mergeCell ref="AA4:AA9"/>
    <mergeCell ref="AB4:AB9"/>
    <mergeCell ref="A4:A9"/>
    <mergeCell ref="Z10:Z17"/>
    <mergeCell ref="AA10:AA17"/>
    <mergeCell ref="AB10:AB17"/>
    <mergeCell ref="X10:X17"/>
    <mergeCell ref="A10:A13"/>
    <mergeCell ref="A14:A17"/>
    <mergeCell ref="A18:A25"/>
    <mergeCell ref="X18:X25"/>
    <mergeCell ref="Z18:Z25"/>
    <mergeCell ref="AA18:AA25"/>
    <mergeCell ref="AB18:AB25"/>
  </mergeCells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zoomScale="90" workbookViewId="0">
      <selection activeCell="D7" sqref="D7"/>
    </sheetView>
  </sheetViews>
  <sheetFormatPr defaultColWidth="10.6640625" defaultRowHeight="15.5"/>
  <cols>
    <col min="1" max="1" width="19" customWidth="1"/>
    <col min="2" max="2" width="41.5" bestFit="1" customWidth="1"/>
    <col min="3" max="3" width="15.33203125" customWidth="1"/>
    <col min="4" max="4" width="19" customWidth="1"/>
    <col min="6" max="6" width="13.1640625" customWidth="1"/>
    <col min="7" max="7" width="19" customWidth="1"/>
    <col min="8" max="8" width="37.1640625" customWidth="1"/>
    <col min="9" max="9" width="27.33203125" customWidth="1"/>
    <col min="10" max="10" width="36.33203125" customWidth="1"/>
    <col min="11" max="11" width="34.6640625" customWidth="1"/>
    <col min="12" max="12" width="32.1640625" bestFit="1" customWidth="1"/>
    <col min="13" max="13" width="20" customWidth="1"/>
  </cols>
  <sheetData>
    <row r="1" spans="1:13" ht="26">
      <c r="A1" s="336" t="s">
        <v>166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8"/>
    </row>
    <row r="2" spans="1:13">
      <c r="A2" s="339" t="s">
        <v>157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</row>
    <row r="3" spans="1:13">
      <c r="A3" s="1" t="s">
        <v>70</v>
      </c>
      <c r="B3" s="188" t="s">
        <v>192</v>
      </c>
      <c r="C3" s="189" t="s">
        <v>173</v>
      </c>
      <c r="D3" s="214" t="s">
        <v>174</v>
      </c>
      <c r="E3" s="190" t="s">
        <v>175</v>
      </c>
      <c r="F3" s="191" t="s">
        <v>182</v>
      </c>
      <c r="G3" s="1" t="s">
        <v>176</v>
      </c>
      <c r="H3" s="1" t="s">
        <v>177</v>
      </c>
      <c r="I3" s="1" t="s">
        <v>178</v>
      </c>
      <c r="J3" s="1" t="s">
        <v>179</v>
      </c>
      <c r="K3" s="214" t="s">
        <v>180</v>
      </c>
      <c r="L3" s="1" t="s">
        <v>181</v>
      </c>
      <c r="M3" s="1" t="s">
        <v>71</v>
      </c>
    </row>
    <row r="4" spans="1:13">
      <c r="A4" s="15" t="s">
        <v>209</v>
      </c>
      <c r="B4" s="14">
        <f>'Step-by-step procedure'!C82</f>
        <v>4.145836153733244</v>
      </c>
      <c r="C4" s="14">
        <f>'Step-by-step procedure'!C83</f>
        <v>133.51551671858647</v>
      </c>
      <c r="D4" s="14">
        <f>'Step-by-step procedure'!C84</f>
        <v>7.2658984137592943</v>
      </c>
      <c r="E4" s="14">
        <f>'Step-by-step procedure'!C85</f>
        <v>0</v>
      </c>
      <c r="F4" s="14">
        <f>'Step-by-step procedure'!D86</f>
        <v>5.2071522756095314</v>
      </c>
      <c r="G4" s="14">
        <f>(B4+D4-F4)/F4</f>
        <v>1.1915499995929577</v>
      </c>
      <c r="H4" s="14">
        <f>(B4+D4-F4)/F$7</f>
        <v>6.204582291883006</v>
      </c>
      <c r="I4" s="14">
        <f>(B4+C4+D4+E4-F4)/F4</f>
        <v>26.832343594967046</v>
      </c>
      <c r="J4" s="14">
        <f>(B4+C4+D4+E4-F4)/F$7</f>
        <v>139.72009901046948</v>
      </c>
      <c r="K4" s="14">
        <f>(B4+D4+0.1*(C4)-F4)/F$7</f>
        <v>19.556133963741654</v>
      </c>
      <c r="L4" s="16"/>
      <c r="M4" s="199">
        <v>1</v>
      </c>
    </row>
    <row r="5" spans="1:13">
      <c r="A5" s="15" t="s">
        <v>204</v>
      </c>
      <c r="B5" s="14">
        <f>'Step-by-step procedure'!C87</f>
        <v>5.2071522756095314</v>
      </c>
      <c r="C5" s="14">
        <f>'Step-by-step procedure'!C88</f>
        <v>197.70716122966411</v>
      </c>
      <c r="D5" s="14">
        <f>'Step-by-step procedure'!C89</f>
        <v>3.974925401228651E-2</v>
      </c>
      <c r="E5" s="14">
        <f>'Step-by-step procedure'!C90</f>
        <v>0</v>
      </c>
      <c r="F5" s="14">
        <f>'Step-by-step procedure'!D91</f>
        <v>2.3255277870549906</v>
      </c>
      <c r="G5" s="14">
        <f>(B5+D5-F5)/F5</f>
        <v>1.2562196671347479</v>
      </c>
      <c r="H5" s="14">
        <f t="shared" ref="H5:H6" si="0">(B5+D5-F5)/F$7</f>
        <v>2.9213737425668271</v>
      </c>
      <c r="I5" s="14">
        <f t="shared" ref="I5:I6" si="1">(B5+C5+D5+E5-F5)/F5</f>
        <v>86.272258748756357</v>
      </c>
      <c r="J5" s="14">
        <f t="shared" ref="J5:J7" si="2">(B5+C5+D5+E5-F5)/F$7</f>
        <v>200.62853497223094</v>
      </c>
      <c r="K5" s="14">
        <f t="shared" ref="K5:K7" si="3">(B5+D5+0.1*(C5)-F5)/F$7</f>
        <v>22.692089865533237</v>
      </c>
      <c r="L5" s="16"/>
      <c r="M5" s="199">
        <v>1</v>
      </c>
    </row>
    <row r="6" spans="1:13">
      <c r="A6" s="15" t="s">
        <v>205</v>
      </c>
      <c r="B6" s="14">
        <f>'Step-by-step procedure'!C92</f>
        <v>2.3255277870549906</v>
      </c>
      <c r="C6" s="14">
        <f>'Step-by-step procedure'!C93</f>
        <v>177.95147590296881</v>
      </c>
      <c r="D6" s="14">
        <f>'Step-by-step procedure'!C94</f>
        <v>2.3255277870549906</v>
      </c>
      <c r="E6" s="14">
        <f>'Step-by-step procedure'!C95</f>
        <v>0</v>
      </c>
      <c r="F6" s="14">
        <f>'Step-by-step procedure'!D96</f>
        <v>1</v>
      </c>
      <c r="G6" s="14">
        <f>(B6+D6-F6)/F6</f>
        <v>3.6510555741099813</v>
      </c>
      <c r="H6" s="14">
        <f t="shared" si="0"/>
        <v>3.6510555741099813</v>
      </c>
      <c r="I6" s="14">
        <f t="shared" si="1"/>
        <v>181.6025314770788</v>
      </c>
      <c r="J6" s="14">
        <f t="shared" si="2"/>
        <v>181.6025314770788</v>
      </c>
      <c r="K6" s="14">
        <f>(B6+D6+0.1*(C6)-F6)/F$7</f>
        <v>21.446203164406864</v>
      </c>
      <c r="L6" s="16"/>
      <c r="M6" s="199">
        <v>1</v>
      </c>
    </row>
    <row r="7" spans="1:13" s="198" customFormat="1">
      <c r="A7" s="194" t="s">
        <v>72</v>
      </c>
      <c r="B7" s="193">
        <f>B4</f>
        <v>4.145836153733244</v>
      </c>
      <c r="C7" s="193">
        <f>SUM(C4:C6)</f>
        <v>509.17415385121939</v>
      </c>
      <c r="D7" s="193">
        <f>SUM(D4:D6)</f>
        <v>9.6311754548265718</v>
      </c>
      <c r="E7" s="193">
        <f>SUM(E4:E6)</f>
        <v>0</v>
      </c>
      <c r="F7" s="193">
        <f>1</f>
        <v>1</v>
      </c>
      <c r="G7" s="194"/>
      <c r="H7" s="193">
        <f>(B7+D7-F7)/F$7</f>
        <v>12.777011608559816</v>
      </c>
      <c r="I7" s="194"/>
      <c r="J7" s="193">
        <f t="shared" si="2"/>
        <v>521.95116545977919</v>
      </c>
      <c r="K7" s="193">
        <f t="shared" si="3"/>
        <v>63.694426993681759</v>
      </c>
      <c r="L7" s="193">
        <f>J7+1</f>
        <v>522.95116545977919</v>
      </c>
      <c r="M7" s="200">
        <f>SUM(M4:M6)</f>
        <v>3</v>
      </c>
    </row>
    <row r="8" spans="1:13">
      <c r="A8" s="192"/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</row>
    <row r="10" spans="1:13">
      <c r="A10" s="259" t="s">
        <v>172</v>
      </c>
      <c r="B10" s="260"/>
      <c r="C10" s="260"/>
      <c r="D10" s="261"/>
    </row>
    <row r="11" spans="1:13">
      <c r="A11" s="83" t="s">
        <v>193</v>
      </c>
      <c r="B11" s="84" t="s">
        <v>173</v>
      </c>
      <c r="C11" s="209" t="s">
        <v>174</v>
      </c>
      <c r="D11" s="85" t="s">
        <v>175</v>
      </c>
    </row>
    <row r="12" spans="1:13">
      <c r="A12" s="92">
        <f>B7</f>
        <v>4.145836153733244</v>
      </c>
      <c r="B12" s="92">
        <f>C7</f>
        <v>509.17415385121939</v>
      </c>
      <c r="C12" s="92">
        <f>D7</f>
        <v>9.6311754548265718</v>
      </c>
      <c r="D12" s="92">
        <f>E7</f>
        <v>0</v>
      </c>
    </row>
  </sheetData>
  <mergeCells count="3">
    <mergeCell ref="A1:M1"/>
    <mergeCell ref="A2:M2"/>
    <mergeCell ref="A10:D10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="84" workbookViewId="0">
      <selection activeCell="E28" sqref="E28"/>
    </sheetView>
  </sheetViews>
  <sheetFormatPr defaultColWidth="10.6640625" defaultRowHeight="15.5"/>
  <cols>
    <col min="1" max="1" width="36.6640625" customWidth="1"/>
    <col min="2" max="2" width="26.5" customWidth="1"/>
    <col min="3" max="3" width="32.33203125" customWidth="1"/>
    <col min="4" max="4" width="20" customWidth="1"/>
    <col min="5" max="5" width="37.1640625" customWidth="1"/>
    <col min="6" max="6" width="25.5" customWidth="1"/>
    <col min="7" max="7" width="25.83203125" customWidth="1"/>
  </cols>
  <sheetData>
    <row r="1" spans="1:7" ht="26.5" thickBot="1">
      <c r="A1" s="318" t="s">
        <v>169</v>
      </c>
      <c r="B1" s="319"/>
      <c r="C1" s="319"/>
      <c r="D1" s="319"/>
      <c r="E1" s="319"/>
      <c r="F1" s="319"/>
      <c r="G1" s="320"/>
    </row>
    <row r="2" spans="1:7" ht="16" thickBot="1"/>
    <row r="3" spans="1:7" ht="16" thickBot="1">
      <c r="A3" s="324" t="s">
        <v>120</v>
      </c>
      <c r="B3" s="325"/>
      <c r="C3" s="326"/>
      <c r="E3" s="324" t="s">
        <v>195</v>
      </c>
      <c r="F3" s="325"/>
      <c r="G3" s="326"/>
    </row>
    <row r="4" spans="1:7">
      <c r="A4" s="259" t="s">
        <v>158</v>
      </c>
      <c r="B4" s="260"/>
      <c r="C4" s="261"/>
      <c r="E4" s="259" t="s">
        <v>159</v>
      </c>
      <c r="F4" s="260"/>
      <c r="G4" s="261"/>
    </row>
    <row r="5" spans="1:7">
      <c r="A5" s="82" t="s">
        <v>187</v>
      </c>
      <c r="B5" s="82" t="s">
        <v>188</v>
      </c>
      <c r="C5" s="82" t="s">
        <v>189</v>
      </c>
      <c r="E5" s="230" t="s">
        <v>187</v>
      </c>
      <c r="F5" s="230" t="s">
        <v>188</v>
      </c>
      <c r="G5" s="230" t="s">
        <v>189</v>
      </c>
    </row>
    <row r="6" spans="1:7">
      <c r="A6" s="92">
        <f>'Step-by-step E-factor'!H7</f>
        <v>12.777011608559816</v>
      </c>
      <c r="B6" s="92">
        <f>'Step-by-step E-factor'!J7</f>
        <v>521.95116545977919</v>
      </c>
      <c r="C6" s="92">
        <f>'Step-by-step E-factor'!K7</f>
        <v>63.694426993681759</v>
      </c>
      <c r="E6" s="246">
        <f>'ASM E-factor'!E16</f>
        <v>43.53958205154418</v>
      </c>
      <c r="F6" s="246">
        <f>'ASM E-factor'!F16</f>
        <v>261.71606991757841</v>
      </c>
      <c r="G6" s="246">
        <f>'ASM E-factor'!G16</f>
        <v>65.357230838147601</v>
      </c>
    </row>
    <row r="10" spans="1:7">
      <c r="C10" s="327" t="s">
        <v>160</v>
      </c>
      <c r="D10" s="328"/>
      <c r="E10" s="329"/>
    </row>
    <row r="11" spans="1:7">
      <c r="C11" s="259" t="s">
        <v>148</v>
      </c>
      <c r="D11" s="260"/>
      <c r="E11" s="261"/>
    </row>
    <row r="12" spans="1:7">
      <c r="C12" s="82" t="s">
        <v>187</v>
      </c>
      <c r="D12" s="82" t="s">
        <v>188</v>
      </c>
      <c r="E12" s="82" t="s">
        <v>189</v>
      </c>
    </row>
    <row r="13" spans="1:7">
      <c r="C13" s="160">
        <f>A6+E6</f>
        <v>56.316593660103997</v>
      </c>
      <c r="D13" s="160">
        <f>B6+F6</f>
        <v>783.66723537735766</v>
      </c>
      <c r="E13" s="160">
        <f>C6+G6</f>
        <v>129.05165783182935</v>
      </c>
    </row>
    <row r="14" spans="1:7">
      <c r="C14" s="306" t="s">
        <v>117</v>
      </c>
      <c r="D14" s="307"/>
      <c r="E14" s="308"/>
    </row>
    <row r="15" spans="1:7">
      <c r="C15" s="321">
        <v>3</v>
      </c>
      <c r="D15" s="322"/>
      <c r="E15" s="323"/>
    </row>
    <row r="17" spans="1:5">
      <c r="C17" s="232"/>
      <c r="D17" s="232"/>
      <c r="E17" s="232"/>
    </row>
    <row r="18" spans="1:5">
      <c r="A18" s="259" t="s">
        <v>161</v>
      </c>
      <c r="B18" s="260"/>
      <c r="C18" s="260"/>
      <c r="D18" s="261"/>
      <c r="E18" s="233"/>
    </row>
    <row r="19" spans="1:5">
      <c r="A19" s="83" t="s">
        <v>193</v>
      </c>
      <c r="B19" s="84" t="s">
        <v>173</v>
      </c>
      <c r="C19" s="209" t="s">
        <v>174</v>
      </c>
      <c r="D19" s="85" t="s">
        <v>175</v>
      </c>
      <c r="E19" s="185"/>
    </row>
    <row r="20" spans="1:5">
      <c r="A20" s="92">
        <f>'Step-by-step E-factor'!$A$12+'ASM E-factor'!A21</f>
        <v>33.392270092382084</v>
      </c>
      <c r="B20" s="92">
        <f>'Step-by-step E-factor'!$B$12+'ASM E-factor'!B21</f>
        <v>727.35064171725367</v>
      </c>
      <c r="C20" s="92">
        <f>'Step-by-step E-factor'!$C$12+'ASM E-factor'!C21</f>
        <v>28.070323567721907</v>
      </c>
      <c r="D20" s="92">
        <f>'Step-by-step E-factor'!$D$12+'ASM E-factor'!D20</f>
        <v>0</v>
      </c>
      <c r="E20" s="231"/>
    </row>
    <row r="21" spans="1:5">
      <c r="A21" s="81"/>
      <c r="B21" s="21"/>
      <c r="C21" s="210"/>
      <c r="D21" s="234"/>
      <c r="E21" s="234"/>
    </row>
    <row r="22" spans="1:5">
      <c r="C22" s="235"/>
      <c r="D22" s="235"/>
      <c r="E22" s="235"/>
    </row>
    <row r="24" spans="1:5">
      <c r="C24" s="340"/>
      <c r="D24" s="340"/>
      <c r="E24" s="340"/>
    </row>
  </sheetData>
  <mergeCells count="11">
    <mergeCell ref="A1:G1"/>
    <mergeCell ref="A18:D18"/>
    <mergeCell ref="C24:E24"/>
    <mergeCell ref="C14:E14"/>
    <mergeCell ref="C15:E15"/>
    <mergeCell ref="C11:E11"/>
    <mergeCell ref="A3:C3"/>
    <mergeCell ref="E3:G3"/>
    <mergeCell ref="A4:C4"/>
    <mergeCell ref="E4:G4"/>
    <mergeCell ref="C10:E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One-pot procedure</vt:lpstr>
      <vt:lpstr>One-pot E-factor</vt:lpstr>
      <vt:lpstr>Advanced Starting Material</vt:lpstr>
      <vt:lpstr>ASM E-factor</vt:lpstr>
      <vt:lpstr>One-pot Cummulative E-factor</vt:lpstr>
      <vt:lpstr>Step-by-step procedure</vt:lpstr>
      <vt:lpstr>Step-by-step E-factor</vt:lpstr>
      <vt:lpstr>Step-by-step Cummulative E-fact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Akakios</dc:creator>
  <cp:lastModifiedBy>Roger</cp:lastModifiedBy>
  <dcterms:created xsi:type="dcterms:W3CDTF">2019-10-28T17:26:25Z</dcterms:created>
  <dcterms:modified xsi:type="dcterms:W3CDTF">2021-03-08T09:33:34Z</dcterms:modified>
</cp:coreProperties>
</file>