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ry\OneDrive\Desktop\B paper 2021\"/>
    </mc:Choice>
  </mc:AlternateContent>
  <xr:revisionPtr revIDLastSave="0" documentId="13_ncr:1_{23595BBB-975D-45E0-9544-0044E821771A}" xr6:coauthVersionLast="47" xr6:coauthVersionMax="47" xr10:uidLastSave="{00000000-0000-0000-0000-000000000000}"/>
  <bookViews>
    <workbookView xWindow="-108" yWindow="-108" windowWidth="23256" windowHeight="12576" activeTab="1" xr2:uid="{96227560-0D6A-41EF-ADB0-93B371F5F80A}"/>
  </bookViews>
  <sheets>
    <sheet name="B ID Template" sheetId="3" r:id="rId1"/>
    <sheet name="B IC data reduction template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G2" i="4" l="1"/>
  <c r="Q3" i="3"/>
  <c r="W3" i="3" s="1"/>
  <c r="Z3" i="3" s="1"/>
  <c r="AE3" i="3"/>
  <c r="AF3" i="3" s="1"/>
  <c r="Y3" i="3"/>
  <c r="AD3" i="3" s="1"/>
  <c r="V3" i="3"/>
  <c r="D2" i="4"/>
  <c r="AA3" i="3" l="1"/>
  <c r="AB3" i="3" s="1"/>
  <c r="R3" i="3" s="1"/>
  <c r="AG3" i="3"/>
  <c r="AH3" i="3" s="1"/>
  <c r="X3" i="3" l="1"/>
  <c r="U3" i="3"/>
  <c r="AI3" i="3"/>
  <c r="S3" i="3" s="1"/>
  <c r="T3" i="3" s="1"/>
  <c r="W2" i="4"/>
  <c r="H2" i="4" l="1"/>
  <c r="C2" i="4" s="1"/>
</calcChain>
</file>

<file path=xl/sharedStrings.xml><?xml version="1.0" encoding="utf-8"?>
<sst xmlns="http://schemas.openxmlformats.org/spreadsheetml/2006/main" count="64" uniqueCount="61">
  <si>
    <t>Actual ID aliquot (ml) or (g)</t>
  </si>
  <si>
    <t>Total sample solution (ml)</t>
  </si>
  <si>
    <t>Sample name</t>
  </si>
  <si>
    <t>Lab ID</t>
  </si>
  <si>
    <t>Peroxide B concentration (ug/g)</t>
  </si>
  <si>
    <t>Peroxide weight (g)</t>
  </si>
  <si>
    <t>Estimated sample B (umol)</t>
  </si>
  <si>
    <t>Sample 11B/10B</t>
  </si>
  <si>
    <t>Estimated sample B (ng)</t>
  </si>
  <si>
    <t>ID calculation</t>
  </si>
  <si>
    <t>Output</t>
  </si>
  <si>
    <t>Measured 11B/10B of spike+sample</t>
  </si>
  <si>
    <t>Peroxide blank contribution</t>
  </si>
  <si>
    <t>Estimated sample [B] (ppm)</t>
  </si>
  <si>
    <t>EstimatedSample 11B (umol)</t>
  </si>
  <si>
    <t>Estimated Sample 10B (umol)</t>
  </si>
  <si>
    <t>Measured 11B/10B of 951</t>
  </si>
  <si>
    <t>Estimated 11B/10B spike +sample</t>
  </si>
  <si>
    <t>Mass fractionation corrected 11B/10B spike+sample</t>
  </si>
  <si>
    <t>11B/10B Spike</t>
  </si>
  <si>
    <t>Ideal 11B/10B spike+sample</t>
  </si>
  <si>
    <t>Actual sample 10B (umol)</t>
  </si>
  <si>
    <t>952 spike [B] ug/g</t>
  </si>
  <si>
    <t>Blank corrected sample B (ug)</t>
  </si>
  <si>
    <t>Total B (ug)</t>
  </si>
  <si>
    <t>Spike 11B (umol)</t>
  </si>
  <si>
    <t>Spike 10B (umol)</t>
  </si>
  <si>
    <t>Ideal Spike volume (ml)</t>
  </si>
  <si>
    <t>Ideal aliquot for B ID (ml)</t>
  </si>
  <si>
    <t>Sample B (ppm) or (ug/g)</t>
  </si>
  <si>
    <t>Combined 2SE (per mil)</t>
  </si>
  <si>
    <t>Na2O2 (g)</t>
  </si>
  <si>
    <t>peroxide [B]</t>
  </si>
  <si>
    <t>Sample (g)</t>
  </si>
  <si>
    <t>Stock solution (g)</t>
  </si>
  <si>
    <t>Peroxide B%</t>
  </si>
  <si>
    <t>Ammonia B%</t>
  </si>
  <si>
    <t>Total sample B (ug)</t>
  </si>
  <si>
    <r>
      <t xml:space="preserve">peroxide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B</t>
    </r>
  </si>
  <si>
    <r>
      <t xml:space="preserve">Measured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B</t>
    </r>
  </si>
  <si>
    <t>Ammonia [B] ppm</t>
  </si>
  <si>
    <r>
      <t xml:space="preserve">Sodium Peroxide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B</t>
    </r>
  </si>
  <si>
    <r>
      <t xml:space="preserve">Ammonia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B</t>
    </r>
  </si>
  <si>
    <t>IC external 2SD</t>
  </si>
  <si>
    <t>IC internal 2SE</t>
  </si>
  <si>
    <t>IC aliquot (g)</t>
  </si>
  <si>
    <t>Ammonia (g)</t>
  </si>
  <si>
    <t>11B/10B of bracketting 951</t>
  </si>
  <si>
    <r>
      <t xml:space="preserve">Blank-corrected </t>
    </r>
    <r>
      <rPr>
        <b/>
        <sz val="11"/>
        <color rgb="FFFF0000"/>
        <rFont val="Symbol"/>
        <family val="1"/>
        <charset val="2"/>
      </rPr>
      <t>d</t>
    </r>
    <r>
      <rPr>
        <b/>
        <vertAlign val="superscript"/>
        <sz val="11"/>
        <color rgb="FFFF0000"/>
        <rFont val="Calibri"/>
        <family val="2"/>
        <scheme val="minor"/>
      </rPr>
      <t>11</t>
    </r>
    <r>
      <rPr>
        <b/>
        <sz val="11"/>
        <color rgb="FFFF0000"/>
        <rFont val="Calibri"/>
        <family val="2"/>
        <scheme val="minor"/>
      </rPr>
      <t>B (per mil)</t>
    </r>
  </si>
  <si>
    <t>[B] sample ppm (ug/g)</t>
  </si>
  <si>
    <t>[B] 2SE ppm (ug/g)</t>
  </si>
  <si>
    <t>2SD external error</t>
  </si>
  <si>
    <t>Relative  weighing error (%)</t>
  </si>
  <si>
    <t>2SE combined error</t>
  </si>
  <si>
    <t>1SE internal error</t>
  </si>
  <si>
    <t>Weights</t>
  </si>
  <si>
    <t>Measured and estimated data</t>
  </si>
  <si>
    <t>Estimated sample d11B</t>
  </si>
  <si>
    <t>Actual Spike volume (g)</t>
  </si>
  <si>
    <t>Sample weight (g)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</si>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</sst>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0000"/>
    <numFmt numFmtId="167" formatCode="_-* #,##0.000_-;\-* #,##0.000_-;_-* &quot;-&quot;??_-;_-@_-"/>
    <numFmt numFmtId="168" formatCode="_(* #,##0.000_);_(* \(#,##0.000\);_(* &quot;-&quot;??_);_(@_)"/>
    <numFmt numFmtId="169" formatCode="0.0000"/>
    <numFmt numFmtId="170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Symbol"/>
      <family val="1"/>
      <charset val="2"/>
    </font>
    <font>
      <b/>
      <vertAlign val="superscript"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rgb="FF7030A0"/>
      <name val="Arial"/>
      <family val="2"/>
    </font>
    <font>
      <b/>
      <sz val="12"/>
      <color rgb="FF7030A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2" fontId="4" fillId="0" borderId="0" xfId="4" applyNumberFormat="1" applyFont="1" applyFill="1" applyAlignment="1">
      <alignment vertical="center"/>
    </xf>
    <xf numFmtId="11" fontId="4" fillId="0" borderId="0" xfId="4" applyNumberFormat="1" applyFont="1" applyFill="1" applyAlignment="1">
      <alignment vertical="center"/>
    </xf>
    <xf numFmtId="164" fontId="4" fillId="0" borderId="0" xfId="4" applyFont="1" applyFill="1" applyAlignment="1">
      <alignment vertical="center"/>
    </xf>
    <xf numFmtId="166" fontId="4" fillId="0" borderId="0" xfId="4" applyNumberFormat="1" applyFont="1" applyFill="1" applyBorder="1" applyAlignment="1">
      <alignment vertical="center"/>
    </xf>
    <xf numFmtId="165" fontId="3" fillId="0" borderId="0" xfId="4" applyNumberFormat="1" applyFont="1" applyFill="1" applyAlignment="1">
      <alignment vertical="center"/>
    </xf>
    <xf numFmtId="166" fontId="4" fillId="0" borderId="0" xfId="4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2" fontId="4" fillId="0" borderId="0" xfId="3" applyNumberFormat="1" applyFont="1" applyFill="1" applyAlignment="1">
      <alignment vertical="center"/>
    </xf>
    <xf numFmtId="165" fontId="4" fillId="0" borderId="0" xfId="4" applyNumberFormat="1" applyFont="1" applyFill="1" applyAlignment="1">
      <alignment vertical="center"/>
    </xf>
    <xf numFmtId="11" fontId="4" fillId="0" borderId="0" xfId="3" applyNumberFormat="1" applyFont="1" applyFill="1" applyAlignment="1">
      <alignment vertical="center"/>
    </xf>
    <xf numFmtId="168" fontId="4" fillId="0" borderId="0" xfId="1" applyNumberFormat="1" applyFont="1" applyFill="1" applyAlignment="1">
      <alignment vertical="center"/>
    </xf>
    <xf numFmtId="10" fontId="3" fillId="0" borderId="0" xfId="2" applyNumberFormat="1" applyFont="1" applyFill="1" applyAlignment="1">
      <alignment vertical="center"/>
    </xf>
    <xf numFmtId="164" fontId="4" fillId="0" borderId="7" xfId="4" applyFont="1" applyFill="1" applyBorder="1" applyAlignment="1">
      <alignment vertical="center"/>
    </xf>
    <xf numFmtId="11" fontId="4" fillId="0" borderId="0" xfId="3" applyNumberFormat="1" applyFont="1" applyFill="1" applyBorder="1" applyAlignment="1">
      <alignment vertical="center"/>
    </xf>
    <xf numFmtId="165" fontId="4" fillId="0" borderId="0" xfId="4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1" fontId="4" fillId="0" borderId="0" xfId="4" applyNumberFormat="1" applyFont="1" applyFill="1" applyBorder="1" applyAlignment="1">
      <alignment vertical="center"/>
    </xf>
    <xf numFmtId="164" fontId="4" fillId="0" borderId="0" xfId="4" applyFont="1" applyFill="1" applyBorder="1" applyAlignment="1">
      <alignment vertical="center"/>
    </xf>
    <xf numFmtId="2" fontId="4" fillId="0" borderId="0" xfId="4" applyNumberFormat="1" applyFont="1" applyFill="1" applyBorder="1" applyAlignment="1">
      <alignment vertical="center"/>
    </xf>
    <xf numFmtId="2" fontId="4" fillId="0" borderId="8" xfId="4" applyNumberFormat="1" applyFont="1" applyFill="1" applyBorder="1" applyAlignment="1">
      <alignment vertical="center"/>
    </xf>
    <xf numFmtId="165" fontId="3" fillId="0" borderId="7" xfId="4" applyNumberFormat="1" applyFont="1" applyFill="1" applyBorder="1" applyAlignment="1">
      <alignment vertical="center"/>
    </xf>
    <xf numFmtId="165" fontId="3" fillId="0" borderId="0" xfId="4" applyNumberFormat="1" applyFont="1" applyFill="1" applyBorder="1" applyAlignment="1">
      <alignment vertical="center"/>
    </xf>
    <xf numFmtId="10" fontId="3" fillId="0" borderId="8" xfId="2" applyNumberFormat="1" applyFont="1" applyFill="1" applyBorder="1" applyAlignment="1">
      <alignment vertical="center"/>
    </xf>
    <xf numFmtId="2" fontId="4" fillId="0" borderId="0" xfId="3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2" fontId="7" fillId="0" borderId="0" xfId="1" applyNumberFormat="1" applyFont="1" applyAlignment="1">
      <alignment wrapText="1"/>
    </xf>
    <xf numFmtId="43" fontId="0" fillId="0" borderId="0" xfId="1" applyFont="1" applyAlignment="1">
      <alignment wrapText="1"/>
    </xf>
    <xf numFmtId="11" fontId="0" fillId="0" borderId="0" xfId="0" applyNumberFormat="1" applyAlignment="1">
      <alignment wrapText="1"/>
    </xf>
    <xf numFmtId="2" fontId="0" fillId="0" borderId="0" xfId="1" applyNumberFormat="1" applyFont="1" applyAlignment="1">
      <alignment wrapText="1"/>
    </xf>
    <xf numFmtId="10" fontId="0" fillId="0" borderId="0" xfId="2" applyNumberFormat="1" applyFont="1"/>
    <xf numFmtId="2" fontId="7" fillId="0" borderId="0" xfId="1" applyNumberFormat="1" applyFont="1"/>
    <xf numFmtId="11" fontId="0" fillId="0" borderId="0" xfId="0" applyNumberFormat="1"/>
    <xf numFmtId="2" fontId="0" fillId="0" borderId="0" xfId="1" applyNumberFormat="1" applyFont="1"/>
    <xf numFmtId="9" fontId="0" fillId="0" borderId="0" xfId="2" applyFont="1"/>
    <xf numFmtId="43" fontId="0" fillId="0" borderId="0" xfId="0" applyNumberFormat="1"/>
    <xf numFmtId="0" fontId="7" fillId="0" borderId="0" xfId="0" applyFont="1"/>
    <xf numFmtId="169" fontId="0" fillId="0" borderId="0" xfId="1" applyNumberFormat="1" applyFont="1"/>
    <xf numFmtId="10" fontId="4" fillId="0" borderId="0" xfId="2" applyNumberFormat="1" applyFont="1" applyFill="1" applyAlignment="1">
      <alignment vertical="center"/>
    </xf>
    <xf numFmtId="164" fontId="13" fillId="0" borderId="0" xfId="4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66" fontId="13" fillId="0" borderId="0" xfId="4" applyNumberFormat="1" applyFont="1" applyFill="1" applyAlignment="1">
      <alignment vertical="center"/>
    </xf>
    <xf numFmtId="0" fontId="13" fillId="0" borderId="0" xfId="3" applyFont="1" applyFill="1" applyAlignment="1">
      <alignment vertical="center"/>
    </xf>
    <xf numFmtId="43" fontId="13" fillId="0" borderId="0" xfId="1" applyFont="1" applyFill="1" applyAlignment="1">
      <alignment vertical="center"/>
    </xf>
    <xf numFmtId="164" fontId="13" fillId="0" borderId="0" xfId="4" applyFont="1" applyFill="1" applyAlignment="1">
      <alignment vertical="center"/>
    </xf>
    <xf numFmtId="11" fontId="14" fillId="0" borderId="5" xfId="3" applyNumberFormat="1" applyFont="1" applyFill="1" applyBorder="1" applyAlignment="1">
      <alignment horizontal="right" wrapText="1"/>
    </xf>
    <xf numFmtId="11" fontId="14" fillId="0" borderId="1" xfId="3" applyNumberFormat="1" applyFont="1" applyFill="1" applyBorder="1" applyAlignment="1">
      <alignment horizontal="right" wrapText="1"/>
    </xf>
    <xf numFmtId="43" fontId="14" fillId="0" borderId="1" xfId="1" applyFont="1" applyFill="1" applyBorder="1" applyAlignment="1">
      <alignment horizontal="right" wrapText="1"/>
    </xf>
    <xf numFmtId="11" fontId="5" fillId="0" borderId="1" xfId="3" applyNumberFormat="1" applyFont="1" applyFill="1" applyBorder="1" applyAlignment="1">
      <alignment horizontal="right" wrapText="1"/>
    </xf>
    <xf numFmtId="168" fontId="5" fillId="0" borderId="1" xfId="1" applyNumberFormat="1" applyFont="1" applyFill="1" applyBorder="1" applyAlignment="1">
      <alignment horizontal="right" wrapText="1"/>
    </xf>
    <xf numFmtId="11" fontId="6" fillId="0" borderId="5" xfId="3" applyNumberFormat="1" applyFont="1" applyFill="1" applyBorder="1" applyAlignment="1">
      <alignment horizontal="right" wrapText="1"/>
    </xf>
    <xf numFmtId="11" fontId="6" fillId="0" borderId="1" xfId="3" applyNumberFormat="1" applyFont="1" applyFill="1" applyBorder="1" applyAlignment="1">
      <alignment horizontal="right" wrapText="1"/>
    </xf>
    <xf numFmtId="10" fontId="6" fillId="0" borderId="6" xfId="2" applyNumberFormat="1" applyFont="1" applyFill="1" applyBorder="1" applyAlignment="1">
      <alignment horizontal="right" wrapText="1"/>
    </xf>
    <xf numFmtId="164" fontId="5" fillId="0" borderId="5" xfId="4" applyFont="1" applyFill="1" applyBorder="1" applyAlignment="1">
      <alignment horizontal="right" wrapText="1"/>
    </xf>
    <xf numFmtId="11" fontId="5" fillId="0" borderId="6" xfId="3" applyNumberFormat="1" applyFont="1" applyFill="1" applyBorder="1" applyAlignment="1">
      <alignment horizontal="right" wrapText="1"/>
    </xf>
    <xf numFmtId="0" fontId="14" fillId="0" borderId="0" xfId="0" applyFont="1"/>
    <xf numFmtId="43" fontId="15" fillId="0" borderId="0" xfId="1" applyFont="1"/>
    <xf numFmtId="11" fontId="15" fillId="0" borderId="0" xfId="0" applyNumberFormat="1" applyFont="1"/>
    <xf numFmtId="170" fontId="4" fillId="0" borderId="0" xfId="1" applyNumberFormat="1" applyFont="1" applyFill="1" applyBorder="1" applyAlignment="1">
      <alignment vertical="center"/>
    </xf>
    <xf numFmtId="165" fontId="13" fillId="0" borderId="0" xfId="0" applyNumberFormat="1" applyFont="1"/>
    <xf numFmtId="1" fontId="4" fillId="0" borderId="0" xfId="3" applyNumberFormat="1" applyFont="1" applyFill="1" applyBorder="1" applyAlignment="1">
      <alignment vertical="center"/>
    </xf>
    <xf numFmtId="167" fontId="6" fillId="0" borderId="2" xfId="4" applyNumberFormat="1" applyFont="1" applyFill="1" applyBorder="1" applyAlignment="1">
      <alignment horizontal="center" vertical="center"/>
    </xf>
    <xf numFmtId="167" fontId="6" fillId="0" borderId="3" xfId="4" applyNumberFormat="1" applyFont="1" applyFill="1" applyBorder="1" applyAlignment="1">
      <alignment horizontal="center" vertical="center"/>
    </xf>
    <xf numFmtId="167" fontId="6" fillId="0" borderId="4" xfId="4" applyNumberFormat="1" applyFont="1" applyFill="1" applyBorder="1" applyAlignment="1">
      <alignment horizontal="center" vertical="center"/>
    </xf>
    <xf numFmtId="11" fontId="5" fillId="0" borderId="2" xfId="3" applyNumberFormat="1" applyFont="1" applyFill="1" applyBorder="1" applyAlignment="1">
      <alignment horizontal="center" vertical="center" wrapText="1"/>
    </xf>
    <xf numFmtId="11" fontId="5" fillId="0" borderId="3" xfId="3" applyNumberFormat="1" applyFont="1" applyFill="1" applyBorder="1" applyAlignment="1">
      <alignment horizontal="center" vertical="center" wrapText="1"/>
    </xf>
    <xf numFmtId="11" fontId="5" fillId="0" borderId="4" xfId="3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12" fillId="0" borderId="0" xfId="0" applyFont="1" applyFill="1"/>
    <xf numFmtId="43" fontId="15" fillId="0" borderId="0" xfId="1" applyFont="1" applyFill="1"/>
    <xf numFmtId="11" fontId="15" fillId="0" borderId="0" xfId="0" applyNumberFormat="1" applyFont="1" applyFill="1"/>
  </cellXfs>
  <cellStyles count="6">
    <cellStyle name="Comma" xfId="1" builtinId="3"/>
    <cellStyle name="Comma 2" xfId="4" xr:uid="{CF5508D0-A9F5-42D0-8E76-F219BBB1D777}"/>
    <cellStyle name="Normal" xfId="0" builtinId="0"/>
    <cellStyle name="Normal 2" xfId="3" xr:uid="{95D7E4F6-E5AF-4012-BD28-4B8FBCBD7B87}"/>
    <cellStyle name="Percent" xfId="2" builtinId="5"/>
    <cellStyle name="Percent 2" xfId="5" xr:uid="{729BE312-1E6F-4866-ADB5-AC795AE51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7B25-151F-4BC4-B029-376C4EE9D166}">
  <sheetPr>
    <pageSetUpPr fitToPage="1"/>
  </sheetPr>
  <dimension ref="A1:AI4"/>
  <sheetViews>
    <sheetView zoomScale="91" workbookViewId="0">
      <selection activeCell="B4" sqref="B4"/>
    </sheetView>
  </sheetViews>
  <sheetFormatPr defaultColWidth="12.21875" defaultRowHeight="15" x14ac:dyDescent="0.3"/>
  <cols>
    <col min="1" max="1" width="9.33203125" style="46" customWidth="1"/>
    <col min="2" max="2" width="12" style="46" customWidth="1"/>
    <col min="3" max="3" width="12.21875" style="47"/>
    <col min="4" max="4" width="8.88671875" style="46" customWidth="1"/>
    <col min="5" max="5" width="9.5546875" style="48" customWidth="1"/>
    <col min="6" max="6" width="12.21875" style="45"/>
    <col min="7" max="7" width="10.5546875" style="48" customWidth="1"/>
    <col min="8" max="8" width="10.77734375" style="8" customWidth="1"/>
    <col min="9" max="9" width="10.77734375" style="9" customWidth="1"/>
    <col min="10" max="10" width="12.21875" style="6"/>
    <col min="11" max="11" width="10.33203125" style="3" customWidth="1"/>
    <col min="12" max="12" width="14.21875" style="12" customWidth="1"/>
    <col min="13" max="13" width="10.109375" style="6" customWidth="1"/>
    <col min="14" max="14" width="15.77734375" style="6" customWidth="1"/>
    <col min="15" max="15" width="9.88671875" style="6" customWidth="1"/>
    <col min="16" max="16" width="10.21875" style="6" customWidth="1"/>
    <col min="17" max="17" width="9.109375" style="5" customWidth="1"/>
    <col min="18" max="18" width="9.44140625" style="5" customWidth="1"/>
    <col min="19" max="20" width="12.21875" style="5"/>
    <col min="21" max="21" width="13.88671875" style="13" customWidth="1"/>
    <col min="22" max="22" width="16.88671875" style="3" customWidth="1"/>
    <col min="23" max="23" width="12.109375" style="11" customWidth="1"/>
    <col min="24" max="24" width="12.21875" style="10"/>
    <col min="25" max="25" width="10.33203125" style="8" customWidth="1"/>
    <col min="26" max="26" width="11.33203125" style="2" customWidth="1"/>
    <col min="27" max="27" width="13" style="11" customWidth="1"/>
    <col min="28" max="28" width="12.21875" style="2"/>
    <col min="29" max="29" width="10.33203125" style="3" customWidth="1"/>
    <col min="30" max="30" width="14.88671875" style="1" customWidth="1"/>
    <col min="31" max="32" width="10.77734375" style="1" customWidth="1"/>
    <col min="33" max="33" width="13.44140625" style="1" customWidth="1"/>
    <col min="34" max="34" width="10.5546875" style="1" customWidth="1"/>
    <col min="35" max="35" width="13.44140625" style="1" customWidth="1"/>
    <col min="36" max="16384" width="12.21875" style="8"/>
  </cols>
  <sheetData>
    <row r="1" spans="1:35" s="7" customFormat="1" ht="31.2" customHeight="1" x14ac:dyDescent="0.3">
      <c r="A1" s="71" t="s">
        <v>55</v>
      </c>
      <c r="B1" s="72"/>
      <c r="C1" s="72"/>
      <c r="D1" s="72"/>
      <c r="E1" s="72"/>
      <c r="F1" s="72"/>
      <c r="G1" s="72"/>
      <c r="H1" s="73" t="s">
        <v>56</v>
      </c>
      <c r="I1" s="73"/>
      <c r="J1" s="73"/>
      <c r="K1" s="73"/>
      <c r="L1" s="73"/>
      <c r="M1" s="73"/>
      <c r="N1" s="73"/>
      <c r="O1" s="73"/>
      <c r="P1" s="74"/>
      <c r="Q1" s="65" t="s">
        <v>10</v>
      </c>
      <c r="R1" s="66"/>
      <c r="S1" s="66"/>
      <c r="T1" s="66"/>
      <c r="U1" s="67"/>
      <c r="V1" s="68" t="s">
        <v>9</v>
      </c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70"/>
    </row>
    <row r="2" spans="1:35" s="52" customFormat="1" ht="78.599999999999994" thickBot="1" x14ac:dyDescent="0.35">
      <c r="A2" s="49" t="s">
        <v>3</v>
      </c>
      <c r="B2" s="50" t="s">
        <v>2</v>
      </c>
      <c r="C2" s="51" t="s">
        <v>5</v>
      </c>
      <c r="D2" s="50" t="s">
        <v>59</v>
      </c>
      <c r="E2" s="50" t="s">
        <v>1</v>
      </c>
      <c r="F2" s="50" t="s">
        <v>58</v>
      </c>
      <c r="G2" s="50" t="s">
        <v>0</v>
      </c>
      <c r="H2" s="52" t="s">
        <v>13</v>
      </c>
      <c r="I2" s="52" t="s">
        <v>57</v>
      </c>
      <c r="J2" s="52" t="s">
        <v>52</v>
      </c>
      <c r="K2" s="52" t="s">
        <v>22</v>
      </c>
      <c r="L2" s="53" t="s">
        <v>4</v>
      </c>
      <c r="M2" s="52" t="s">
        <v>16</v>
      </c>
      <c r="N2" s="52" t="s">
        <v>11</v>
      </c>
      <c r="O2" s="52" t="s">
        <v>54</v>
      </c>
      <c r="P2" s="52" t="s">
        <v>51</v>
      </c>
      <c r="Q2" s="54" t="s">
        <v>28</v>
      </c>
      <c r="R2" s="55" t="s">
        <v>27</v>
      </c>
      <c r="S2" s="55" t="s">
        <v>29</v>
      </c>
      <c r="T2" s="55" t="s">
        <v>53</v>
      </c>
      <c r="U2" s="56" t="s">
        <v>12</v>
      </c>
      <c r="V2" s="57" t="s">
        <v>18</v>
      </c>
      <c r="W2" s="52" t="s">
        <v>8</v>
      </c>
      <c r="X2" s="52" t="s">
        <v>17</v>
      </c>
      <c r="Y2" s="52" t="s">
        <v>7</v>
      </c>
      <c r="Z2" s="52" t="s">
        <v>6</v>
      </c>
      <c r="AA2" s="52" t="s">
        <v>14</v>
      </c>
      <c r="AB2" s="52" t="s">
        <v>15</v>
      </c>
      <c r="AC2" s="52" t="s">
        <v>19</v>
      </c>
      <c r="AD2" s="52" t="s">
        <v>20</v>
      </c>
      <c r="AE2" s="52" t="s">
        <v>25</v>
      </c>
      <c r="AF2" s="52" t="s">
        <v>26</v>
      </c>
      <c r="AG2" s="52" t="s">
        <v>21</v>
      </c>
      <c r="AH2" s="52" t="s">
        <v>24</v>
      </c>
      <c r="AI2" s="58" t="s">
        <v>23</v>
      </c>
    </row>
    <row r="3" spans="1:35" ht="16.2" thickTop="1" x14ac:dyDescent="0.3">
      <c r="A3" s="75">
        <v>1</v>
      </c>
      <c r="B3" s="75" t="s">
        <v>60</v>
      </c>
      <c r="C3" s="44">
        <v>0.48740000000000006</v>
      </c>
      <c r="D3" s="43">
        <v>4.65E-2</v>
      </c>
      <c r="E3" s="43">
        <v>31.8337</v>
      </c>
      <c r="F3" s="45">
        <v>5.7000000000000002E-2</v>
      </c>
      <c r="G3" s="43">
        <v>0.24</v>
      </c>
      <c r="H3" s="64">
        <v>164.06842388221827</v>
      </c>
      <c r="I3" s="25">
        <v>1.1763608154790637</v>
      </c>
      <c r="J3" s="42">
        <v>6.7000000000000002E-3</v>
      </c>
      <c r="K3" s="19">
        <v>2.17</v>
      </c>
      <c r="L3" s="26">
        <v>4.2000000000000003E-2</v>
      </c>
      <c r="M3" s="4">
        <v>4.5830000000000002</v>
      </c>
      <c r="N3" s="76">
        <v>0.44</v>
      </c>
      <c r="O3" s="77">
        <v>2.51E-5</v>
      </c>
      <c r="P3" s="77">
        <v>3.1900000000000001E-3</v>
      </c>
      <c r="Q3" s="22">
        <f t="shared" ref="Q3" si="0">25*1.2*E3/(H3*D3)/1000</f>
        <v>0.12517869363141867</v>
      </c>
      <c r="R3" s="23">
        <f t="shared" ref="R3" si="1">(AC3*11+10)/(AC3+1)*(AB3*AD3-AA3)/((AC3/(AC3+1)-AD3*(1-(AC3/(AC3+1)))))/K3</f>
        <v>2.3389859246783707E-2</v>
      </c>
      <c r="S3" s="23">
        <f t="shared" ref="S3" si="2">AI3/D3</f>
        <v>165.88490975294724</v>
      </c>
      <c r="T3" s="23">
        <f t="shared" ref="T3" si="3">SQRT((2*O3/N3)^2+(P3/N3)^2+(J3)^2)*S3</f>
        <v>1.6376925585948412</v>
      </c>
      <c r="U3" s="24">
        <f t="shared" ref="U3" si="4">L3*C3/AH3</f>
        <v>2.6468172685243829E-3</v>
      </c>
      <c r="V3" s="14">
        <f t="shared" ref="V3" si="5">N3*4.04362/M3</f>
        <v>0.38821575387300888</v>
      </c>
      <c r="W3" s="62">
        <f t="shared" ref="W3" si="6">+D3*Q3/E3*H3*1000</f>
        <v>30</v>
      </c>
      <c r="X3" s="16">
        <f t="shared" ref="X3" si="7">(AA3+AB3)/(AE3+AF3)</f>
        <v>0.22574633069286593</v>
      </c>
      <c r="Y3" s="17">
        <f t="shared" ref="Y3" si="8">(I3/1000+1)*4.04362</f>
        <v>4.0483767561206871</v>
      </c>
      <c r="Z3" s="18">
        <f t="shared" ref="Z3" si="9">+W3/10.811/1000</f>
        <v>2.774951438349829E-3</v>
      </c>
      <c r="AA3" s="15">
        <f t="shared" ref="AA3" si="10">+Z3*(Y3/(Y3+1))</f>
        <v>2.2252794205105389E-3</v>
      </c>
      <c r="AB3" s="18">
        <f t="shared" ref="AB3" si="11">AA3/Y3</f>
        <v>5.4967201783929034E-4</v>
      </c>
      <c r="AC3" s="19">
        <v>5.3199999999999997E-2</v>
      </c>
      <c r="AD3" s="20">
        <f t="shared" ref="AD3" si="12">SQRT(Y3*AC3)</f>
        <v>0.46408365994249412</v>
      </c>
      <c r="AE3" s="20">
        <f t="shared" ref="AE3" si="13">F3*K3/(11.009*(AC3/(1+AC3))+10.012*(1/(1+AC3)))*AC3/(1+AC3)</f>
        <v>6.2091974329321988E-4</v>
      </c>
      <c r="AF3" s="20">
        <f t="shared" ref="AF3" si="14">AE3/AC3</f>
        <v>1.1671423746113156E-2</v>
      </c>
      <c r="AG3" s="20">
        <f t="shared" ref="AG3" si="15">(V3*AF3-AE3)/(Y3-V3)</f>
        <v>1.0682892972943721E-3</v>
      </c>
      <c r="AH3" s="20">
        <f t="shared" ref="AH3" si="16">(AG3*10.013+AG3*Y3*11.009)*(E3/G3)</f>
        <v>7.7341191035120467</v>
      </c>
      <c r="AI3" s="21">
        <f t="shared" ref="AI3" si="17">AH3-L3*C3</f>
        <v>7.7136483035120467</v>
      </c>
    </row>
    <row r="4" spans="1:35" ht="15.6" x14ac:dyDescent="0.3">
      <c r="A4" s="59"/>
      <c r="B4" s="59"/>
      <c r="C4" s="44"/>
      <c r="D4" s="63"/>
      <c r="E4" s="43"/>
      <c r="G4" s="43"/>
      <c r="H4" s="17"/>
      <c r="I4" s="25"/>
      <c r="J4" s="42"/>
      <c r="K4" s="19"/>
      <c r="L4" s="26"/>
      <c r="M4" s="4"/>
      <c r="N4" s="60"/>
      <c r="O4" s="61"/>
      <c r="P4" s="61"/>
      <c r="Q4" s="22"/>
      <c r="R4" s="23"/>
      <c r="S4" s="23"/>
      <c r="T4" s="23"/>
      <c r="U4" s="24"/>
      <c r="V4" s="14"/>
      <c r="W4" s="62"/>
      <c r="X4" s="16"/>
      <c r="Y4" s="17"/>
      <c r="Z4" s="18"/>
      <c r="AA4" s="15"/>
      <c r="AB4" s="18"/>
      <c r="AC4" s="19"/>
      <c r="AD4" s="20"/>
      <c r="AE4" s="20"/>
      <c r="AF4" s="20"/>
      <c r="AG4" s="20"/>
      <c r="AH4" s="20"/>
      <c r="AI4" s="21"/>
    </row>
  </sheetData>
  <mergeCells count="4">
    <mergeCell ref="Q1:U1"/>
    <mergeCell ref="V1:AI1"/>
    <mergeCell ref="A1:G1"/>
    <mergeCell ref="H1:P1"/>
  </mergeCells>
  <pageMargins left="0.7" right="0.7" top="0.75" bottom="0.75" header="0.3" footer="0.3"/>
  <pageSetup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21E1-6AFA-4D53-A72F-5B30C7935A5A}">
  <dimension ref="A1:W31"/>
  <sheetViews>
    <sheetView tabSelected="1" workbookViewId="0">
      <selection activeCell="A2" sqref="A2"/>
    </sheetView>
  </sheetViews>
  <sheetFormatPr defaultRowHeight="14.4" x14ac:dyDescent="0.3"/>
  <cols>
    <col min="3" max="3" width="14.5546875" style="40" customWidth="1"/>
    <col min="4" max="4" width="15.6640625" style="40" customWidth="1"/>
    <col min="5" max="5" width="13.21875" style="35" customWidth="1"/>
    <col min="6" max="6" width="10.5546875" style="35" customWidth="1"/>
    <col min="7" max="7" width="8.88671875" style="37"/>
    <col min="9" max="9" width="7.44140625" customWidth="1"/>
    <col min="10" max="10" width="9.21875" customWidth="1"/>
    <col min="11" max="11" width="10.109375" customWidth="1"/>
    <col min="12" max="12" width="8.33203125" style="27" customWidth="1"/>
    <col min="13" max="13" width="10.6640625" style="27" customWidth="1"/>
    <col min="14" max="14" width="8.88671875" style="27"/>
    <col min="15" max="15" width="11.5546875" style="27" customWidth="1"/>
    <col min="16" max="17" width="8.88671875" style="36"/>
    <col min="18" max="19" width="8.88671875" style="37"/>
    <col min="21" max="21" width="8.88671875" style="37"/>
  </cols>
  <sheetData>
    <row r="1" spans="1:23" s="28" customFormat="1" ht="45" x14ac:dyDescent="0.3">
      <c r="A1" s="28" t="s">
        <v>3</v>
      </c>
      <c r="B1" s="28" t="s">
        <v>2</v>
      </c>
      <c r="C1" s="29" t="s">
        <v>48</v>
      </c>
      <c r="D1" s="29" t="s">
        <v>30</v>
      </c>
      <c r="E1" s="30" t="s">
        <v>49</v>
      </c>
      <c r="F1" s="30" t="s">
        <v>50</v>
      </c>
      <c r="G1" s="33" t="s">
        <v>35</v>
      </c>
      <c r="H1" s="28" t="s">
        <v>36</v>
      </c>
      <c r="I1" s="28" t="s">
        <v>31</v>
      </c>
      <c r="J1" s="28" t="s">
        <v>32</v>
      </c>
      <c r="K1" s="28" t="s">
        <v>38</v>
      </c>
      <c r="L1" s="31" t="s">
        <v>33</v>
      </c>
      <c r="M1" s="31" t="s">
        <v>34</v>
      </c>
      <c r="N1" s="31" t="s">
        <v>45</v>
      </c>
      <c r="O1" s="31" t="s">
        <v>47</v>
      </c>
      <c r="P1" s="32" t="s">
        <v>44</v>
      </c>
      <c r="Q1" s="32" t="s">
        <v>43</v>
      </c>
      <c r="R1" s="28" t="s">
        <v>39</v>
      </c>
      <c r="S1" s="33" t="s">
        <v>40</v>
      </c>
      <c r="T1" s="28" t="s">
        <v>46</v>
      </c>
      <c r="U1" s="28" t="s">
        <v>41</v>
      </c>
      <c r="V1" s="28" t="s">
        <v>42</v>
      </c>
      <c r="W1" s="28" t="s">
        <v>37</v>
      </c>
    </row>
    <row r="2" spans="1:23" x14ac:dyDescent="0.3">
      <c r="A2">
        <v>1</v>
      </c>
      <c r="B2" t="s">
        <v>60</v>
      </c>
      <c r="C2" s="35">
        <f>(R2-U2*G2-V2*H2)/(1-H2-G2)</f>
        <v>-11.194371876739122</v>
      </c>
      <c r="D2" s="35">
        <f>SQRT(P2^2+Q2^2)/O2*1000</f>
        <v>0.64499690317130831</v>
      </c>
      <c r="E2" s="35">
        <f>'B ID Template'!S3</f>
        <v>165.88490975294724</v>
      </c>
      <c r="F2" s="35">
        <f>'B ID Template'!T3</f>
        <v>1.6376925585948412</v>
      </c>
      <c r="G2" s="34">
        <f>I2*J2/(L2*E2+I2*J2+T2*S2)</f>
        <v>2.2338183264838623E-3</v>
      </c>
      <c r="H2" s="34">
        <f>S2*T2/(L2*E2*N2/M2+I2*J2*N2/M2+T2*S2)</f>
        <v>1.6278225465325477E-4</v>
      </c>
      <c r="I2">
        <v>1.1735000000000007</v>
      </c>
      <c r="J2">
        <v>4.2000000000000003E-2</v>
      </c>
      <c r="K2">
        <v>-5.53</v>
      </c>
      <c r="L2" s="27">
        <v>0.13269999999999998</v>
      </c>
      <c r="M2" s="27">
        <v>9.8710000000000004</v>
      </c>
      <c r="N2" s="27">
        <v>4.9466000000000001</v>
      </c>
      <c r="O2" s="27">
        <v>4.5999999999999996</v>
      </c>
      <c r="P2" s="36">
        <v>4.5800000000000002E-4</v>
      </c>
      <c r="Q2" s="36">
        <v>2.9314229425192518E-3</v>
      </c>
      <c r="R2" s="37">
        <v>-11.1801406273213</v>
      </c>
      <c r="S2" s="41">
        <v>3.0000000000000001E-3</v>
      </c>
      <c r="T2">
        <v>0.6</v>
      </c>
      <c r="U2">
        <v>-5.53</v>
      </c>
      <c r="V2">
        <v>-1.5</v>
      </c>
      <c r="W2" s="39">
        <f>E2*L2</f>
        <v>22.012927524216096</v>
      </c>
    </row>
    <row r="3" spans="1:23" x14ac:dyDescent="0.3">
      <c r="C3" s="35"/>
      <c r="D3" s="35"/>
      <c r="G3" s="34"/>
      <c r="H3" s="38"/>
      <c r="W3" s="39"/>
    </row>
    <row r="4" spans="1:23" x14ac:dyDescent="0.3">
      <c r="C4" s="35"/>
      <c r="D4" s="35"/>
      <c r="G4" s="34"/>
      <c r="H4" s="38"/>
      <c r="W4" s="39"/>
    </row>
    <row r="5" spans="1:23" x14ac:dyDescent="0.3">
      <c r="G5" s="34"/>
    </row>
    <row r="6" spans="1:23" x14ac:dyDescent="0.3">
      <c r="G6" s="34"/>
    </row>
    <row r="7" spans="1:23" x14ac:dyDescent="0.3">
      <c r="G7" s="34"/>
    </row>
    <row r="8" spans="1:23" x14ac:dyDescent="0.3">
      <c r="G8" s="34"/>
    </row>
    <row r="9" spans="1:23" x14ac:dyDescent="0.3">
      <c r="G9" s="34"/>
    </row>
    <row r="10" spans="1:23" x14ac:dyDescent="0.3">
      <c r="G10" s="34"/>
    </row>
    <row r="11" spans="1:23" x14ac:dyDescent="0.3">
      <c r="G11" s="34"/>
    </row>
    <row r="12" spans="1:23" x14ac:dyDescent="0.3">
      <c r="G12" s="34"/>
    </row>
    <row r="13" spans="1:23" x14ac:dyDescent="0.3">
      <c r="G13" s="34"/>
    </row>
    <row r="14" spans="1:23" x14ac:dyDescent="0.3">
      <c r="G14" s="34"/>
    </row>
    <row r="15" spans="1:23" x14ac:dyDescent="0.3">
      <c r="G15" s="34"/>
    </row>
    <row r="16" spans="1:23" x14ac:dyDescent="0.3">
      <c r="G16" s="34"/>
    </row>
    <row r="17" spans="7:7" x14ac:dyDescent="0.3">
      <c r="G17" s="34"/>
    </row>
    <row r="18" spans="7:7" x14ac:dyDescent="0.3">
      <c r="G18" s="34"/>
    </row>
    <row r="19" spans="7:7" x14ac:dyDescent="0.3">
      <c r="G19" s="34"/>
    </row>
    <row r="20" spans="7:7" x14ac:dyDescent="0.3">
      <c r="G20" s="34"/>
    </row>
    <row r="21" spans="7:7" x14ac:dyDescent="0.3">
      <c r="G21" s="34"/>
    </row>
    <row r="22" spans="7:7" x14ac:dyDescent="0.3">
      <c r="G22" s="34"/>
    </row>
    <row r="23" spans="7:7" x14ac:dyDescent="0.3">
      <c r="G23" s="34"/>
    </row>
    <row r="24" spans="7:7" x14ac:dyDescent="0.3">
      <c r="G24" s="34"/>
    </row>
    <row r="25" spans="7:7" x14ac:dyDescent="0.3">
      <c r="G25" s="34"/>
    </row>
    <row r="26" spans="7:7" x14ac:dyDescent="0.3">
      <c r="G26" s="34"/>
    </row>
    <row r="27" spans="7:7" x14ac:dyDescent="0.3">
      <c r="G27" s="34"/>
    </row>
    <row r="28" spans="7:7" x14ac:dyDescent="0.3">
      <c r="G28" s="34"/>
    </row>
    <row r="29" spans="7:7" x14ac:dyDescent="0.3">
      <c r="G29" s="34"/>
    </row>
    <row r="30" spans="7:7" x14ac:dyDescent="0.3">
      <c r="G30" s="34"/>
    </row>
    <row r="31" spans="7:7" x14ac:dyDescent="0.3">
      <c r="G31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ID Template</vt:lpstr>
      <vt:lpstr>B IC data reduction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cai</dc:creator>
  <cp:lastModifiedBy>yue cai</cp:lastModifiedBy>
  <dcterms:created xsi:type="dcterms:W3CDTF">2021-06-05T23:20:59Z</dcterms:created>
  <dcterms:modified xsi:type="dcterms:W3CDTF">2021-08-03T03:34:12Z</dcterms:modified>
</cp:coreProperties>
</file>