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agal\Downloads\"/>
    </mc:Choice>
  </mc:AlternateContent>
  <bookViews>
    <workbookView xWindow="0" yWindow="0" windowWidth="24000" windowHeight="9735" tabRatio="507" firstSheet="7" activeTab="8"/>
  </bookViews>
  <sheets>
    <sheet name="1) Cytotoxicity replicate 1" sheetId="1" r:id="rId1"/>
    <sheet name="2) Cytotoxicity Replicate 2" sheetId="2" r:id="rId2"/>
    <sheet name="3) Cytotoxicity replicate 4" sheetId="4" r:id="rId3"/>
    <sheet name="4) Cytotoxicity Replicate 4" sheetId="8" r:id="rId4"/>
    <sheet name="5) Histograms" sheetId="10" r:id="rId5"/>
    <sheet name="6) data used in Graphpad Prism " sheetId="5" r:id="rId6"/>
    <sheet name="7) 6-well plate cytotoxicity" sheetId="11" r:id="rId7"/>
    <sheet name="8) Fib Cytox Replicate 1" sheetId="12" r:id="rId8"/>
    <sheet name="9) Fib Cytox Replicate 2" sheetId="13" r:id="rId9"/>
  </sheet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3" l="1"/>
  <c r="K39" i="13" s="1"/>
  <c r="J26" i="13"/>
  <c r="J39" i="13" s="1"/>
  <c r="I26" i="13"/>
  <c r="I39" i="13" s="1"/>
  <c r="H26" i="13"/>
  <c r="H39" i="13" s="1"/>
  <c r="G26" i="13"/>
  <c r="G39" i="13" s="1"/>
  <c r="F26" i="13"/>
  <c r="F39" i="13" s="1"/>
  <c r="E26" i="13"/>
  <c r="E39" i="13" s="1"/>
  <c r="D26" i="13"/>
  <c r="D39" i="13" s="1"/>
  <c r="C26" i="13"/>
  <c r="C39" i="13" s="1"/>
  <c r="K25" i="13"/>
  <c r="K38" i="13" s="1"/>
  <c r="J25" i="13"/>
  <c r="J38" i="13" s="1"/>
  <c r="I25" i="13"/>
  <c r="I38" i="13" s="1"/>
  <c r="H25" i="13"/>
  <c r="H38" i="13" s="1"/>
  <c r="G25" i="13"/>
  <c r="G38" i="13" s="1"/>
  <c r="F25" i="13"/>
  <c r="F38" i="13" s="1"/>
  <c r="E25" i="13"/>
  <c r="E38" i="13" s="1"/>
  <c r="D25" i="13"/>
  <c r="D38" i="13" s="1"/>
  <c r="C25" i="13"/>
  <c r="C38" i="13" s="1"/>
  <c r="K24" i="13"/>
  <c r="K37" i="13" s="1"/>
  <c r="J24" i="13"/>
  <c r="J37" i="13" s="1"/>
  <c r="I24" i="13"/>
  <c r="I37" i="13" s="1"/>
  <c r="H24" i="13"/>
  <c r="H37" i="13" s="1"/>
  <c r="G24" i="13"/>
  <c r="G37" i="13" s="1"/>
  <c r="F24" i="13"/>
  <c r="F37" i="13" s="1"/>
  <c r="E24" i="13"/>
  <c r="E37" i="13" s="1"/>
  <c r="D24" i="13"/>
  <c r="D37" i="13" s="1"/>
  <c r="C24" i="13"/>
  <c r="C37" i="13" s="1"/>
  <c r="K23" i="13"/>
  <c r="K36" i="13" s="1"/>
  <c r="J23" i="13"/>
  <c r="J36" i="13" s="1"/>
  <c r="I23" i="13"/>
  <c r="I36" i="13" s="1"/>
  <c r="H23" i="13"/>
  <c r="H36" i="13" s="1"/>
  <c r="G23" i="13"/>
  <c r="G36" i="13" s="1"/>
  <c r="F23" i="13"/>
  <c r="F36" i="13" s="1"/>
  <c r="E23" i="13"/>
  <c r="E36" i="13" s="1"/>
  <c r="D23" i="13"/>
  <c r="D36" i="13" s="1"/>
  <c r="C23" i="13"/>
  <c r="C36" i="13" s="1"/>
  <c r="K22" i="13"/>
  <c r="K35" i="13" s="1"/>
  <c r="J22" i="13"/>
  <c r="J35" i="13" s="1"/>
  <c r="I22" i="13"/>
  <c r="I35" i="13" s="1"/>
  <c r="H22" i="13"/>
  <c r="H35" i="13" s="1"/>
  <c r="G22" i="13"/>
  <c r="G35" i="13" s="1"/>
  <c r="F22" i="13"/>
  <c r="F35" i="13" s="1"/>
  <c r="E22" i="13"/>
  <c r="E35" i="13" s="1"/>
  <c r="D22" i="13"/>
  <c r="D35" i="13" s="1"/>
  <c r="C22" i="13"/>
  <c r="C35" i="13" s="1"/>
  <c r="K21" i="13"/>
  <c r="K34" i="13" s="1"/>
  <c r="J21" i="13"/>
  <c r="J34" i="13" s="1"/>
  <c r="I21" i="13"/>
  <c r="I34" i="13" s="1"/>
  <c r="H21" i="13"/>
  <c r="H34" i="13" s="1"/>
  <c r="G21" i="13"/>
  <c r="G34" i="13" s="1"/>
  <c r="F21" i="13"/>
  <c r="F34" i="13" s="1"/>
  <c r="E21" i="13"/>
  <c r="E34" i="13" s="1"/>
  <c r="D21" i="13"/>
  <c r="D34" i="13" s="1"/>
  <c r="C21" i="13"/>
  <c r="C34" i="13" s="1"/>
  <c r="K20" i="13"/>
  <c r="K33" i="13" s="1"/>
  <c r="J20" i="13"/>
  <c r="J33" i="13" s="1"/>
  <c r="I20" i="13"/>
  <c r="I33" i="13" s="1"/>
  <c r="H20" i="13"/>
  <c r="H33" i="13" s="1"/>
  <c r="G20" i="13"/>
  <c r="G33" i="13" s="1"/>
  <c r="F20" i="13"/>
  <c r="F33" i="13" s="1"/>
  <c r="E20" i="13"/>
  <c r="E33" i="13" s="1"/>
  <c r="D20" i="13"/>
  <c r="D33" i="13" s="1"/>
  <c r="C20" i="13"/>
  <c r="C33" i="13" s="1"/>
  <c r="C15" i="13"/>
  <c r="K25" i="12"/>
  <c r="J25" i="12"/>
  <c r="I25" i="12"/>
  <c r="E25" i="12"/>
  <c r="D25" i="12"/>
  <c r="C25" i="12"/>
  <c r="N24" i="12"/>
  <c r="N35" i="12" s="1"/>
  <c r="M24" i="12"/>
  <c r="M35" i="12" s="1"/>
  <c r="L24" i="12"/>
  <c r="L35" i="12" s="1"/>
  <c r="K24" i="12"/>
  <c r="K35" i="12" s="1"/>
  <c r="J24" i="12"/>
  <c r="J35" i="12" s="1"/>
  <c r="I24" i="12"/>
  <c r="I35" i="12" s="1"/>
  <c r="H24" i="12"/>
  <c r="H35" i="12" s="1"/>
  <c r="G24" i="12"/>
  <c r="G35" i="12" s="1"/>
  <c r="F24" i="12"/>
  <c r="F35" i="12" s="1"/>
  <c r="E24" i="12"/>
  <c r="E35" i="12" s="1"/>
  <c r="D24" i="12"/>
  <c r="D35" i="12" s="1"/>
  <c r="C24" i="12"/>
  <c r="C35" i="12" s="1"/>
  <c r="N23" i="12"/>
  <c r="N34" i="12" s="1"/>
  <c r="M23" i="12"/>
  <c r="M34" i="12" s="1"/>
  <c r="L23" i="12"/>
  <c r="L34" i="12" s="1"/>
  <c r="K23" i="12"/>
  <c r="K34" i="12" s="1"/>
  <c r="J23" i="12"/>
  <c r="J34" i="12" s="1"/>
  <c r="I23" i="12"/>
  <c r="I34" i="12" s="1"/>
  <c r="H23" i="12"/>
  <c r="H34" i="12" s="1"/>
  <c r="G23" i="12"/>
  <c r="G34" i="12" s="1"/>
  <c r="F23" i="12"/>
  <c r="F34" i="12" s="1"/>
  <c r="E23" i="12"/>
  <c r="E34" i="12" s="1"/>
  <c r="D23" i="12"/>
  <c r="D34" i="12" s="1"/>
  <c r="C23" i="12"/>
  <c r="C34" i="12" s="1"/>
  <c r="N22" i="12"/>
  <c r="N33" i="12" s="1"/>
  <c r="M22" i="12"/>
  <c r="M33" i="12" s="1"/>
  <c r="L22" i="12"/>
  <c r="L33" i="12" s="1"/>
  <c r="K22" i="12"/>
  <c r="K33" i="12" s="1"/>
  <c r="J22" i="12"/>
  <c r="J33" i="12" s="1"/>
  <c r="I22" i="12"/>
  <c r="I33" i="12" s="1"/>
  <c r="H22" i="12"/>
  <c r="H33" i="12" s="1"/>
  <c r="G22" i="12"/>
  <c r="G33" i="12" s="1"/>
  <c r="F22" i="12"/>
  <c r="F33" i="12" s="1"/>
  <c r="E22" i="12"/>
  <c r="E33" i="12" s="1"/>
  <c r="D22" i="12"/>
  <c r="D33" i="12" s="1"/>
  <c r="C22" i="12"/>
  <c r="C33" i="12" s="1"/>
  <c r="N21" i="12"/>
  <c r="N32" i="12" s="1"/>
  <c r="M21" i="12"/>
  <c r="M32" i="12" s="1"/>
  <c r="L21" i="12"/>
  <c r="L32" i="12" s="1"/>
  <c r="K21" i="12"/>
  <c r="K32" i="12" s="1"/>
  <c r="J21" i="12"/>
  <c r="J32" i="12" s="1"/>
  <c r="I21" i="12"/>
  <c r="I32" i="12" s="1"/>
  <c r="H21" i="12"/>
  <c r="H32" i="12" s="1"/>
  <c r="G21" i="12"/>
  <c r="G32" i="12" s="1"/>
  <c r="F21" i="12"/>
  <c r="F32" i="12" s="1"/>
  <c r="E21" i="12"/>
  <c r="E32" i="12" s="1"/>
  <c r="D21" i="12"/>
  <c r="D32" i="12" s="1"/>
  <c r="C21" i="12"/>
  <c r="C32" i="12" s="1"/>
  <c r="N20" i="12"/>
  <c r="N31" i="12" s="1"/>
  <c r="M20" i="12"/>
  <c r="M31" i="12" s="1"/>
  <c r="L20" i="12"/>
  <c r="L31" i="12" s="1"/>
  <c r="K20" i="12"/>
  <c r="K31" i="12" s="1"/>
  <c r="J20" i="12"/>
  <c r="J31" i="12" s="1"/>
  <c r="I20" i="12"/>
  <c r="I31" i="12" s="1"/>
  <c r="H20" i="12"/>
  <c r="H31" i="12" s="1"/>
  <c r="G20" i="12"/>
  <c r="G31" i="12" s="1"/>
  <c r="F20" i="12"/>
  <c r="F31" i="12" s="1"/>
  <c r="E20" i="12"/>
  <c r="E31" i="12" s="1"/>
  <c r="D20" i="12"/>
  <c r="D31" i="12" s="1"/>
  <c r="C20" i="12"/>
  <c r="C31" i="12" s="1"/>
  <c r="I14" i="12"/>
  <c r="C14" i="12"/>
  <c r="I26" i="12" l="1"/>
  <c r="C26" i="12"/>
  <c r="C27" i="13"/>
  <c r="F27" i="13"/>
  <c r="I27" i="13"/>
  <c r="D30" i="11" l="1"/>
  <c r="C30" i="11"/>
  <c r="D12" i="11"/>
  <c r="D21" i="11" s="1"/>
  <c r="E12" i="11"/>
  <c r="E21" i="11" s="1"/>
  <c r="D29" i="11" s="1"/>
  <c r="F12" i="11"/>
  <c r="F21" i="11" s="1"/>
  <c r="G12" i="11"/>
  <c r="G21" i="11" s="1"/>
  <c r="H12" i="11"/>
  <c r="D13" i="11"/>
  <c r="D22" i="11" s="1"/>
  <c r="E13" i="11"/>
  <c r="E22" i="11" s="1"/>
  <c r="F13" i="11"/>
  <c r="F22" i="11" s="1"/>
  <c r="G13" i="11"/>
  <c r="G22" i="11" s="1"/>
  <c r="H13" i="11"/>
  <c r="D14" i="11"/>
  <c r="D23" i="11" s="1"/>
  <c r="E14" i="11"/>
  <c r="E23" i="11" s="1"/>
  <c r="F14" i="11"/>
  <c r="F23" i="11" s="1"/>
  <c r="F30" i="11" s="1"/>
  <c r="G14" i="11"/>
  <c r="G23" i="11" s="1"/>
  <c r="G30" i="11" s="1"/>
  <c r="H14" i="11"/>
  <c r="C13" i="11"/>
  <c r="C22" i="11" s="1"/>
  <c r="C14" i="11"/>
  <c r="C23" i="11" s="1"/>
  <c r="C12" i="11"/>
  <c r="C21" i="11" s="1"/>
  <c r="C29" i="11" s="1"/>
  <c r="I7" i="11"/>
  <c r="G29" i="11" l="1"/>
  <c r="F29" i="11"/>
  <c r="E29" i="11"/>
  <c r="E30" i="11"/>
  <c r="H15" i="11"/>
  <c r="P19" i="5" l="1"/>
  <c r="F38" i="8" l="1"/>
  <c r="L38" i="8"/>
  <c r="K39" i="8"/>
  <c r="J40" i="8"/>
  <c r="I41" i="8"/>
  <c r="H42" i="8"/>
  <c r="G43" i="8"/>
  <c r="F44" i="8"/>
  <c r="L44" i="8"/>
  <c r="K45" i="8"/>
  <c r="J46" i="8"/>
  <c r="I47" i="8"/>
  <c r="H48" i="8"/>
  <c r="G49" i="8"/>
  <c r="E45" i="8"/>
  <c r="E39" i="8"/>
  <c r="E22" i="8"/>
  <c r="E38" i="8" s="1"/>
  <c r="F22" i="8"/>
  <c r="G22" i="8"/>
  <c r="G38" i="8" s="1"/>
  <c r="H22" i="8"/>
  <c r="H38" i="8" s="1"/>
  <c r="I22" i="8"/>
  <c r="I38" i="8" s="1"/>
  <c r="J22" i="8"/>
  <c r="J38" i="8" s="1"/>
  <c r="K22" i="8"/>
  <c r="K38" i="8" s="1"/>
  <c r="L22" i="8"/>
  <c r="F23" i="8"/>
  <c r="F39" i="8" s="1"/>
  <c r="G23" i="8"/>
  <c r="G39" i="8" s="1"/>
  <c r="H23" i="8"/>
  <c r="H39" i="8" s="1"/>
  <c r="I23" i="8"/>
  <c r="I39" i="8" s="1"/>
  <c r="J23" i="8"/>
  <c r="J39" i="8" s="1"/>
  <c r="K23" i="8"/>
  <c r="L23" i="8"/>
  <c r="L39" i="8" s="1"/>
  <c r="F24" i="8"/>
  <c r="F40" i="8" s="1"/>
  <c r="G24" i="8"/>
  <c r="G40" i="8" s="1"/>
  <c r="H24" i="8"/>
  <c r="H40" i="8" s="1"/>
  <c r="I24" i="8"/>
  <c r="I40" i="8" s="1"/>
  <c r="J24" i="8"/>
  <c r="K24" i="8"/>
  <c r="K40" i="8" s="1"/>
  <c r="L24" i="8"/>
  <c r="L40" i="8" s="1"/>
  <c r="F25" i="8"/>
  <c r="F41" i="8" s="1"/>
  <c r="G25" i="8"/>
  <c r="G41" i="8" s="1"/>
  <c r="H25" i="8"/>
  <c r="H41" i="8" s="1"/>
  <c r="I25" i="8"/>
  <c r="J25" i="8"/>
  <c r="J41" i="8" s="1"/>
  <c r="K25" i="8"/>
  <c r="K41" i="8" s="1"/>
  <c r="L25" i="8"/>
  <c r="L41" i="8" s="1"/>
  <c r="F26" i="8"/>
  <c r="F42" i="8" s="1"/>
  <c r="G26" i="8"/>
  <c r="G42" i="8" s="1"/>
  <c r="H26" i="8"/>
  <c r="I26" i="8"/>
  <c r="I42" i="8" s="1"/>
  <c r="J26" i="8"/>
  <c r="J42" i="8" s="1"/>
  <c r="K26" i="8"/>
  <c r="K42" i="8" s="1"/>
  <c r="L26" i="8"/>
  <c r="L42" i="8" s="1"/>
  <c r="F27" i="8"/>
  <c r="F43" i="8" s="1"/>
  <c r="G27" i="8"/>
  <c r="H27" i="8"/>
  <c r="H43" i="8" s="1"/>
  <c r="I27" i="8"/>
  <c r="I43" i="8" s="1"/>
  <c r="J27" i="8"/>
  <c r="J43" i="8" s="1"/>
  <c r="K27" i="8"/>
  <c r="K43" i="8" s="1"/>
  <c r="L27" i="8"/>
  <c r="L43" i="8" s="1"/>
  <c r="F28" i="8"/>
  <c r="G28" i="8"/>
  <c r="G44" i="8" s="1"/>
  <c r="H28" i="8"/>
  <c r="H44" i="8" s="1"/>
  <c r="I28" i="8"/>
  <c r="I44" i="8" s="1"/>
  <c r="J28" i="8"/>
  <c r="J44" i="8" s="1"/>
  <c r="K28" i="8"/>
  <c r="K44" i="8" s="1"/>
  <c r="L28" i="8"/>
  <c r="F29" i="8"/>
  <c r="F45" i="8" s="1"/>
  <c r="G29" i="8"/>
  <c r="G45" i="8" s="1"/>
  <c r="H29" i="8"/>
  <c r="H45" i="8" s="1"/>
  <c r="I29" i="8"/>
  <c r="I45" i="8" s="1"/>
  <c r="J29" i="8"/>
  <c r="J45" i="8" s="1"/>
  <c r="K29" i="8"/>
  <c r="L29" i="8"/>
  <c r="L45" i="8" s="1"/>
  <c r="F30" i="8"/>
  <c r="F46" i="8" s="1"/>
  <c r="G30" i="8"/>
  <c r="G46" i="8" s="1"/>
  <c r="H30" i="8"/>
  <c r="H46" i="8" s="1"/>
  <c r="I30" i="8"/>
  <c r="I46" i="8" s="1"/>
  <c r="J30" i="8"/>
  <c r="K30" i="8"/>
  <c r="K46" i="8" s="1"/>
  <c r="L30" i="8"/>
  <c r="L46" i="8" s="1"/>
  <c r="F31" i="8"/>
  <c r="F47" i="8" s="1"/>
  <c r="G31" i="8"/>
  <c r="G47" i="8" s="1"/>
  <c r="H31" i="8"/>
  <c r="H47" i="8" s="1"/>
  <c r="I31" i="8"/>
  <c r="J31" i="8"/>
  <c r="J47" i="8" s="1"/>
  <c r="K31" i="8"/>
  <c r="K47" i="8" s="1"/>
  <c r="L31" i="8"/>
  <c r="L47" i="8" s="1"/>
  <c r="F32" i="8"/>
  <c r="F48" i="8" s="1"/>
  <c r="G32" i="8"/>
  <c r="G48" i="8" s="1"/>
  <c r="H32" i="8"/>
  <c r="I32" i="8"/>
  <c r="I48" i="8" s="1"/>
  <c r="J32" i="8"/>
  <c r="J48" i="8" s="1"/>
  <c r="K32" i="8"/>
  <c r="K48" i="8" s="1"/>
  <c r="L32" i="8"/>
  <c r="L48" i="8" s="1"/>
  <c r="F33" i="8"/>
  <c r="F49" i="8" s="1"/>
  <c r="G33" i="8"/>
  <c r="H33" i="8"/>
  <c r="H49" i="8" s="1"/>
  <c r="I33" i="8"/>
  <c r="I49" i="8" s="1"/>
  <c r="J33" i="8"/>
  <c r="J49" i="8" s="1"/>
  <c r="K33" i="8"/>
  <c r="K49" i="8" s="1"/>
  <c r="L33" i="8"/>
  <c r="L49" i="8" s="1"/>
  <c r="E29" i="8"/>
  <c r="E30" i="8"/>
  <c r="E46" i="8" s="1"/>
  <c r="E31" i="8"/>
  <c r="E47" i="8" s="1"/>
  <c r="E65" i="8" s="1"/>
  <c r="E32" i="8"/>
  <c r="E48" i="8" s="1"/>
  <c r="E33" i="8"/>
  <c r="E49" i="8" s="1"/>
  <c r="E28" i="8"/>
  <c r="E44" i="8" s="1"/>
  <c r="E23" i="8"/>
  <c r="E24" i="8"/>
  <c r="E40" i="8" s="1"/>
  <c r="E25" i="8"/>
  <c r="E41" i="8" s="1"/>
  <c r="E26" i="8"/>
  <c r="E42" i="8" s="1"/>
  <c r="E27" i="8"/>
  <c r="E43" i="8" s="1"/>
  <c r="N16" i="8"/>
  <c r="N10" i="8"/>
  <c r="N14" i="8"/>
  <c r="N8" i="8"/>
  <c r="E54" i="8"/>
  <c r="F54" i="8" s="1"/>
  <c r="G54" i="8" s="1"/>
  <c r="H54" i="8" s="1"/>
  <c r="I54" i="8" s="1"/>
  <c r="J54" i="8" s="1"/>
  <c r="K54" i="8" s="1"/>
  <c r="L54" i="8" s="1"/>
  <c r="F37" i="8"/>
  <c r="G37" i="8" s="1"/>
  <c r="H37" i="8" s="1"/>
  <c r="I37" i="8" s="1"/>
  <c r="J37" i="8" s="1"/>
  <c r="K37" i="8" s="1"/>
  <c r="L37" i="8" s="1"/>
  <c r="E37" i="8"/>
  <c r="E21" i="8"/>
  <c r="F21" i="8" s="1"/>
  <c r="G21" i="8" s="1"/>
  <c r="H21" i="8" s="1"/>
  <c r="I21" i="8" s="1"/>
  <c r="J21" i="8" s="1"/>
  <c r="K21" i="8" s="1"/>
  <c r="L21" i="8" s="1"/>
  <c r="E4" i="8"/>
  <c r="F4" i="8" s="1"/>
  <c r="G4" i="8" s="1"/>
  <c r="H4" i="8" s="1"/>
  <c r="I4" i="8" s="1"/>
  <c r="J4" i="8" s="1"/>
  <c r="K4" i="8" s="1"/>
  <c r="L4" i="8" s="1"/>
  <c r="E54" i="1"/>
  <c r="F54" i="1" s="1"/>
  <c r="G54" i="1" s="1"/>
  <c r="H54" i="1" s="1"/>
  <c r="I54" i="1" s="1"/>
  <c r="J54" i="1" s="1"/>
  <c r="K54" i="1" s="1"/>
  <c r="L54" i="1" s="1"/>
  <c r="E37" i="1"/>
  <c r="F37" i="1" s="1"/>
  <c r="G37" i="1" s="1"/>
  <c r="H37" i="1" s="1"/>
  <c r="I37" i="1" s="1"/>
  <c r="J37" i="1" s="1"/>
  <c r="K37" i="1" s="1"/>
  <c r="L37" i="1" s="1"/>
  <c r="E21" i="1"/>
  <c r="F21" i="1" s="1"/>
  <c r="G21" i="1" s="1"/>
  <c r="H21" i="1" s="1"/>
  <c r="I21" i="1" s="1"/>
  <c r="J21" i="1" s="1"/>
  <c r="K21" i="1" s="1"/>
  <c r="L21" i="1" s="1"/>
  <c r="E4" i="1"/>
  <c r="F4" i="1" s="1"/>
  <c r="G4" i="1" s="1"/>
  <c r="H4" i="1" s="1"/>
  <c r="I4" i="1" s="1"/>
  <c r="J4" i="1" s="1"/>
  <c r="K4" i="1" s="1"/>
  <c r="L4" i="1" s="1"/>
  <c r="E54" i="2"/>
  <c r="F54" i="2" s="1"/>
  <c r="G54" i="2" s="1"/>
  <c r="H54" i="2" s="1"/>
  <c r="I54" i="2" s="1"/>
  <c r="J54" i="2" s="1"/>
  <c r="K54" i="2" s="1"/>
  <c r="L54" i="2" s="1"/>
  <c r="E37" i="2"/>
  <c r="F37" i="2" s="1"/>
  <c r="G37" i="2" s="1"/>
  <c r="H37" i="2" s="1"/>
  <c r="I37" i="2" s="1"/>
  <c r="J37" i="2" s="1"/>
  <c r="K37" i="2" s="1"/>
  <c r="L37" i="2" s="1"/>
  <c r="E21" i="2"/>
  <c r="F21" i="2" s="1"/>
  <c r="G21" i="2" s="1"/>
  <c r="H21" i="2" s="1"/>
  <c r="I21" i="2" s="1"/>
  <c r="J21" i="2" s="1"/>
  <c r="K21" i="2" s="1"/>
  <c r="L21" i="2" s="1"/>
  <c r="E4" i="2"/>
  <c r="F4" i="2" s="1"/>
  <c r="G4" i="2" s="1"/>
  <c r="H4" i="2" s="1"/>
  <c r="I4" i="2" s="1"/>
  <c r="J4" i="2" s="1"/>
  <c r="K4" i="2" s="1"/>
  <c r="L4" i="2" s="1"/>
  <c r="E54" i="4"/>
  <c r="F54" i="4" s="1"/>
  <c r="G54" i="4" s="1"/>
  <c r="H54" i="4" s="1"/>
  <c r="I54" i="4" s="1"/>
  <c r="J54" i="4" s="1"/>
  <c r="K54" i="4" s="1"/>
  <c r="L54" i="4" s="1"/>
  <c r="E37" i="4"/>
  <c r="F37" i="4" s="1"/>
  <c r="G37" i="4" s="1"/>
  <c r="H37" i="4" s="1"/>
  <c r="I37" i="4" s="1"/>
  <c r="J37" i="4" s="1"/>
  <c r="K37" i="4" s="1"/>
  <c r="L37" i="4" s="1"/>
  <c r="E21" i="4"/>
  <c r="F21" i="4" s="1"/>
  <c r="G21" i="4" s="1"/>
  <c r="H21" i="4" s="1"/>
  <c r="I21" i="4" s="1"/>
  <c r="J21" i="4" s="1"/>
  <c r="K21" i="4" s="1"/>
  <c r="L21" i="4" s="1"/>
  <c r="E4" i="4"/>
  <c r="F4" i="4" s="1"/>
  <c r="G4" i="4" s="1"/>
  <c r="H4" i="4" s="1"/>
  <c r="I4" i="4" s="1"/>
  <c r="J4" i="4" s="1"/>
  <c r="K4" i="4" s="1"/>
  <c r="L4" i="4" s="1"/>
  <c r="C20" i="5"/>
  <c r="C21" i="5" s="1"/>
  <c r="C22" i="5" s="1"/>
  <c r="C23" i="5" s="1"/>
  <c r="C24" i="5" s="1"/>
  <c r="C25" i="5" s="1"/>
  <c r="C26" i="5" s="1"/>
  <c r="C27" i="5" s="1"/>
  <c r="C6" i="5"/>
  <c r="C7" i="5" s="1"/>
  <c r="C8" i="5" s="1"/>
  <c r="C9" i="5" s="1"/>
  <c r="C10" i="5" s="1"/>
  <c r="C11" i="5" s="1"/>
  <c r="C12" i="5" s="1"/>
  <c r="C13" i="5" s="1"/>
  <c r="Q21" i="5"/>
  <c r="Q22" i="5"/>
  <c r="Q23" i="5"/>
  <c r="Q24" i="5"/>
  <c r="Q25" i="5"/>
  <c r="Q26" i="5"/>
  <c r="Q27" i="5"/>
  <c r="N20" i="5"/>
  <c r="M21" i="5"/>
  <c r="M22" i="5"/>
  <c r="M23" i="5"/>
  <c r="M24" i="5"/>
  <c r="M25" i="5"/>
  <c r="M26" i="5"/>
  <c r="M27" i="5"/>
  <c r="M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K20" i="5"/>
  <c r="J20" i="5"/>
  <c r="H20" i="5"/>
  <c r="G20" i="5"/>
  <c r="G19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E20" i="5"/>
  <c r="D20" i="5"/>
  <c r="E55" i="8" l="1"/>
  <c r="I62" i="8"/>
  <c r="K62" i="8"/>
  <c r="E59" i="8"/>
  <c r="K59" i="8"/>
  <c r="F58" i="8"/>
  <c r="L58" i="8"/>
  <c r="F64" i="8"/>
  <c r="I56" i="8"/>
  <c r="G55" i="8"/>
  <c r="G56" i="8"/>
  <c r="G61" i="8"/>
  <c r="G62" i="8"/>
  <c r="J56" i="8"/>
  <c r="J55" i="8"/>
  <c r="G58" i="8"/>
  <c r="G59" i="8"/>
  <c r="J62" i="8"/>
  <c r="J61" i="8"/>
  <c r="G64" i="8"/>
  <c r="G65" i="8"/>
  <c r="E56" i="8"/>
  <c r="K56" i="8"/>
  <c r="K55" i="8"/>
  <c r="H58" i="8"/>
  <c r="H59" i="8"/>
  <c r="E62" i="8"/>
  <c r="E61" i="8"/>
  <c r="H64" i="8"/>
  <c r="H65" i="8"/>
  <c r="K65" i="8"/>
  <c r="F55" i="8"/>
  <c r="F56" i="8"/>
  <c r="L55" i="8"/>
  <c r="L56" i="8"/>
  <c r="I59" i="8"/>
  <c r="I58" i="8"/>
  <c r="F61" i="8"/>
  <c r="F62" i="8"/>
  <c r="L61" i="8"/>
  <c r="L62" i="8"/>
  <c r="I65" i="8"/>
  <c r="I64" i="8"/>
  <c r="H55" i="8"/>
  <c r="H61" i="8"/>
  <c r="L64" i="8"/>
  <c r="J59" i="8"/>
  <c r="J58" i="8"/>
  <c r="J65" i="8"/>
  <c r="J64" i="8"/>
  <c r="I55" i="8"/>
  <c r="F59" i="8"/>
  <c r="L59" i="8"/>
  <c r="I61" i="8"/>
  <c r="F65" i="8"/>
  <c r="L65" i="8"/>
  <c r="H56" i="8"/>
  <c r="E58" i="8"/>
  <c r="K58" i="8"/>
  <c r="K61" i="8"/>
  <c r="H62" i="8"/>
  <c r="E64" i="8"/>
  <c r="K64" i="8"/>
  <c r="D22" i="4"/>
  <c r="N21" i="5" l="1"/>
  <c r="N22" i="5"/>
  <c r="N23" i="5"/>
  <c r="N24" i="5"/>
  <c r="N25" i="5"/>
  <c r="N26" i="5"/>
  <c r="N27" i="5"/>
  <c r="M19" i="5"/>
  <c r="N19" i="5"/>
  <c r="P20" i="5"/>
  <c r="Q20" i="5"/>
  <c r="J21" i="5"/>
  <c r="K21" i="5"/>
  <c r="P21" i="5"/>
  <c r="J22" i="5"/>
  <c r="K22" i="5"/>
  <c r="P22" i="5"/>
  <c r="J23" i="5"/>
  <c r="K23" i="5"/>
  <c r="P23" i="5"/>
  <c r="J24" i="5"/>
  <c r="K24" i="5"/>
  <c r="P24" i="5"/>
  <c r="J25" i="5"/>
  <c r="K25" i="5"/>
  <c r="P25" i="5"/>
  <c r="J26" i="5"/>
  <c r="K26" i="5"/>
  <c r="P26" i="5"/>
  <c r="J27" i="5"/>
  <c r="K27" i="5"/>
  <c r="P27" i="5"/>
  <c r="Q19" i="5"/>
  <c r="K19" i="5"/>
  <c r="J19" i="5"/>
  <c r="H19" i="5"/>
  <c r="H47" i="4" l="1"/>
  <c r="I47" i="4"/>
  <c r="J47" i="4"/>
  <c r="F48" i="4"/>
  <c r="G48" i="4"/>
  <c r="H48" i="4"/>
  <c r="L48" i="4"/>
  <c r="E49" i="4"/>
  <c r="F49" i="4"/>
  <c r="J49" i="4"/>
  <c r="K49" i="4"/>
  <c r="L49" i="4"/>
  <c r="D31" i="4"/>
  <c r="D47" i="4" s="1"/>
  <c r="E31" i="4"/>
  <c r="E47" i="4" s="1"/>
  <c r="F31" i="4"/>
  <c r="F47" i="4" s="1"/>
  <c r="G31" i="4"/>
  <c r="G47" i="4" s="1"/>
  <c r="H31" i="4"/>
  <c r="I31" i="4"/>
  <c r="J31" i="4"/>
  <c r="K31" i="4"/>
  <c r="K47" i="4" s="1"/>
  <c r="L31" i="4"/>
  <c r="L47" i="4" s="1"/>
  <c r="E32" i="4"/>
  <c r="E48" i="4" s="1"/>
  <c r="F32" i="4"/>
  <c r="G32" i="4"/>
  <c r="H32" i="4"/>
  <c r="I32" i="4"/>
  <c r="I48" i="4" s="1"/>
  <c r="J32" i="4"/>
  <c r="J48" i="4" s="1"/>
  <c r="K32" i="4"/>
  <c r="K48" i="4" s="1"/>
  <c r="L32" i="4"/>
  <c r="E33" i="4"/>
  <c r="F33" i="4"/>
  <c r="G33" i="4"/>
  <c r="G49" i="4" s="1"/>
  <c r="H33" i="4"/>
  <c r="H49" i="4" s="1"/>
  <c r="I33" i="4"/>
  <c r="I49" i="4" s="1"/>
  <c r="J33" i="4"/>
  <c r="K33" i="4"/>
  <c r="L33" i="4"/>
  <c r="D32" i="4"/>
  <c r="D48" i="4" s="1"/>
  <c r="D33" i="4"/>
  <c r="D49" i="4" s="1"/>
  <c r="D64" i="4" l="1"/>
  <c r="D65" i="4"/>
  <c r="E64" i="4"/>
  <c r="E65" i="4"/>
  <c r="I65" i="4"/>
  <c r="H65" i="4"/>
  <c r="G65" i="4"/>
  <c r="G64" i="4"/>
  <c r="L65" i="4"/>
  <c r="L64" i="4"/>
  <c r="F65" i="4"/>
  <c r="F64" i="4"/>
  <c r="J64" i="4"/>
  <c r="K65" i="4"/>
  <c r="K64" i="4"/>
  <c r="H64" i="4"/>
  <c r="J65" i="4"/>
  <c r="I64" i="4"/>
  <c r="E28" i="2"/>
  <c r="E44" i="2" s="1"/>
  <c r="F28" i="2"/>
  <c r="F44" i="2" s="1"/>
  <c r="G28" i="2"/>
  <c r="G44" i="2" s="1"/>
  <c r="H28" i="2"/>
  <c r="H44" i="2" s="1"/>
  <c r="I28" i="2"/>
  <c r="I44" i="2" s="1"/>
  <c r="J28" i="2"/>
  <c r="J44" i="2" s="1"/>
  <c r="K28" i="2"/>
  <c r="K44" i="2" s="1"/>
  <c r="L28" i="2"/>
  <c r="L44" i="2" s="1"/>
  <c r="E29" i="2"/>
  <c r="E45" i="2" s="1"/>
  <c r="F29" i="2"/>
  <c r="F45" i="2" s="1"/>
  <c r="G29" i="2"/>
  <c r="G45" i="2" s="1"/>
  <c r="H29" i="2"/>
  <c r="H45" i="2" s="1"/>
  <c r="I29" i="2"/>
  <c r="I45" i="2" s="1"/>
  <c r="J29" i="2"/>
  <c r="J45" i="2" s="1"/>
  <c r="K29" i="2"/>
  <c r="K45" i="2" s="1"/>
  <c r="L29" i="2"/>
  <c r="L45" i="2" s="1"/>
  <c r="E30" i="2"/>
  <c r="E46" i="2" s="1"/>
  <c r="F30" i="2"/>
  <c r="F46" i="2" s="1"/>
  <c r="G30" i="2"/>
  <c r="G46" i="2" s="1"/>
  <c r="H30" i="2"/>
  <c r="H46" i="2" s="1"/>
  <c r="I30" i="2"/>
  <c r="I46" i="2" s="1"/>
  <c r="J30" i="2"/>
  <c r="J46" i="2" s="1"/>
  <c r="K30" i="2"/>
  <c r="K46" i="2" s="1"/>
  <c r="L30" i="2"/>
  <c r="L46" i="2" s="1"/>
  <c r="E31" i="2"/>
  <c r="E47" i="2" s="1"/>
  <c r="F31" i="2"/>
  <c r="F47" i="2" s="1"/>
  <c r="G31" i="2"/>
  <c r="G47" i="2" s="1"/>
  <c r="H31" i="2"/>
  <c r="H47" i="2" s="1"/>
  <c r="I31" i="2"/>
  <c r="I47" i="2" s="1"/>
  <c r="J31" i="2"/>
  <c r="J47" i="2" s="1"/>
  <c r="K31" i="2"/>
  <c r="K47" i="2" s="1"/>
  <c r="L31" i="2"/>
  <c r="L47" i="2" s="1"/>
  <c r="E32" i="2"/>
  <c r="E48" i="2" s="1"/>
  <c r="F32" i="2"/>
  <c r="F48" i="2" s="1"/>
  <c r="G32" i="2"/>
  <c r="G48" i="2" s="1"/>
  <c r="H32" i="2"/>
  <c r="H48" i="2" s="1"/>
  <c r="I32" i="2"/>
  <c r="I48" i="2" s="1"/>
  <c r="J32" i="2"/>
  <c r="J48" i="2" s="1"/>
  <c r="K32" i="2"/>
  <c r="K48" i="2" s="1"/>
  <c r="L32" i="2"/>
  <c r="L48" i="2" s="1"/>
  <c r="E33" i="2"/>
  <c r="E49" i="2" s="1"/>
  <c r="F33" i="2"/>
  <c r="F49" i="2" s="1"/>
  <c r="G33" i="2"/>
  <c r="G49" i="2" s="1"/>
  <c r="H33" i="2"/>
  <c r="H49" i="2" s="1"/>
  <c r="I33" i="2"/>
  <c r="I49" i="2" s="1"/>
  <c r="J33" i="2"/>
  <c r="J49" i="2" s="1"/>
  <c r="K33" i="2"/>
  <c r="K49" i="2" s="1"/>
  <c r="L33" i="2"/>
  <c r="L49" i="2" s="1"/>
  <c r="D29" i="2"/>
  <c r="D45" i="2" s="1"/>
  <c r="D30" i="2"/>
  <c r="D46" i="2" s="1"/>
  <c r="D31" i="2"/>
  <c r="D47" i="2" s="1"/>
  <c r="D32" i="2"/>
  <c r="D48" i="2" s="1"/>
  <c r="D33" i="2"/>
  <c r="D49" i="2" s="1"/>
  <c r="D28" i="2"/>
  <c r="D44" i="2" s="1"/>
  <c r="D22" i="2"/>
  <c r="D38" i="2" s="1"/>
  <c r="N15" i="2"/>
  <c r="H44" i="1"/>
  <c r="I44" i="1"/>
  <c r="F45" i="1"/>
  <c r="G45" i="1"/>
  <c r="L45" i="1"/>
  <c r="E46" i="1"/>
  <c r="J46" i="1"/>
  <c r="K46" i="1"/>
  <c r="H47" i="1"/>
  <c r="I47" i="1"/>
  <c r="F48" i="1"/>
  <c r="G48" i="1"/>
  <c r="L48" i="1"/>
  <c r="E49" i="1"/>
  <c r="J49" i="1"/>
  <c r="K49" i="1"/>
  <c r="D48" i="1"/>
  <c r="D49" i="1"/>
  <c r="D44" i="1"/>
  <c r="M14" i="1"/>
  <c r="D28" i="1"/>
  <c r="E28" i="1"/>
  <c r="E44" i="1" s="1"/>
  <c r="F28" i="1"/>
  <c r="F44" i="1" s="1"/>
  <c r="G28" i="1"/>
  <c r="G44" i="1" s="1"/>
  <c r="H28" i="1"/>
  <c r="I28" i="1"/>
  <c r="J28" i="1"/>
  <c r="J44" i="1" s="1"/>
  <c r="K28" i="1"/>
  <c r="K44" i="1" s="1"/>
  <c r="L28" i="1"/>
  <c r="L44" i="1" s="1"/>
  <c r="E29" i="1"/>
  <c r="E45" i="1" s="1"/>
  <c r="F29" i="1"/>
  <c r="G29" i="1"/>
  <c r="H29" i="1"/>
  <c r="H45" i="1" s="1"/>
  <c r="I29" i="1"/>
  <c r="I45" i="1" s="1"/>
  <c r="J29" i="1"/>
  <c r="J45" i="1" s="1"/>
  <c r="K29" i="1"/>
  <c r="K45" i="1" s="1"/>
  <c r="L29" i="1"/>
  <c r="E30" i="1"/>
  <c r="F30" i="1"/>
  <c r="F46" i="1" s="1"/>
  <c r="G30" i="1"/>
  <c r="G46" i="1" s="1"/>
  <c r="H30" i="1"/>
  <c r="H46" i="1" s="1"/>
  <c r="I30" i="1"/>
  <c r="I46" i="1" s="1"/>
  <c r="J30" i="1"/>
  <c r="K30" i="1"/>
  <c r="L30" i="1"/>
  <c r="L46" i="1" s="1"/>
  <c r="E31" i="1"/>
  <c r="E47" i="1" s="1"/>
  <c r="F31" i="1"/>
  <c r="F47" i="1" s="1"/>
  <c r="G31" i="1"/>
  <c r="G47" i="1" s="1"/>
  <c r="H31" i="1"/>
  <c r="I31" i="1"/>
  <c r="J31" i="1"/>
  <c r="J47" i="1" s="1"/>
  <c r="K31" i="1"/>
  <c r="K47" i="1" s="1"/>
  <c r="L31" i="1"/>
  <c r="L47" i="1" s="1"/>
  <c r="E32" i="1"/>
  <c r="E48" i="1" s="1"/>
  <c r="F32" i="1"/>
  <c r="G32" i="1"/>
  <c r="H32" i="1"/>
  <c r="H48" i="1" s="1"/>
  <c r="I32" i="1"/>
  <c r="I48" i="1" s="1"/>
  <c r="J32" i="1"/>
  <c r="J48" i="1" s="1"/>
  <c r="K32" i="1"/>
  <c r="K48" i="1" s="1"/>
  <c r="L32" i="1"/>
  <c r="E33" i="1"/>
  <c r="F33" i="1"/>
  <c r="F49" i="1" s="1"/>
  <c r="G33" i="1"/>
  <c r="G49" i="1" s="1"/>
  <c r="H33" i="1"/>
  <c r="H49" i="1" s="1"/>
  <c r="I33" i="1"/>
  <c r="I49" i="1" s="1"/>
  <c r="J33" i="1"/>
  <c r="K33" i="1"/>
  <c r="L33" i="1"/>
  <c r="L49" i="1" s="1"/>
  <c r="D29" i="1"/>
  <c r="D45" i="1" s="1"/>
  <c r="D30" i="1"/>
  <c r="D46" i="1" s="1"/>
  <c r="D31" i="1"/>
  <c r="D47" i="1" s="1"/>
  <c r="D32" i="1"/>
  <c r="D33" i="1"/>
  <c r="M15" i="2" l="1"/>
  <c r="E22" i="1"/>
  <c r="E38" i="1" s="1"/>
  <c r="F22" i="1"/>
  <c r="F38" i="1" s="1"/>
  <c r="G22" i="1"/>
  <c r="G38" i="1" s="1"/>
  <c r="H22" i="1"/>
  <c r="H38" i="1" s="1"/>
  <c r="I22" i="1"/>
  <c r="I38" i="1" s="1"/>
  <c r="J22" i="1"/>
  <c r="J38" i="1" s="1"/>
  <c r="K22" i="1"/>
  <c r="K38" i="1" s="1"/>
  <c r="L22" i="1"/>
  <c r="L38" i="1" s="1"/>
  <c r="E23" i="1"/>
  <c r="E39" i="1" s="1"/>
  <c r="F23" i="1"/>
  <c r="F39" i="1" s="1"/>
  <c r="G23" i="1"/>
  <c r="G39" i="1" s="1"/>
  <c r="H23" i="1"/>
  <c r="H39" i="1" s="1"/>
  <c r="I23" i="1"/>
  <c r="I39" i="1" s="1"/>
  <c r="J23" i="1"/>
  <c r="J39" i="1" s="1"/>
  <c r="K23" i="1"/>
  <c r="K39" i="1" s="1"/>
  <c r="L23" i="1"/>
  <c r="L39" i="1" s="1"/>
  <c r="E24" i="1"/>
  <c r="E40" i="1" s="1"/>
  <c r="F24" i="1"/>
  <c r="F40" i="1" s="1"/>
  <c r="G24" i="1"/>
  <c r="G40" i="1" s="1"/>
  <c r="H24" i="1"/>
  <c r="H40" i="1" s="1"/>
  <c r="I24" i="1"/>
  <c r="I40" i="1" s="1"/>
  <c r="J24" i="1"/>
  <c r="J40" i="1" s="1"/>
  <c r="K24" i="1"/>
  <c r="K40" i="1" s="1"/>
  <c r="L24" i="1"/>
  <c r="L40" i="1" s="1"/>
  <c r="E25" i="1"/>
  <c r="E41" i="1" s="1"/>
  <c r="F25" i="1"/>
  <c r="F41" i="1" s="1"/>
  <c r="G25" i="1"/>
  <c r="G41" i="1" s="1"/>
  <c r="H25" i="1"/>
  <c r="H41" i="1" s="1"/>
  <c r="I25" i="1"/>
  <c r="I41" i="1" s="1"/>
  <c r="J25" i="1"/>
  <c r="J41" i="1" s="1"/>
  <c r="K25" i="1"/>
  <c r="K41" i="1" s="1"/>
  <c r="L25" i="1"/>
  <c r="L41" i="1" s="1"/>
  <c r="E26" i="1"/>
  <c r="E42" i="1" s="1"/>
  <c r="F26" i="1"/>
  <c r="F42" i="1" s="1"/>
  <c r="G26" i="1"/>
  <c r="G42" i="1" s="1"/>
  <c r="H26" i="1"/>
  <c r="H42" i="1" s="1"/>
  <c r="I26" i="1"/>
  <c r="I42" i="1" s="1"/>
  <c r="J26" i="1"/>
  <c r="J42" i="1" s="1"/>
  <c r="K26" i="1"/>
  <c r="K42" i="1" s="1"/>
  <c r="L26" i="1"/>
  <c r="L42" i="1" s="1"/>
  <c r="E27" i="1"/>
  <c r="E43" i="1" s="1"/>
  <c r="F27" i="1"/>
  <c r="F43" i="1" s="1"/>
  <c r="G27" i="1"/>
  <c r="G43" i="1" s="1"/>
  <c r="H27" i="1"/>
  <c r="H43" i="1" s="1"/>
  <c r="I27" i="1"/>
  <c r="I43" i="1" s="1"/>
  <c r="J27" i="1"/>
  <c r="J43" i="1" s="1"/>
  <c r="K27" i="1"/>
  <c r="K43" i="1" s="1"/>
  <c r="L27" i="1"/>
  <c r="L43" i="1" s="1"/>
  <c r="D23" i="1"/>
  <c r="D39" i="1" s="1"/>
  <c r="D24" i="1"/>
  <c r="D40" i="1" s="1"/>
  <c r="D25" i="1"/>
  <c r="D41" i="1" s="1"/>
  <c r="D26" i="1"/>
  <c r="D42" i="1" s="1"/>
  <c r="D27" i="1"/>
  <c r="D43" i="1" s="1"/>
  <c r="D22" i="1"/>
  <c r="D38" i="1" s="1"/>
  <c r="D55" i="1" s="1"/>
  <c r="L64" i="1" l="1"/>
  <c r="H55" i="1"/>
  <c r="H56" i="1"/>
  <c r="K59" i="1"/>
  <c r="K58" i="1"/>
  <c r="H62" i="1"/>
  <c r="H61" i="1"/>
  <c r="E65" i="1"/>
  <c r="E64" i="1"/>
  <c r="E58" i="1"/>
  <c r="E59" i="1"/>
  <c r="K64" i="1"/>
  <c r="K65" i="1"/>
  <c r="L58" i="1"/>
  <c r="L59" i="1"/>
  <c r="I62" i="1"/>
  <c r="I61" i="1"/>
  <c r="F64" i="1"/>
  <c r="F65" i="1"/>
  <c r="D56" i="1"/>
  <c r="J62" i="1"/>
  <c r="J61" i="1"/>
  <c r="G64" i="1"/>
  <c r="G65" i="1"/>
  <c r="I56" i="1"/>
  <c r="I55" i="1"/>
  <c r="F58" i="1"/>
  <c r="F59" i="1"/>
  <c r="L65" i="1"/>
  <c r="J56" i="1"/>
  <c r="J55" i="1"/>
  <c r="G58" i="1"/>
  <c r="G59" i="1"/>
  <c r="D62" i="1"/>
  <c r="D61" i="1"/>
  <c r="E55" i="1"/>
  <c r="E56" i="1"/>
  <c r="K56" i="1"/>
  <c r="K55" i="1"/>
  <c r="H59" i="1"/>
  <c r="H58" i="1"/>
  <c r="E61" i="1"/>
  <c r="E62" i="1"/>
  <c r="K61" i="1"/>
  <c r="K62" i="1"/>
  <c r="H65" i="1"/>
  <c r="H64" i="1"/>
  <c r="F55" i="1"/>
  <c r="F56" i="1"/>
  <c r="L55" i="1"/>
  <c r="L56" i="1"/>
  <c r="I59" i="1"/>
  <c r="I58" i="1"/>
  <c r="F61" i="1"/>
  <c r="F62" i="1"/>
  <c r="L61" i="1"/>
  <c r="L62" i="1"/>
  <c r="I65" i="1"/>
  <c r="I64" i="1"/>
  <c r="G55" i="1"/>
  <c r="G56" i="1"/>
  <c r="D59" i="1"/>
  <c r="D58" i="1"/>
  <c r="J59" i="1"/>
  <c r="J58" i="1"/>
  <c r="G61" i="1"/>
  <c r="G62" i="1"/>
  <c r="D65" i="1"/>
  <c r="D64" i="1"/>
  <c r="J65" i="1"/>
  <c r="J64" i="1"/>
  <c r="N8" i="1"/>
  <c r="N14" i="1" s="1"/>
  <c r="M8" i="1"/>
  <c r="D56" i="2"/>
  <c r="E22" i="2"/>
  <c r="E38" i="2" s="1"/>
  <c r="F22" i="2"/>
  <c r="F38" i="2" s="1"/>
  <c r="G22" i="2"/>
  <c r="G38" i="2" s="1"/>
  <c r="H22" i="2"/>
  <c r="H38" i="2" s="1"/>
  <c r="I22" i="2"/>
  <c r="I38" i="2" s="1"/>
  <c r="J22" i="2"/>
  <c r="J38" i="2" s="1"/>
  <c r="K22" i="2"/>
  <c r="K38" i="2" s="1"/>
  <c r="L22" i="2"/>
  <c r="L38" i="2" s="1"/>
  <c r="E23" i="2"/>
  <c r="E39" i="2" s="1"/>
  <c r="F23" i="2"/>
  <c r="F39" i="2" s="1"/>
  <c r="G23" i="2"/>
  <c r="G39" i="2" s="1"/>
  <c r="H23" i="2"/>
  <c r="H39" i="2" s="1"/>
  <c r="I23" i="2"/>
  <c r="I39" i="2" s="1"/>
  <c r="J23" i="2"/>
  <c r="J39" i="2" s="1"/>
  <c r="K23" i="2"/>
  <c r="K39" i="2" s="1"/>
  <c r="L23" i="2"/>
  <c r="L39" i="2" s="1"/>
  <c r="E24" i="2"/>
  <c r="E40" i="2" s="1"/>
  <c r="F24" i="2"/>
  <c r="F40" i="2" s="1"/>
  <c r="G24" i="2"/>
  <c r="G40" i="2" s="1"/>
  <c r="H24" i="2"/>
  <c r="H40" i="2" s="1"/>
  <c r="I24" i="2"/>
  <c r="I40" i="2" s="1"/>
  <c r="J24" i="2"/>
  <c r="J40" i="2" s="1"/>
  <c r="K24" i="2"/>
  <c r="K40" i="2" s="1"/>
  <c r="L24" i="2"/>
  <c r="L40" i="2" s="1"/>
  <c r="E25" i="2"/>
  <c r="E41" i="2" s="1"/>
  <c r="F25" i="2"/>
  <c r="F41" i="2" s="1"/>
  <c r="G25" i="2"/>
  <c r="G41" i="2" s="1"/>
  <c r="H25" i="2"/>
  <c r="H41" i="2" s="1"/>
  <c r="I25" i="2"/>
  <c r="I41" i="2" s="1"/>
  <c r="J25" i="2"/>
  <c r="J41" i="2" s="1"/>
  <c r="K25" i="2"/>
  <c r="K41" i="2" s="1"/>
  <c r="L25" i="2"/>
  <c r="L41" i="2" s="1"/>
  <c r="E26" i="2"/>
  <c r="E42" i="2" s="1"/>
  <c r="F26" i="2"/>
  <c r="F42" i="2" s="1"/>
  <c r="G26" i="2"/>
  <c r="G42" i="2" s="1"/>
  <c r="H26" i="2"/>
  <c r="H42" i="2" s="1"/>
  <c r="I26" i="2"/>
  <c r="I42" i="2" s="1"/>
  <c r="J26" i="2"/>
  <c r="J42" i="2" s="1"/>
  <c r="K26" i="2"/>
  <c r="K42" i="2" s="1"/>
  <c r="L26" i="2"/>
  <c r="L42" i="2" s="1"/>
  <c r="E27" i="2"/>
  <c r="E43" i="2" s="1"/>
  <c r="F27" i="2"/>
  <c r="F43" i="2" s="1"/>
  <c r="G27" i="2"/>
  <c r="G43" i="2" s="1"/>
  <c r="H27" i="2"/>
  <c r="H43" i="2" s="1"/>
  <c r="I27" i="2"/>
  <c r="I43" i="2" s="1"/>
  <c r="J27" i="2"/>
  <c r="J43" i="2" s="1"/>
  <c r="K27" i="2"/>
  <c r="K43" i="2" s="1"/>
  <c r="L27" i="2"/>
  <c r="L43" i="2" s="1"/>
  <c r="D23" i="2"/>
  <c r="D39" i="2" s="1"/>
  <c r="D55" i="2" s="1"/>
  <c r="D24" i="2"/>
  <c r="D40" i="2" s="1"/>
  <c r="D25" i="2"/>
  <c r="D41" i="2" s="1"/>
  <c r="D26" i="2"/>
  <c r="D42" i="2" s="1"/>
  <c r="D27" i="2"/>
  <c r="D43" i="2" s="1"/>
  <c r="M8" i="2"/>
  <c r="N8" i="2"/>
  <c r="F44" i="4"/>
  <c r="H44" i="4"/>
  <c r="L44" i="4"/>
  <c r="F45" i="4"/>
  <c r="J45" i="4"/>
  <c r="L45" i="4"/>
  <c r="H46" i="4"/>
  <c r="J46" i="4"/>
  <c r="D46" i="4"/>
  <c r="E38" i="4"/>
  <c r="I38" i="4"/>
  <c r="K38" i="4"/>
  <c r="G39" i="4"/>
  <c r="I39" i="4"/>
  <c r="E40" i="4"/>
  <c r="G40" i="4"/>
  <c r="K40" i="4"/>
  <c r="E41" i="4"/>
  <c r="I41" i="4"/>
  <c r="K41" i="4"/>
  <c r="G42" i="4"/>
  <c r="I42" i="4"/>
  <c r="E43" i="4"/>
  <c r="G43" i="4"/>
  <c r="K43" i="4"/>
  <c r="D39" i="4"/>
  <c r="D43" i="4"/>
  <c r="D38" i="4"/>
  <c r="D56" i="4" s="1"/>
  <c r="E28" i="4"/>
  <c r="E44" i="4" s="1"/>
  <c r="F28" i="4"/>
  <c r="G28" i="4"/>
  <c r="G44" i="4" s="1"/>
  <c r="H28" i="4"/>
  <c r="I28" i="4"/>
  <c r="I44" i="4" s="1"/>
  <c r="J28" i="4"/>
  <c r="J44" i="4" s="1"/>
  <c r="K28" i="4"/>
  <c r="K44" i="4" s="1"/>
  <c r="L28" i="4"/>
  <c r="E29" i="4"/>
  <c r="E45" i="4" s="1"/>
  <c r="F29" i="4"/>
  <c r="G29" i="4"/>
  <c r="G45" i="4" s="1"/>
  <c r="G61" i="4" s="1"/>
  <c r="H29" i="4"/>
  <c r="H45" i="4" s="1"/>
  <c r="H61" i="4" s="1"/>
  <c r="I29" i="4"/>
  <c r="I45" i="4" s="1"/>
  <c r="J29" i="4"/>
  <c r="K29" i="4"/>
  <c r="K45" i="4" s="1"/>
  <c r="L29" i="4"/>
  <c r="E30" i="4"/>
  <c r="E46" i="4" s="1"/>
  <c r="E62" i="4" s="1"/>
  <c r="F30" i="4"/>
  <c r="F46" i="4" s="1"/>
  <c r="G30" i="4"/>
  <c r="G46" i="4" s="1"/>
  <c r="H30" i="4"/>
  <c r="I30" i="4"/>
  <c r="I46" i="4" s="1"/>
  <c r="J30" i="4"/>
  <c r="K30" i="4"/>
  <c r="K46" i="4" s="1"/>
  <c r="K62" i="4" s="1"/>
  <c r="L30" i="4"/>
  <c r="L46" i="4" s="1"/>
  <c r="D29" i="4"/>
  <c r="D45" i="4" s="1"/>
  <c r="D30" i="4"/>
  <c r="D28" i="4"/>
  <c r="D44" i="4" s="1"/>
  <c r="E22" i="4"/>
  <c r="F22" i="4"/>
  <c r="F38" i="4" s="1"/>
  <c r="G22" i="4"/>
  <c r="G38" i="4" s="1"/>
  <c r="H22" i="4"/>
  <c r="H38" i="4" s="1"/>
  <c r="I22" i="4"/>
  <c r="J22" i="4"/>
  <c r="J38" i="4" s="1"/>
  <c r="K22" i="4"/>
  <c r="L22" i="4"/>
  <c r="L38" i="4" s="1"/>
  <c r="E23" i="4"/>
  <c r="E39" i="4" s="1"/>
  <c r="F23" i="4"/>
  <c r="F39" i="4" s="1"/>
  <c r="G23" i="4"/>
  <c r="H23" i="4"/>
  <c r="H39" i="4" s="1"/>
  <c r="I23" i="4"/>
  <c r="J23" i="4"/>
  <c r="J39" i="4" s="1"/>
  <c r="K23" i="4"/>
  <c r="K39" i="4" s="1"/>
  <c r="L23" i="4"/>
  <c r="L39" i="4" s="1"/>
  <c r="E24" i="4"/>
  <c r="F24" i="4"/>
  <c r="F40" i="4" s="1"/>
  <c r="G24" i="4"/>
  <c r="H24" i="4"/>
  <c r="H40" i="4" s="1"/>
  <c r="I24" i="4"/>
  <c r="I40" i="4" s="1"/>
  <c r="J24" i="4"/>
  <c r="J40" i="4" s="1"/>
  <c r="K24" i="4"/>
  <c r="L24" i="4"/>
  <c r="L40" i="4" s="1"/>
  <c r="E25" i="4"/>
  <c r="F25" i="4"/>
  <c r="F41" i="4" s="1"/>
  <c r="G25" i="4"/>
  <c r="G41" i="4" s="1"/>
  <c r="H25" i="4"/>
  <c r="H41" i="4" s="1"/>
  <c r="I25" i="4"/>
  <c r="J25" i="4"/>
  <c r="J41" i="4" s="1"/>
  <c r="K25" i="4"/>
  <c r="L25" i="4"/>
  <c r="L41" i="4" s="1"/>
  <c r="E26" i="4"/>
  <c r="E42" i="4" s="1"/>
  <c r="F26" i="4"/>
  <c r="F42" i="4" s="1"/>
  <c r="G26" i="4"/>
  <c r="H26" i="4"/>
  <c r="H42" i="4" s="1"/>
  <c r="I26" i="4"/>
  <c r="J26" i="4"/>
  <c r="J42" i="4" s="1"/>
  <c r="K26" i="4"/>
  <c r="K42" i="4" s="1"/>
  <c r="L26" i="4"/>
  <c r="L42" i="4" s="1"/>
  <c r="E27" i="4"/>
  <c r="F27" i="4"/>
  <c r="F43" i="4" s="1"/>
  <c r="G27" i="4"/>
  <c r="H27" i="4"/>
  <c r="H43" i="4" s="1"/>
  <c r="I27" i="4"/>
  <c r="I43" i="4" s="1"/>
  <c r="J27" i="4"/>
  <c r="J43" i="4" s="1"/>
  <c r="K27" i="4"/>
  <c r="L27" i="4"/>
  <c r="L43" i="4" s="1"/>
  <c r="D23" i="4"/>
  <c r="D24" i="4"/>
  <c r="D40" i="4" s="1"/>
  <c r="D25" i="4"/>
  <c r="D41" i="4" s="1"/>
  <c r="D26" i="4"/>
  <c r="D42" i="4" s="1"/>
  <c r="D27" i="4"/>
  <c r="N14" i="4"/>
  <c r="M14" i="4"/>
  <c r="M8" i="4"/>
  <c r="N8" i="4"/>
  <c r="K58" i="4" l="1"/>
  <c r="D59" i="4"/>
  <c r="D58" i="4"/>
  <c r="E56" i="4"/>
  <c r="L55" i="4"/>
  <c r="L56" i="4"/>
  <c r="J58" i="4"/>
  <c r="J59" i="4"/>
  <c r="J55" i="4"/>
  <c r="J56" i="4"/>
  <c r="K61" i="4"/>
  <c r="E61" i="4"/>
  <c r="I58" i="4"/>
  <c r="G59" i="4"/>
  <c r="G58" i="4"/>
  <c r="F58" i="4"/>
  <c r="F59" i="4"/>
  <c r="F55" i="4"/>
  <c r="F56" i="4"/>
  <c r="E58" i="4"/>
  <c r="K56" i="4"/>
  <c r="G55" i="4"/>
  <c r="G56" i="4"/>
  <c r="L58" i="4"/>
  <c r="L59" i="4"/>
  <c r="H59" i="4"/>
  <c r="H58" i="4"/>
  <c r="H55" i="4"/>
  <c r="H56" i="4"/>
  <c r="D62" i="4"/>
  <c r="I62" i="4"/>
  <c r="I55" i="4"/>
  <c r="L61" i="4"/>
  <c r="J62" i="4"/>
  <c r="K59" i="4"/>
  <c r="E59" i="4"/>
  <c r="I56" i="4"/>
  <c r="K55" i="4"/>
  <c r="E55" i="4"/>
  <c r="D61" i="4"/>
  <c r="D55" i="4"/>
  <c r="H62" i="4"/>
  <c r="I59" i="4"/>
  <c r="F61" i="4"/>
  <c r="J61" i="4"/>
  <c r="I61" i="4"/>
  <c r="G62" i="4"/>
  <c r="L62" i="4"/>
  <c r="F62" i="4"/>
  <c r="K56" i="2"/>
  <c r="J56" i="2"/>
  <c r="I62" i="2"/>
  <c r="L64" i="2"/>
  <c r="L58" i="2"/>
  <c r="J62" i="2"/>
  <c r="K62" i="2"/>
  <c r="I56" i="2"/>
  <c r="F56" i="2"/>
  <c r="F55" i="2"/>
  <c r="L56" i="2"/>
  <c r="L55" i="2"/>
  <c r="I58" i="2"/>
  <c r="I59" i="2"/>
  <c r="I64" i="2"/>
  <c r="I65" i="2"/>
  <c r="D58" i="2"/>
  <c r="D59" i="2"/>
  <c r="J58" i="2"/>
  <c r="J59" i="2"/>
  <c r="G62" i="2"/>
  <c r="G61" i="2"/>
  <c r="E58" i="2"/>
  <c r="E59" i="2"/>
  <c r="K58" i="2"/>
  <c r="K59" i="2"/>
  <c r="E64" i="2"/>
  <c r="E65" i="2"/>
  <c r="K64" i="2"/>
  <c r="K65" i="2"/>
  <c r="F62" i="2"/>
  <c r="F61" i="2"/>
  <c r="L62" i="2"/>
  <c r="L61" i="2"/>
  <c r="G56" i="2"/>
  <c r="G55" i="2"/>
  <c r="D64" i="2"/>
  <c r="D65" i="2"/>
  <c r="J64" i="2"/>
  <c r="J65" i="2"/>
  <c r="H62" i="2"/>
  <c r="H61" i="2"/>
  <c r="F58" i="2"/>
  <c r="F64" i="2"/>
  <c r="H56" i="2"/>
  <c r="I55" i="2"/>
  <c r="H55" i="2"/>
  <c r="L59" i="2"/>
  <c r="I61" i="2"/>
  <c r="F65" i="2"/>
  <c r="J55" i="2"/>
  <c r="G59" i="2"/>
  <c r="D61" i="2"/>
  <c r="J61" i="2"/>
  <c r="G65" i="2"/>
  <c r="G58" i="2"/>
  <c r="D62" i="2"/>
  <c r="G64" i="2"/>
  <c r="F59" i="2"/>
  <c r="L65" i="2"/>
  <c r="E55" i="2"/>
  <c r="K55" i="2"/>
  <c r="H59" i="2"/>
  <c r="E61" i="2"/>
  <c r="K61" i="2"/>
  <c r="H65" i="2"/>
  <c r="E56" i="2"/>
  <c r="H58" i="2"/>
  <c r="E62" i="2"/>
  <c r="H64" i="2"/>
</calcChain>
</file>

<file path=xl/sharedStrings.xml><?xml version="1.0" encoding="utf-8"?>
<sst xmlns="http://schemas.openxmlformats.org/spreadsheetml/2006/main" count="437" uniqueCount="77">
  <si>
    <t>Ag@CN</t>
  </si>
  <si>
    <t>No treatment</t>
  </si>
  <si>
    <t xml:space="preserve">Blank, </t>
  </si>
  <si>
    <t>SD</t>
  </si>
  <si>
    <t>µg /ml</t>
  </si>
  <si>
    <t>Ag@NO2</t>
  </si>
  <si>
    <t>Experiment 1</t>
  </si>
  <si>
    <t>Experiment 2</t>
  </si>
  <si>
    <t>Mean</t>
  </si>
  <si>
    <t>Normalized to No treatment (%)</t>
  </si>
  <si>
    <t>Mean, SD and n</t>
  </si>
  <si>
    <t>n</t>
  </si>
  <si>
    <t>Experiment 3</t>
  </si>
  <si>
    <t>Ag@CN (N=9)</t>
  </si>
  <si>
    <t>Ag@NO2 (N=6)</t>
  </si>
  <si>
    <t xml:space="preserve">Mean Blank removal </t>
  </si>
  <si>
    <t xml:space="preserve">  Replicate 3</t>
  </si>
  <si>
    <t xml:space="preserve">  Replicate 2</t>
  </si>
  <si>
    <t>Cytotoxicity assay Hela cells in 96 wells plate 3 technical replicates</t>
  </si>
  <si>
    <t>Ag</t>
  </si>
  <si>
    <t>Ag CCH</t>
  </si>
  <si>
    <t>Ag CN</t>
  </si>
  <si>
    <t>Ag NO2</t>
  </si>
  <si>
    <t>Experiment 4</t>
  </si>
  <si>
    <t>Ag@ (N=3)</t>
  </si>
  <si>
    <t>Ag@</t>
  </si>
  <si>
    <t>Mean Blank</t>
  </si>
  <si>
    <t>mean No treatment</t>
  </si>
  <si>
    <t>Mean exp 1</t>
  </si>
  <si>
    <t>SD exp 1</t>
  </si>
  <si>
    <t>n exp 1</t>
  </si>
  <si>
    <t>Mean exp 2</t>
  </si>
  <si>
    <t>SD exp 2</t>
  </si>
  <si>
    <t>n exp 2</t>
  </si>
  <si>
    <t>Mean exp 3</t>
  </si>
  <si>
    <t>SD exp 3</t>
  </si>
  <si>
    <t>n exp 3</t>
  </si>
  <si>
    <t>Mean exp 4</t>
  </si>
  <si>
    <t>SD exp 4</t>
  </si>
  <si>
    <t>n exp 4</t>
  </si>
  <si>
    <t>Mean all exp</t>
  </si>
  <si>
    <t>SD all exp</t>
  </si>
  <si>
    <t>n all exp</t>
  </si>
  <si>
    <t>Replicate 1</t>
  </si>
  <si>
    <t>Replicate 4</t>
  </si>
  <si>
    <t>Ag@CCH</t>
  </si>
  <si>
    <t>Ag@CCH (N=9)</t>
  </si>
  <si>
    <t xml:space="preserve">n all exp </t>
  </si>
  <si>
    <t>NT</t>
  </si>
  <si>
    <t>Blank</t>
  </si>
  <si>
    <t>Fluorescence Intensity Ex 530 nm / Em 590 nm</t>
  </si>
  <si>
    <t>Normalized viability (% of Control no treatment)</t>
  </si>
  <si>
    <t>RAW DATA</t>
  </si>
  <si>
    <t xml:space="preserve">Mean </t>
  </si>
  <si>
    <t>Ag@CCH 2µg/ml</t>
  </si>
  <si>
    <t>Ag@CN 2µg/ml</t>
  </si>
  <si>
    <t>Ag@CCH 20µg/ml</t>
  </si>
  <si>
    <t>Ag@CN 20µg/ml</t>
  </si>
  <si>
    <t>Ag@NO2 2µg/ml</t>
  </si>
  <si>
    <t xml:space="preserve">Ag@CCH </t>
  </si>
  <si>
    <t>2µg/ml</t>
  </si>
  <si>
    <t xml:space="preserve"> 20µg/ml</t>
  </si>
  <si>
    <t xml:space="preserve">Ag@CN </t>
  </si>
  <si>
    <t>20µg/ml</t>
  </si>
  <si>
    <t xml:space="preserve">Ag@NO2 </t>
  </si>
  <si>
    <t>Ag@CN@NO2@CCH</t>
  </si>
  <si>
    <t>Ag@CN@NO2@CCH (N=9)</t>
  </si>
  <si>
    <r>
      <t>Ag@NO</t>
    </r>
    <r>
      <rPr>
        <vertAlign val="subscript"/>
        <sz val="11"/>
        <color theme="1"/>
        <rFont val="Calibri"/>
        <family val="2"/>
        <scheme val="minor"/>
      </rPr>
      <t>2</t>
    </r>
  </si>
  <si>
    <t>Cytotoxicity assay Hela cells in 6 well plate</t>
  </si>
  <si>
    <t xml:space="preserve">Cytotoxicity of NPS on Fibroblasts </t>
  </si>
  <si>
    <t>µg/ml</t>
  </si>
  <si>
    <t>AgNO2</t>
  </si>
  <si>
    <t>mean blank</t>
  </si>
  <si>
    <t>mean 0</t>
  </si>
  <si>
    <t>µg/mL</t>
  </si>
  <si>
    <t>mean Blank</t>
  </si>
  <si>
    <t>mean Blank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</si>
</sst>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 Unicode MS"/>
      <family val="2"/>
    </font>
    <font>
      <sz val="10"/>
      <color rgb="FF000000"/>
      <name val="Calibri"/>
      <family val="2"/>
    </font>
    <font>
      <sz val="10"/>
      <color theme="1"/>
      <name val="Arial Unicode MS"/>
      <family val="2"/>
    </font>
    <font>
      <u/>
      <sz val="11"/>
      <color theme="1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2">
    <xf numFmtId="0" fontId="0" fillId="0" borderId="0" xfId="0"/>
    <xf numFmtId="1" fontId="0" fillId="0" borderId="0" xfId="0" applyNumberFormat="1" applyAlignment="1">
      <alignment vertical="center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1" fontId="0" fillId="5" borderId="0" xfId="0" applyNumberFormat="1" applyFill="1"/>
    <xf numFmtId="1" fontId="0" fillId="0" borderId="0" xfId="0" applyNumberFormat="1" applyAlignment="1">
      <alignment vertical="center" wrapText="1"/>
    </xf>
    <xf numFmtId="1" fontId="0" fillId="0" borderId="0" xfId="0" applyNumberFormat="1" applyFont="1" applyAlignment="1">
      <alignment horizontal="right" wrapText="1"/>
    </xf>
    <xf numFmtId="1" fontId="0" fillId="4" borderId="0" xfId="0" applyNumberFormat="1" applyFill="1"/>
    <xf numFmtId="1" fontId="0" fillId="4" borderId="0" xfId="0" applyNumberFormat="1" applyFont="1" applyFill="1" applyAlignment="1">
      <alignment horizontal="right" wrapText="1"/>
    </xf>
    <xf numFmtId="1" fontId="0" fillId="0" borderId="0" xfId="0" applyNumberFormat="1" applyFill="1"/>
    <xf numFmtId="1" fontId="0" fillId="0" borderId="0" xfId="0" applyNumberFormat="1" applyFont="1" applyFill="1" applyAlignment="1">
      <alignment horizontal="right" wrapText="1"/>
    </xf>
    <xf numFmtId="1" fontId="6" fillId="0" borderId="0" xfId="1" applyNumberFormat="1" applyAlignment="1">
      <alignment vertical="center"/>
    </xf>
    <xf numFmtId="1" fontId="0" fillId="0" borderId="0" xfId="0" applyNumberFormat="1" applyAlignment="1">
      <alignment horizontal="center" vertical="center" wrapText="1"/>
    </xf>
    <xf numFmtId="1" fontId="0" fillId="11" borderId="1" xfId="0" applyNumberFormat="1" applyFill="1" applyBorder="1"/>
    <xf numFmtId="1" fontId="0" fillId="11" borderId="1" xfId="0" applyNumberFormat="1" applyFill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5" borderId="10" xfId="0" applyNumberFormat="1" applyFill="1" applyBorder="1" applyAlignment="1">
      <alignment horizontal="center" vertical="center"/>
    </xf>
    <xf numFmtId="1" fontId="0" fillId="5" borderId="11" xfId="0" applyNumberFormat="1" applyFill="1" applyBorder="1" applyAlignment="1">
      <alignment horizontal="center" vertical="center"/>
    </xf>
    <xf numFmtId="1" fontId="0" fillId="5" borderId="12" xfId="0" applyNumberFormat="1" applyFill="1" applyBorder="1"/>
    <xf numFmtId="1" fontId="0" fillId="5" borderId="32" xfId="0" applyNumberFormat="1" applyFill="1" applyBorder="1"/>
    <xf numFmtId="1" fontId="0" fillId="5" borderId="11" xfId="0" applyNumberFormat="1" applyFill="1" applyBorder="1"/>
    <xf numFmtId="1" fontId="0" fillId="5" borderId="2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5" borderId="14" xfId="0" applyNumberFormat="1" applyFill="1" applyBorder="1"/>
    <xf numFmtId="1" fontId="0" fillId="5" borderId="2" xfId="0" applyNumberFormat="1" applyFill="1" applyBorder="1"/>
    <xf numFmtId="1" fontId="0" fillId="5" borderId="1" xfId="0" applyNumberFormat="1" applyFill="1" applyBorder="1"/>
    <xf numFmtId="1" fontId="0" fillId="5" borderId="15" xfId="0" applyNumberFormat="1" applyFill="1" applyBorder="1" applyAlignment="1">
      <alignment horizontal="center" vertical="center"/>
    </xf>
    <xf numFmtId="1" fontId="0" fillId="5" borderId="16" xfId="0" applyNumberFormat="1" applyFill="1" applyBorder="1" applyAlignment="1">
      <alignment horizontal="center" vertical="center"/>
    </xf>
    <xf numFmtId="1" fontId="0" fillId="5" borderId="17" xfId="0" applyNumberFormat="1" applyFill="1" applyBorder="1" applyAlignment="1">
      <alignment horizontal="center" vertical="center"/>
    </xf>
    <xf numFmtId="1" fontId="0" fillId="5" borderId="28" xfId="0" applyNumberFormat="1" applyFill="1" applyBorder="1" applyAlignment="1">
      <alignment horizontal="center" vertical="center"/>
    </xf>
    <xf numFmtId="1" fontId="0" fillId="5" borderId="23" xfId="0" applyNumberFormat="1" applyFill="1" applyBorder="1" applyAlignment="1">
      <alignment horizontal="center" vertical="center"/>
    </xf>
    <xf numFmtId="1" fontId="0" fillId="0" borderId="29" xfId="0" applyNumberFormat="1" applyFill="1" applyBorder="1" applyAlignment="1">
      <alignment horizontal="center" vertical="center"/>
    </xf>
    <xf numFmtId="1" fontId="0" fillId="0" borderId="30" xfId="0" applyNumberFormat="1" applyFill="1" applyBorder="1" applyAlignment="1">
      <alignment horizontal="center" vertical="center"/>
    </xf>
    <xf numFmtId="1" fontId="0" fillId="0" borderId="31" xfId="0" applyNumberFormat="1" applyFill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11" borderId="0" xfId="0" applyNumberFormat="1" applyFill="1"/>
    <xf numFmtId="1" fontId="0" fillId="7" borderId="0" xfId="0" applyNumberFormat="1" applyFill="1"/>
    <xf numFmtId="1" fontId="0" fillId="6" borderId="0" xfId="0" applyNumberFormat="1" applyFill="1"/>
    <xf numFmtId="1" fontId="0" fillId="9" borderId="0" xfId="0" applyNumberFormat="1" applyFill="1"/>
    <xf numFmtId="1" fontId="6" fillId="0" borderId="0" xfId="1" applyNumberFormat="1"/>
    <xf numFmtId="1" fontId="2" fillId="0" borderId="0" xfId="0" applyNumberFormat="1" applyFont="1" applyAlignment="1">
      <alignment wrapText="1"/>
    </xf>
    <xf numFmtId="1" fontId="2" fillId="0" borderId="0" xfId="0" applyNumberFormat="1" applyFont="1" applyBorder="1" applyAlignment="1">
      <alignment wrapText="1"/>
    </xf>
    <xf numFmtId="1" fontId="4" fillId="3" borderId="3" xfId="0" applyNumberFormat="1" applyFont="1" applyFill="1" applyBorder="1" applyAlignment="1">
      <alignment horizontal="right" vertical="center" wrapText="1" readingOrder="1"/>
    </xf>
    <xf numFmtId="1" fontId="4" fillId="3" borderId="3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 readingOrder="1"/>
    </xf>
    <xf numFmtId="1" fontId="4" fillId="2" borderId="1" xfId="0" applyNumberFormat="1" applyFont="1" applyFill="1" applyBorder="1" applyAlignment="1">
      <alignment horizontal="center" vertical="center" wrapText="1" readingOrder="1"/>
    </xf>
    <xf numFmtId="1" fontId="2" fillId="0" borderId="0" xfId="0" applyNumberFormat="1" applyFont="1" applyAlignment="1">
      <alignment horizontal="center" vertical="center" wrapText="1"/>
    </xf>
    <xf numFmtId="1" fontId="0" fillId="0" borderId="1" xfId="0" applyNumberFormat="1" applyBorder="1"/>
    <xf numFmtId="1" fontId="0" fillId="10" borderId="1" xfId="0" applyNumberFormat="1" applyFill="1" applyBorder="1"/>
    <xf numFmtId="1" fontId="1" fillId="5" borderId="1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right" wrapText="1" readingOrder="1"/>
    </xf>
    <xf numFmtId="1" fontId="0" fillId="5" borderId="37" xfId="0" applyNumberFormat="1" applyFill="1" applyBorder="1"/>
    <xf numFmtId="1" fontId="2" fillId="0" borderId="1" xfId="0" applyNumberFormat="1" applyFont="1" applyBorder="1" applyAlignment="1">
      <alignment wrapText="1"/>
    </xf>
    <xf numFmtId="1" fontId="0" fillId="7" borderId="0" xfId="0" applyNumberFormat="1" applyFill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0" fillId="10" borderId="0" xfId="0" applyNumberFormat="1" applyFill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 wrapText="1"/>
    </xf>
    <xf numFmtId="1" fontId="0" fillId="0" borderId="16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5" borderId="1" xfId="0" applyNumberFormat="1" applyFont="1" applyFill="1" applyBorder="1" applyAlignment="1">
      <alignment horizontal="center" vertical="center" wrapText="1"/>
    </xf>
    <xf numFmtId="1" fontId="0" fillId="4" borderId="3" xfId="0" applyNumberFormat="1" applyFont="1" applyFill="1" applyBorder="1" applyAlignment="1">
      <alignment horizontal="center" vertical="center" wrapText="1"/>
    </xf>
    <xf numFmtId="1" fontId="0" fillId="5" borderId="3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right" vertical="center" wrapText="1" readingOrder="1"/>
    </xf>
    <xf numFmtId="1" fontId="4" fillId="3" borderId="1" xfId="0" applyNumberFormat="1" applyFont="1" applyFill="1" applyBorder="1" applyAlignment="1">
      <alignment horizontal="center" vertical="center" wrapText="1" readingOrder="1"/>
    </xf>
    <xf numFmtId="1" fontId="3" fillId="0" borderId="1" xfId="0" applyNumberFormat="1" applyFont="1" applyBorder="1" applyAlignment="1">
      <alignment horizontal="right" wrapText="1" readingOrder="1"/>
    </xf>
    <xf numFmtId="1" fontId="3" fillId="4" borderId="1" xfId="0" applyNumberFormat="1" applyFont="1" applyFill="1" applyBorder="1" applyAlignment="1">
      <alignment horizontal="right" wrapText="1" readingOrder="1"/>
    </xf>
    <xf numFmtId="1" fontId="3" fillId="7" borderId="1" xfId="0" applyNumberFormat="1" applyFont="1" applyFill="1" applyBorder="1" applyAlignment="1">
      <alignment horizontal="right" wrapText="1" readingOrder="1"/>
    </xf>
    <xf numFmtId="1" fontId="0" fillId="0" borderId="0" xfId="0" applyNumberFormat="1" applyAlignment="1"/>
    <xf numFmtId="164" fontId="4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11" borderId="0" xfId="0" applyNumberFormat="1" applyFill="1"/>
    <xf numFmtId="164" fontId="0" fillId="7" borderId="0" xfId="0" applyNumberFormat="1" applyFill="1"/>
    <xf numFmtId="164" fontId="0" fillId="0" borderId="22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Font="1" applyBorder="1" applyAlignment="1">
      <alignment horizontal="right" wrapText="1"/>
    </xf>
    <xf numFmtId="0" fontId="0" fillId="0" borderId="1" xfId="0" applyBorder="1"/>
    <xf numFmtId="0" fontId="0" fillId="0" borderId="1" xfId="0" applyFill="1" applyBorder="1"/>
    <xf numFmtId="0" fontId="0" fillId="0" borderId="37" xfId="0" applyFill="1" applyBorder="1"/>
    <xf numFmtId="0" fontId="0" fillId="0" borderId="0" xfId="0" applyFill="1" applyBorder="1"/>
    <xf numFmtId="0" fontId="0" fillId="0" borderId="38" xfId="0" applyFill="1" applyBorder="1"/>
    <xf numFmtId="0" fontId="0" fillId="5" borderId="1" xfId="0" applyFill="1" applyBorder="1"/>
    <xf numFmtId="0" fontId="0" fillId="0" borderId="0" xfId="0" applyFill="1"/>
    <xf numFmtId="0" fontId="0" fillId="12" borderId="1" xfId="0" applyFill="1" applyBorder="1"/>
    <xf numFmtId="0" fontId="0" fillId="12" borderId="37" xfId="0" applyFill="1" applyBorder="1"/>
    <xf numFmtId="0" fontId="0" fillId="0" borderId="1" xfId="0" applyBorder="1" applyAlignment="1">
      <alignment wrapText="1"/>
    </xf>
    <xf numFmtId="0" fontId="0" fillId="12" borderId="1" xfId="0" applyFill="1" applyBorder="1" applyAlignment="1">
      <alignment wrapText="1"/>
    </xf>
    <xf numFmtId="0" fontId="0" fillId="3" borderId="0" xfId="0" applyFill="1"/>
    <xf numFmtId="1" fontId="0" fillId="0" borderId="0" xfId="0" applyNumberFormat="1" applyFill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1" fontId="1" fillId="3" borderId="0" xfId="0" applyNumberFormat="1" applyFont="1" applyFill="1" applyAlignment="1">
      <alignment horizontal="center" vertical="center"/>
    </xf>
    <xf numFmtId="1" fontId="1" fillId="14" borderId="0" xfId="0" applyNumberFormat="1" applyFont="1" applyFill="1" applyAlignment="1">
      <alignment horizontal="center" vertical="center" wrapText="1"/>
    </xf>
    <xf numFmtId="0" fontId="0" fillId="14" borderId="0" xfId="0" applyFill="1"/>
    <xf numFmtId="1" fontId="0" fillId="14" borderId="0" xfId="0" applyNumberFormat="1" applyFill="1" applyAlignment="1">
      <alignment horizontal="center" vertical="center"/>
    </xf>
    <xf numFmtId="0" fontId="0" fillId="14" borderId="0" xfId="0" applyFill="1" applyBorder="1" applyAlignment="1">
      <alignment wrapText="1"/>
    </xf>
    <xf numFmtId="0" fontId="0" fillId="14" borderId="0" xfId="0" applyFill="1" applyBorder="1"/>
    <xf numFmtId="1" fontId="0" fillId="0" borderId="1" xfId="0" applyNumberFormat="1" applyFill="1" applyBorder="1"/>
    <xf numFmtId="0" fontId="0" fillId="0" borderId="3" xfId="0" applyBorder="1"/>
    <xf numFmtId="1" fontId="0" fillId="0" borderId="0" xfId="0" applyNumberFormat="1" applyAlignment="1">
      <alignment horizontal="center" vertical="center" wrapText="1"/>
    </xf>
    <xf numFmtId="1" fontId="0" fillId="3" borderId="4" xfId="0" applyNumberFormat="1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" fontId="0" fillId="3" borderId="9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1" fontId="0" fillId="3" borderId="0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6" xfId="0" applyNumberFormat="1" applyFill="1" applyBorder="1" applyAlignment="1">
      <alignment horizontal="center" vertical="center"/>
    </xf>
    <xf numFmtId="1" fontId="0" fillId="3" borderId="37" xfId="0" applyNumberFormat="1" applyFill="1" applyBorder="1" applyAlignment="1">
      <alignment horizontal="center" vertical="center"/>
    </xf>
    <xf numFmtId="1" fontId="0" fillId="11" borderId="0" xfId="0" applyNumberFormat="1" applyFill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1" fontId="0" fillId="0" borderId="35" xfId="0" applyNumberFormat="1" applyBorder="1" applyAlignment="1">
      <alignment horizontal="center" vertical="center"/>
    </xf>
    <xf numFmtId="1" fontId="0" fillId="5" borderId="24" xfId="0" applyNumberFormat="1" applyFill="1" applyBorder="1" applyAlignment="1">
      <alignment horizontal="center" vertical="center"/>
    </xf>
    <xf numFmtId="1" fontId="0" fillId="5" borderId="25" xfId="0" applyNumberFormat="1" applyFill="1" applyBorder="1" applyAlignment="1">
      <alignment horizontal="center" vertical="center"/>
    </xf>
    <xf numFmtId="1" fontId="0" fillId="5" borderId="26" xfId="0" applyNumberFormat="1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1" fontId="6" fillId="5" borderId="29" xfId="1" applyNumberFormat="1" applyFill="1" applyBorder="1" applyAlignment="1">
      <alignment horizontal="center" vertical="center"/>
    </xf>
    <xf numFmtId="1" fontId="0" fillId="5" borderId="30" xfId="0" applyNumberFormat="1" applyFill="1" applyBorder="1" applyAlignment="1">
      <alignment horizontal="center" vertical="center"/>
    </xf>
    <xf numFmtId="1" fontId="0" fillId="5" borderId="31" xfId="0" applyNumberFormat="1" applyFill="1" applyBorder="1" applyAlignment="1">
      <alignment horizontal="center" vertical="center"/>
    </xf>
    <xf numFmtId="1" fontId="0" fillId="5" borderId="29" xfId="0" applyNumberFormat="1" applyFill="1" applyBorder="1" applyAlignment="1">
      <alignment horizontal="center" vertical="center"/>
    </xf>
    <xf numFmtId="1" fontId="0" fillId="5" borderId="10" xfId="0" applyNumberFormat="1" applyFill="1" applyBorder="1" applyAlignment="1">
      <alignment horizontal="center" vertical="center"/>
    </xf>
    <xf numFmtId="1" fontId="0" fillId="5" borderId="11" xfId="0" applyNumberFormat="1" applyFill="1" applyBorder="1" applyAlignment="1">
      <alignment horizontal="center" vertical="center"/>
    </xf>
    <xf numFmtId="1" fontId="0" fillId="5" borderId="12" xfId="0" applyNumberFormat="1" applyFill="1" applyBorder="1" applyAlignment="1">
      <alignment horizontal="center" vertical="center"/>
    </xf>
    <xf numFmtId="1" fontId="0" fillId="5" borderId="27" xfId="0" applyNumberFormat="1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0" fillId="8" borderId="4" xfId="0" applyNumberFormat="1" applyFill="1" applyBorder="1" applyAlignment="1">
      <alignment horizontal="center" vertical="center"/>
    </xf>
    <xf numFmtId="1" fontId="0" fillId="8" borderId="5" xfId="0" applyNumberFormat="1" applyFill="1" applyBorder="1" applyAlignment="1">
      <alignment horizontal="center" vertical="center"/>
    </xf>
    <xf numFmtId="1" fontId="0" fillId="8" borderId="2" xfId="0" applyNumberFormat="1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10" borderId="0" xfId="0" applyNumberFormat="1" applyFill="1" applyAlignment="1">
      <alignment horizontal="center" vertical="center"/>
    </xf>
    <xf numFmtId="1" fontId="0" fillId="7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39" xfId="0" applyNumberFormat="1" applyBorder="1" applyAlignment="1">
      <alignment horizontal="center" vertical="center" wrapText="1"/>
    </xf>
    <xf numFmtId="0" fontId="8" fillId="0" borderId="0" xfId="0" applyFont="1"/>
    <xf numFmtId="1" fontId="9" fillId="14" borderId="0" xfId="0" applyNumberFormat="1" applyFont="1" applyFill="1" applyAlignment="1">
      <alignment horizontal="center" vertical="center"/>
    </xf>
    <xf numFmtId="0" fontId="8" fillId="14" borderId="0" xfId="0" applyFont="1" applyFill="1"/>
    <xf numFmtId="1" fontId="8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horizontal="center" vertical="center" wrapText="1"/>
    </xf>
    <xf numFmtId="0" fontId="8" fillId="0" borderId="1" xfId="0" applyFont="1" applyBorder="1"/>
    <xf numFmtId="0" fontId="10" fillId="0" borderId="4" xfId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13" borderId="1" xfId="0" applyFont="1" applyFill="1" applyBorder="1"/>
    <xf numFmtId="0" fontId="8" fillId="0" borderId="2" xfId="0" applyFont="1" applyBorder="1"/>
    <xf numFmtId="1" fontId="9" fillId="14" borderId="0" xfId="0" applyNumberFormat="1" applyFont="1" applyFill="1" applyAlignment="1">
      <alignment horizontal="center" vertical="center" wrapText="1"/>
    </xf>
    <xf numFmtId="1" fontId="8" fillId="0" borderId="1" xfId="0" applyNumberFormat="1" applyFont="1" applyBorder="1"/>
    <xf numFmtId="0" fontId="8" fillId="12" borderId="1" xfId="0" applyFont="1" applyFill="1" applyBorder="1"/>
    <xf numFmtId="1" fontId="8" fillId="12" borderId="1" xfId="0" applyNumberFormat="1" applyFont="1" applyFill="1" applyBorder="1"/>
    <xf numFmtId="1" fontId="8" fillId="0" borderId="0" xfId="0" applyNumberFormat="1" applyFont="1" applyFill="1" applyAlignment="1">
      <alignment horizontal="center" vertical="center" wrapText="1"/>
    </xf>
    <xf numFmtId="1" fontId="8" fillId="0" borderId="0" xfId="0" applyNumberFormat="1" applyFont="1"/>
    <xf numFmtId="1" fontId="8" fillId="15" borderId="0" xfId="0" applyNumberFormat="1" applyFont="1" applyFill="1" applyAlignment="1">
      <alignment horizontal="center" vertical="center" wrapText="1"/>
    </xf>
    <xf numFmtId="0" fontId="8" fillId="15" borderId="0" xfId="0" applyFont="1" applyFill="1" applyBorder="1"/>
    <xf numFmtId="0" fontId="8" fillId="15" borderId="0" xfId="0" applyFont="1" applyFill="1"/>
    <xf numFmtId="1" fontId="8" fillId="14" borderId="0" xfId="0" applyNumberFormat="1" applyFont="1" applyFill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1" xfId="0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Ag@CCH (n=12)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97176581251043"/>
          <c:y val="0.10686390532544379"/>
          <c:w val="0.76595694324336627"/>
          <c:h val="0.69098572737579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'5) Histograms'!$D$18:$D$19</c:f>
              <c:strCache>
                <c:ptCount val="2"/>
                <c:pt idx="0">
                  <c:v>Ag@CCH</c:v>
                </c:pt>
                <c:pt idx="1">
                  <c:v>Mean exp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Histograms'!$E$20:$E$28</c:f>
                <c:numCache>
                  <c:formatCode>General</c:formatCode>
                  <c:ptCount val="9"/>
                  <c:pt idx="0">
                    <c:v>11.222561559988128</c:v>
                  </c:pt>
                  <c:pt idx="1">
                    <c:v>14.31160861174247</c:v>
                  </c:pt>
                  <c:pt idx="2">
                    <c:v>5.0719560787609614</c:v>
                  </c:pt>
                  <c:pt idx="3">
                    <c:v>1.3988567677012682</c:v>
                  </c:pt>
                  <c:pt idx="4">
                    <c:v>3.1859173464581172</c:v>
                  </c:pt>
                  <c:pt idx="5">
                    <c:v>5.2874400848029772</c:v>
                  </c:pt>
                  <c:pt idx="6">
                    <c:v>4.9692448581201534</c:v>
                  </c:pt>
                  <c:pt idx="7">
                    <c:v>6.3226765055456831</c:v>
                  </c:pt>
                  <c:pt idx="8">
                    <c:v>3.7340981702136919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Histograms'!$C$20:$C$28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Histograms'!$D$20:$D$28</c:f>
              <c:numCache>
                <c:formatCode>0</c:formatCode>
                <c:ptCount val="9"/>
                <c:pt idx="0">
                  <c:v>41.32450616137163</c:v>
                </c:pt>
                <c:pt idx="1">
                  <c:v>43.611003027964422</c:v>
                </c:pt>
                <c:pt idx="2">
                  <c:v>79.624700836068044</c:v>
                </c:pt>
                <c:pt idx="3">
                  <c:v>72.81547467159163</c:v>
                </c:pt>
                <c:pt idx="4">
                  <c:v>82.200910501378885</c:v>
                </c:pt>
                <c:pt idx="5">
                  <c:v>94.405397283869164</c:v>
                </c:pt>
                <c:pt idx="6">
                  <c:v>96.323851410872763</c:v>
                </c:pt>
                <c:pt idx="7">
                  <c:v>99.412915459225133</c:v>
                </c:pt>
                <c:pt idx="8">
                  <c:v>97.691748210685489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47-4147-AF10-1EFC407056A6}"/>
            </c:ext>
          </c:extLst>
        </c:ser>
        <c:ser>
          <c:idx val="1"/>
          <c:order val="1"/>
          <c:tx>
            <c:strRef>
              <c:f>'5) Histograms'!$G$18:$G$19</c:f>
              <c:strCache>
                <c:ptCount val="2"/>
                <c:pt idx="0">
                  <c:v>Ag@CCH</c:v>
                </c:pt>
                <c:pt idx="1">
                  <c:v>Mean exp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Histograms'!$H$20:$H$28</c:f>
                <c:numCache>
                  <c:formatCode>General</c:formatCode>
                  <c:ptCount val="9"/>
                  <c:pt idx="0">
                    <c:v>4.7195703773952546</c:v>
                  </c:pt>
                  <c:pt idx="1">
                    <c:v>8.3273909502743333</c:v>
                  </c:pt>
                  <c:pt idx="2">
                    <c:v>1.0680202312769644</c:v>
                  </c:pt>
                  <c:pt idx="3">
                    <c:v>6.4087211478459301</c:v>
                  </c:pt>
                  <c:pt idx="4">
                    <c:v>8.2185730746992576</c:v>
                  </c:pt>
                  <c:pt idx="5">
                    <c:v>4.5819164650346291</c:v>
                  </c:pt>
                  <c:pt idx="6">
                    <c:v>5.6129343220934436</c:v>
                  </c:pt>
                  <c:pt idx="7">
                    <c:v>3.8230425185687098</c:v>
                  </c:pt>
                  <c:pt idx="8">
                    <c:v>9.5000924091864043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Histograms'!$C$20:$C$28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Histograms'!$G$20:$G$27</c:f>
              <c:numCache>
                <c:formatCode>0</c:formatCode>
                <c:ptCount val="8"/>
                <c:pt idx="0">
                  <c:v>45.869460381649951</c:v>
                </c:pt>
                <c:pt idx="1">
                  <c:v>53.146691372700474</c:v>
                </c:pt>
                <c:pt idx="2">
                  <c:v>58.072384107738138</c:v>
                </c:pt>
                <c:pt idx="3">
                  <c:v>86.275100260764475</c:v>
                </c:pt>
                <c:pt idx="4">
                  <c:v>88.273631880815643</c:v>
                </c:pt>
                <c:pt idx="5">
                  <c:v>109.69735615420613</c:v>
                </c:pt>
                <c:pt idx="6">
                  <c:v>98.948557260948533</c:v>
                </c:pt>
                <c:pt idx="7">
                  <c:v>113.87247836578918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47-4147-AF10-1EFC407056A6}"/>
            </c:ext>
          </c:extLst>
        </c:ser>
        <c:ser>
          <c:idx val="2"/>
          <c:order val="2"/>
          <c:tx>
            <c:strRef>
              <c:f>'5) Histograms'!$J$18:$J$19</c:f>
              <c:strCache>
                <c:ptCount val="2"/>
                <c:pt idx="0">
                  <c:v>Ag@CCH</c:v>
                </c:pt>
                <c:pt idx="1">
                  <c:v>Mean exp 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Histograms'!$K$20:$K$28</c:f>
                <c:numCache>
                  <c:formatCode>General</c:formatCode>
                  <c:ptCount val="9"/>
                  <c:pt idx="0">
                    <c:v>12.482115830023572</c:v>
                  </c:pt>
                  <c:pt idx="1">
                    <c:v>2.9118523715349238</c:v>
                  </c:pt>
                  <c:pt idx="2">
                    <c:v>3.2633342100418683</c:v>
                  </c:pt>
                  <c:pt idx="3">
                    <c:v>2.086163546491453</c:v>
                  </c:pt>
                  <c:pt idx="4">
                    <c:v>3.0413893572812154</c:v>
                  </c:pt>
                  <c:pt idx="5">
                    <c:v>10.451754896986294</c:v>
                  </c:pt>
                  <c:pt idx="6">
                    <c:v>26.458410214222091</c:v>
                  </c:pt>
                  <c:pt idx="7">
                    <c:v>5.4087845088478845</c:v>
                  </c:pt>
                  <c:pt idx="8">
                    <c:v>7.3945822670311854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Histograms'!$C$20:$C$28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Histograms'!$J$20:$J$28</c:f>
              <c:numCache>
                <c:formatCode>0</c:formatCode>
                <c:ptCount val="9"/>
                <c:pt idx="0">
                  <c:v>34.234057461738693</c:v>
                </c:pt>
                <c:pt idx="1">
                  <c:v>39.302443547002532</c:v>
                </c:pt>
                <c:pt idx="2">
                  <c:v>47.97509380437068</c:v>
                </c:pt>
                <c:pt idx="3">
                  <c:v>61.839086550456095</c:v>
                </c:pt>
                <c:pt idx="4">
                  <c:v>98.571164781625853</c:v>
                </c:pt>
                <c:pt idx="5">
                  <c:v>119.14619813469388</c:v>
                </c:pt>
                <c:pt idx="6">
                  <c:v>122.75059247055476</c:v>
                </c:pt>
                <c:pt idx="7">
                  <c:v>107.28007959132525</c:v>
                </c:pt>
                <c:pt idx="8">
                  <c:v>109.91900471687423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D47-4147-AF10-1EFC407056A6}"/>
            </c:ext>
          </c:extLst>
        </c:ser>
        <c:ser>
          <c:idx val="3"/>
          <c:order val="3"/>
          <c:tx>
            <c:strRef>
              <c:f>'5) Histograms'!$M$18:$M$19</c:f>
              <c:strCache>
                <c:ptCount val="2"/>
                <c:pt idx="0">
                  <c:v>Ag@CCH</c:v>
                </c:pt>
                <c:pt idx="1">
                  <c:v>Mean exp 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Histograms'!$N$21:$N$28</c:f>
                <c:numCache>
                  <c:formatCode>General</c:formatCode>
                  <c:ptCount val="8"/>
                  <c:pt idx="0">
                    <c:v>0.37942917912175023</c:v>
                  </c:pt>
                  <c:pt idx="1">
                    <c:v>20.244284311538845</c:v>
                  </c:pt>
                  <c:pt idx="2">
                    <c:v>5.9781207486285286</c:v>
                  </c:pt>
                  <c:pt idx="3">
                    <c:v>17.495785501419604</c:v>
                  </c:pt>
                  <c:pt idx="4">
                    <c:v>6.527077589881574</c:v>
                  </c:pt>
                  <c:pt idx="5">
                    <c:v>26.025127563190285</c:v>
                  </c:pt>
                  <c:pt idx="6">
                    <c:v>13.705968858507489</c:v>
                  </c:pt>
                  <c:pt idx="7">
                    <c:v>4.6092669298255338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Histograms'!$C$20:$C$28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Histograms'!$M$20:$M$28</c:f>
              <c:numCache>
                <c:formatCode>0</c:formatCode>
                <c:ptCount val="9"/>
                <c:pt idx="1">
                  <c:v>103.56799253724107</c:v>
                </c:pt>
                <c:pt idx="2">
                  <c:v>126.74736923793627</c:v>
                </c:pt>
                <c:pt idx="3">
                  <c:v>98.897937751119045</c:v>
                </c:pt>
                <c:pt idx="4">
                  <c:v>102.2041286932083</c:v>
                </c:pt>
                <c:pt idx="5">
                  <c:v>85.37896810422059</c:v>
                </c:pt>
                <c:pt idx="6">
                  <c:v>120.62565091357176</c:v>
                </c:pt>
                <c:pt idx="7">
                  <c:v>110.44287087209744</c:v>
                </c:pt>
                <c:pt idx="8">
                  <c:v>93.236460705350353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D47-4147-AF10-1EFC407056A6}"/>
            </c:ext>
          </c:extLst>
        </c:ser>
        <c:ser>
          <c:idx val="4"/>
          <c:order val="4"/>
          <c:tx>
            <c:strRef>
              <c:f>'5) Histograms'!$P$18:$P$19</c:f>
              <c:strCache>
                <c:ptCount val="2"/>
                <c:pt idx="0">
                  <c:v>Ag@CCH</c:v>
                </c:pt>
                <c:pt idx="1">
                  <c:v>Mean all exp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Histograms'!$Q$20:$Q$28</c:f>
                <c:numCache>
                  <c:formatCode>General</c:formatCode>
                  <c:ptCount val="9"/>
                  <c:pt idx="0">
                    <c:v>10.089354346000651</c:v>
                  </c:pt>
                  <c:pt idx="1">
                    <c:v>27.816336695532041</c:v>
                  </c:pt>
                  <c:pt idx="2">
                    <c:v>32.966657932398803</c:v>
                  </c:pt>
                  <c:pt idx="3">
                    <c:v>15.100229739459357</c:v>
                  </c:pt>
                  <c:pt idx="4">
                    <c:v>11.888912725622895</c:v>
                  </c:pt>
                  <c:pt idx="5">
                    <c:v>14.944804944886023</c:v>
                  </c:pt>
                  <c:pt idx="6">
                    <c:v>20.510114103882881</c:v>
                  </c:pt>
                  <c:pt idx="7">
                    <c:v>8.9879537799832789</c:v>
                  </c:pt>
                  <c:pt idx="8">
                    <c:v>8.5930529864191776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Histograms'!$C$20:$C$28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Histograms'!$P$20:$P$28</c:f>
              <c:numCache>
                <c:formatCode>0</c:formatCode>
                <c:ptCount val="9"/>
                <c:pt idx="0">
                  <c:v>40.476008001586763</c:v>
                </c:pt>
                <c:pt idx="1">
                  <c:v>59.925514968307056</c:v>
                </c:pt>
                <c:pt idx="2">
                  <c:v>78.127505846351809</c:v>
                </c:pt>
                <c:pt idx="3">
                  <c:v>79.974548755481052</c:v>
                </c:pt>
                <c:pt idx="4">
                  <c:v>92.830697921421759</c:v>
                </c:pt>
                <c:pt idx="5">
                  <c:v>102.17221632272664</c:v>
                </c:pt>
                <c:pt idx="6">
                  <c:v>109.68368940541649</c:v>
                </c:pt>
                <c:pt idx="7">
                  <c:v>107.77179528363257</c:v>
                </c:pt>
                <c:pt idx="8">
                  <c:v>99.860907854479933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D47-4147-AF10-1EFC40705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23697680"/>
        <c:axId val="-1323696592"/>
      </c:barChart>
      <c:catAx>
        <c:axId val="-1323697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(µg.mL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3696592"/>
        <c:crosses val="autoZero"/>
        <c:auto val="1"/>
        <c:lblAlgn val="ctr"/>
        <c:lblOffset val="100"/>
        <c:noMultiLvlLbl val="0"/>
      </c:catAx>
      <c:valAx>
        <c:axId val="-132369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Normalized</a:t>
                </a:r>
                <a:r>
                  <a:rPr lang="fr-FR" baseline="0"/>
                  <a:t> viability (% of control)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2369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698071700575007E-2"/>
          <c:y val="8.8262902048486538E-2"/>
          <c:w val="0.4531670535402727"/>
          <c:h val="0.249015204460389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Ag@NO2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697176581251043"/>
          <c:y val="0.10686390532544379"/>
          <c:w val="0.76595694324336627"/>
          <c:h val="0.690985727375793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'5) Histograms'!$D$46</c:f>
              <c:strCache>
                <c:ptCount val="1"/>
                <c:pt idx="0">
                  <c:v>Mean exp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Histograms'!$C$47:$C$55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Histograms'!$D$47:$D$55</c:f>
              <c:numCache>
                <c:formatCode>0</c:formatCode>
                <c:ptCount val="9"/>
                <c:pt idx="0">
                  <c:v>53.744757751658881</c:v>
                </c:pt>
                <c:pt idx="1">
                  <c:v>68.773423695659801</c:v>
                </c:pt>
                <c:pt idx="2">
                  <c:v>84.995067026444204</c:v>
                </c:pt>
                <c:pt idx="3">
                  <c:v>89.51704344644395</c:v>
                </c:pt>
                <c:pt idx="4">
                  <c:v>78.380768210979127</c:v>
                </c:pt>
                <c:pt idx="5">
                  <c:v>89.91023243691761</c:v>
                </c:pt>
                <c:pt idx="6">
                  <c:v>88.442528892184342</c:v>
                </c:pt>
                <c:pt idx="7">
                  <c:v>88.717464672727871</c:v>
                </c:pt>
                <c:pt idx="8">
                  <c:v>90.433059425029342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47-4147-AF10-1EFC407056A6}"/>
            </c:ext>
          </c:extLst>
        </c:ser>
        <c:ser>
          <c:idx val="1"/>
          <c:order val="1"/>
          <c:tx>
            <c:strRef>
              <c:f>'5) Histograms'!$G$46</c:f>
              <c:strCache>
                <c:ptCount val="1"/>
                <c:pt idx="0">
                  <c:v>Mean exp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Histograms'!$C$47:$C$55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Histograms'!$G$47:$G$55</c:f>
              <c:numCache>
                <c:formatCode>0</c:formatCode>
                <c:ptCount val="9"/>
                <c:pt idx="0">
                  <c:v>85.07683495475969</c:v>
                </c:pt>
                <c:pt idx="1">
                  <c:v>80.097815119387704</c:v>
                </c:pt>
                <c:pt idx="2">
                  <c:v>73.658615839599307</c:v>
                </c:pt>
                <c:pt idx="3">
                  <c:v>94.907393089992539</c:v>
                </c:pt>
                <c:pt idx="4">
                  <c:v>107.97360973772898</c:v>
                </c:pt>
                <c:pt idx="5">
                  <c:v>112.95287366534937</c:v>
                </c:pt>
                <c:pt idx="6">
                  <c:v>117.80922406953562</c:v>
                </c:pt>
                <c:pt idx="7">
                  <c:v>111.42609408683911</c:v>
                </c:pt>
                <c:pt idx="8">
                  <c:v>124.18062018914883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47-4147-AF10-1EFC407056A6}"/>
            </c:ext>
          </c:extLst>
        </c:ser>
        <c:ser>
          <c:idx val="2"/>
          <c:order val="2"/>
          <c:tx>
            <c:strRef>
              <c:f>'5) Histograms'!$J$46</c:f>
              <c:strCache>
                <c:ptCount val="1"/>
                <c:pt idx="0">
                  <c:v>Mean exp 3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Histograms'!$C$47:$C$55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Histograms'!$J$47:$J$55</c:f>
              <c:numCache>
                <c:formatCode>0</c:formatCode>
                <c:ptCount val="9"/>
                <c:pt idx="0">
                  <c:v>24.879677863430775</c:v>
                </c:pt>
                <c:pt idx="1">
                  <c:v>36.908772422895652</c:v>
                </c:pt>
                <c:pt idx="2">
                  <c:v>52.716680114020583</c:v>
                </c:pt>
                <c:pt idx="3">
                  <c:v>48.774161743154529</c:v>
                </c:pt>
                <c:pt idx="4">
                  <c:v>76.518814857712428</c:v>
                </c:pt>
                <c:pt idx="5">
                  <c:v>85.135178802147934</c:v>
                </c:pt>
                <c:pt idx="6">
                  <c:v>98.466825372676738</c:v>
                </c:pt>
                <c:pt idx="7">
                  <c:v>100.09785770065503</c:v>
                </c:pt>
                <c:pt idx="8">
                  <c:v>100.11668200130764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D47-4147-AF10-1EFC407056A6}"/>
            </c:ext>
          </c:extLst>
        </c:ser>
        <c:ser>
          <c:idx val="3"/>
          <c:order val="3"/>
          <c:tx>
            <c:strRef>
              <c:f>'5) Histograms'!$M$46</c:f>
              <c:strCache>
                <c:ptCount val="1"/>
                <c:pt idx="0">
                  <c:v>Mean exp 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Histograms'!$C$47:$C$55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Histograms'!$M$47:$M$55</c:f>
              <c:numCache>
                <c:formatCode>0</c:formatCode>
                <c:ptCount val="9"/>
                <c:pt idx="1">
                  <c:v>25.029414440292175</c:v>
                </c:pt>
                <c:pt idx="2">
                  <c:v>52.658610966999753</c:v>
                </c:pt>
                <c:pt idx="3">
                  <c:v>110.92616873337097</c:v>
                </c:pt>
                <c:pt idx="4">
                  <c:v>113.54708982979963</c:v>
                </c:pt>
                <c:pt idx="5">
                  <c:v>100.83927006888734</c:v>
                </c:pt>
                <c:pt idx="6">
                  <c:v>113.71506106783563</c:v>
                </c:pt>
                <c:pt idx="7">
                  <c:v>109.07371216914113</c:v>
                </c:pt>
                <c:pt idx="8">
                  <c:v>95.454030220504862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D47-4147-AF10-1EFC407056A6}"/>
            </c:ext>
          </c:extLst>
        </c:ser>
        <c:ser>
          <c:idx val="4"/>
          <c:order val="4"/>
          <c:tx>
            <c:strRef>
              <c:f>'5) Histograms'!$P$46</c:f>
              <c:strCache>
                <c:ptCount val="1"/>
                <c:pt idx="0">
                  <c:v>Mean all exp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Lit>
                <c:ptCount val="0"/>
              </c:numLit>
            </c:plus>
            <c:minus>
              <c:numLit>
                <c:ptCount val="0"/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Histograms'!$C$47:$C$55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Histograms'!$P$47:$P$55</c:f>
              <c:numCache>
                <c:formatCode>0</c:formatCode>
                <c:ptCount val="9"/>
                <c:pt idx="0">
                  <c:v>33.696186692181278</c:v>
                </c:pt>
                <c:pt idx="1">
                  <c:v>48.17789080231271</c:v>
                </c:pt>
                <c:pt idx="2">
                  <c:v>68.836329034509788</c:v>
                </c:pt>
                <c:pt idx="3">
                  <c:v>90.080480107198269</c:v>
                </c:pt>
                <c:pt idx="4">
                  <c:v>96.563496719178374</c:v>
                </c:pt>
                <c:pt idx="5">
                  <c:v>98.687670907663104</c:v>
                </c:pt>
                <c:pt idx="6">
                  <c:v>107.29410537431988</c:v>
                </c:pt>
                <c:pt idx="7">
                  <c:v>106.25259397019568</c:v>
                </c:pt>
                <c:pt idx="8">
                  <c:v>101.91019272644212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D47-4147-AF10-1EFC40705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175339424"/>
        <c:axId val="-1041837312"/>
      </c:barChart>
      <c:catAx>
        <c:axId val="-1175339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Concentration (µg.mL</a:t>
                </a:r>
                <a:r>
                  <a:rPr lang="en-US" sz="1000" b="0" i="0" baseline="30000">
                    <a:effectLst/>
                  </a:rPr>
                  <a:t>-1</a:t>
                </a:r>
                <a:r>
                  <a:rPr lang="en-US" sz="1000" b="0" i="0" baseline="0">
                    <a:effectLst/>
                  </a:rPr>
                  <a:t>)</a:t>
                </a:r>
                <a:endParaRPr lang="fr-FR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041837312"/>
        <c:crosses val="autoZero"/>
        <c:auto val="1"/>
        <c:lblAlgn val="ctr"/>
        <c:lblOffset val="100"/>
        <c:noMultiLvlLbl val="0"/>
      </c:catAx>
      <c:valAx>
        <c:axId val="-104183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0" i="0" baseline="0">
                    <a:effectLst/>
                  </a:rPr>
                  <a:t>Normalized viability (% of control)</a:t>
                </a:r>
                <a:endParaRPr lang="fr-FR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7533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35510445587362"/>
          <c:y val="8.8262867434825767E-2"/>
          <c:w val="0.26048882617996449"/>
          <c:h val="0.249015204460389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Ag@ (n=3)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'5) Histograms'!$D$6</c:f>
              <c:strCache>
                <c:ptCount val="1"/>
                <c:pt idx="0">
                  <c:v>Mean exp 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'5) Histograms'!$C$7:$C$15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Histograms'!$D$7:$D$15</c:f>
              <c:numCache>
                <c:formatCode>0</c:formatCode>
                <c:ptCount val="9"/>
                <c:pt idx="1">
                  <c:v>8.5100588426868846</c:v>
                </c:pt>
                <c:pt idx="2">
                  <c:v>13.563888620872509</c:v>
                </c:pt>
                <c:pt idx="3">
                  <c:v>22.026081901347151</c:v>
                </c:pt>
                <c:pt idx="4">
                  <c:v>61.562417154827521</c:v>
                </c:pt>
                <c:pt idx="5">
                  <c:v>76.58039371167456</c:v>
                </c:pt>
                <c:pt idx="6">
                  <c:v>107.64902946684732</c:v>
                </c:pt>
                <c:pt idx="7">
                  <c:v>97.755730335216228</c:v>
                </c:pt>
                <c:pt idx="8">
                  <c:v>89.370576040066041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46-463A-A412-71D227EC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03086176"/>
        <c:axId val="-903074208"/>
      </c:barChart>
      <c:catAx>
        <c:axId val="-90308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Cxoncentration (µg.mL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3074208"/>
        <c:crosses val="autoZero"/>
        <c:auto val="1"/>
        <c:lblAlgn val="ctr"/>
        <c:lblOffset val="100"/>
        <c:noMultiLvlLbl val="0"/>
      </c:catAx>
      <c:valAx>
        <c:axId val="-90307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Normalized viability (% of control)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308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Ag@CN (n=12)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165384673736593"/>
          <c:y val="0.14545098039215687"/>
          <c:w val="0.76595694324336627"/>
          <c:h val="0.65309803921568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'5) Histograms'!$D$33</c:f>
              <c:strCache>
                <c:ptCount val="1"/>
                <c:pt idx="0">
                  <c:v>Mean exp 1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Histograms'!$E$34:$E$42</c:f>
                <c:numCache>
                  <c:formatCode>General</c:formatCode>
                  <c:ptCount val="9"/>
                  <c:pt idx="0">
                    <c:v>5.8122236453167115</c:v>
                  </c:pt>
                  <c:pt idx="1">
                    <c:v>4.0513107613873691</c:v>
                  </c:pt>
                  <c:pt idx="2">
                    <c:v>3.8551128435280755</c:v>
                  </c:pt>
                  <c:pt idx="3">
                    <c:v>3.2866031061731418</c:v>
                  </c:pt>
                  <c:pt idx="4">
                    <c:v>1.9178575408327125</c:v>
                  </c:pt>
                  <c:pt idx="5">
                    <c:v>5.8750586388348811</c:v>
                  </c:pt>
                  <c:pt idx="6">
                    <c:v>4.741967939924586</c:v>
                  </c:pt>
                  <c:pt idx="7">
                    <c:v>0.53965987346689148</c:v>
                  </c:pt>
                  <c:pt idx="8">
                    <c:v>3.9397013126695302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Histograms'!$C$34:$C$42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>
                  <c:v>1.25</c:v>
                </c:pt>
                <c:pt idx="6">
                  <c:v>0.625</c:v>
                </c:pt>
                <c:pt idx="7">
                  <c:v>0.3125</c:v>
                </c:pt>
                <c:pt idx="8">
                  <c:v>0.15625</c:v>
                </c:pt>
              </c:numCache>
            </c:numRef>
          </c:cat>
          <c:val>
            <c:numRef>
              <c:f>'5) Histograms'!$D$34:$D$42</c:f>
              <c:numCache>
                <c:formatCode>0</c:formatCode>
                <c:ptCount val="9"/>
                <c:pt idx="0">
                  <c:v>11.859256767926054</c:v>
                </c:pt>
                <c:pt idx="1">
                  <c:v>55.385995790117335</c:v>
                </c:pt>
                <c:pt idx="2">
                  <c:v>69.807953043637156</c:v>
                </c:pt>
                <c:pt idx="3">
                  <c:v>74.496711126402943</c:v>
                </c:pt>
                <c:pt idx="4">
                  <c:v>79.130308619753919</c:v>
                </c:pt>
                <c:pt idx="5">
                  <c:v>94.320039955231877</c:v>
                </c:pt>
                <c:pt idx="6">
                  <c:v>96.614989294493668</c:v>
                </c:pt>
                <c:pt idx="7">
                  <c:v>95.708328398639409</c:v>
                </c:pt>
                <c:pt idx="8">
                  <c:v>102.17781034397522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3C-4B80-9721-D0D1797920F6}"/>
            </c:ext>
          </c:extLst>
        </c:ser>
        <c:ser>
          <c:idx val="1"/>
          <c:order val="1"/>
          <c:tx>
            <c:strRef>
              <c:f>'5) Histograms'!$G$33</c:f>
              <c:strCache>
                <c:ptCount val="1"/>
                <c:pt idx="0">
                  <c:v>Mean exp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Histograms'!$H$34:$H$42</c:f>
                <c:numCache>
                  <c:formatCode>General</c:formatCode>
                  <c:ptCount val="9"/>
                  <c:pt idx="0">
                    <c:v>6.7912011903648359</c:v>
                  </c:pt>
                  <c:pt idx="1">
                    <c:v>5.6556048172148383</c:v>
                  </c:pt>
                  <c:pt idx="2">
                    <c:v>1.7071975375554986</c:v>
                  </c:pt>
                  <c:pt idx="3">
                    <c:v>7.3365157731555239</c:v>
                  </c:pt>
                  <c:pt idx="4">
                    <c:v>11.812350484371718</c:v>
                  </c:pt>
                  <c:pt idx="5">
                    <c:v>7.0198578465345793</c:v>
                  </c:pt>
                  <c:pt idx="6">
                    <c:v>4.6076828460943604</c:v>
                  </c:pt>
                  <c:pt idx="7">
                    <c:v>3.7683893261776191</c:v>
                  </c:pt>
                  <c:pt idx="8">
                    <c:v>9.7112096463378421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Histograms'!$C$34:$C$42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>
                  <c:v>1.25</c:v>
                </c:pt>
                <c:pt idx="6">
                  <c:v>0.625</c:v>
                </c:pt>
                <c:pt idx="7">
                  <c:v>0.3125</c:v>
                </c:pt>
                <c:pt idx="8">
                  <c:v>0.15625</c:v>
                </c:pt>
              </c:numCache>
            </c:numRef>
          </c:cat>
          <c:val>
            <c:numRef>
              <c:f>'5) Histograms'!$G$34:$G$42</c:f>
              <c:numCache>
                <c:formatCode>0</c:formatCode>
                <c:ptCount val="9"/>
                <c:pt idx="0">
                  <c:v>50.503116980271045</c:v>
                </c:pt>
                <c:pt idx="1">
                  <c:v>49.404181439652596</c:v>
                </c:pt>
                <c:pt idx="2">
                  <c:v>56.126510909046736</c:v>
                </c:pt>
                <c:pt idx="3">
                  <c:v>58.60214829617275</c:v>
                </c:pt>
                <c:pt idx="4">
                  <c:v>81.425295295406258</c:v>
                </c:pt>
                <c:pt idx="5">
                  <c:v>98.931370682293121</c:v>
                </c:pt>
                <c:pt idx="6">
                  <c:v>93.660770846173804</c:v>
                </c:pt>
                <c:pt idx="7">
                  <c:v>116.3939646137632</c:v>
                </c:pt>
                <c:pt idx="8">
                  <c:v>107.42570965675465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3C-4B80-9721-D0D1797920F6}"/>
            </c:ext>
          </c:extLst>
        </c:ser>
        <c:ser>
          <c:idx val="2"/>
          <c:order val="2"/>
          <c:tx>
            <c:strRef>
              <c:f>'5) Histograms'!$J$33</c:f>
              <c:strCache>
                <c:ptCount val="1"/>
                <c:pt idx="0">
                  <c:v>Mean exp 3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Histograms'!$K$34:$K$42</c:f>
                <c:numCache>
                  <c:formatCode>General</c:formatCode>
                  <c:ptCount val="9"/>
                  <c:pt idx="0">
                    <c:v>0.8625429197267066</c:v>
                  </c:pt>
                  <c:pt idx="1">
                    <c:v>4.2238905214714642</c:v>
                  </c:pt>
                  <c:pt idx="2">
                    <c:v>4.3157488119128278</c:v>
                  </c:pt>
                  <c:pt idx="3">
                    <c:v>3.0181420183707877</c:v>
                  </c:pt>
                  <c:pt idx="4">
                    <c:v>4.1904525610320293</c:v>
                  </c:pt>
                  <c:pt idx="5">
                    <c:v>2.9428844403508214</c:v>
                  </c:pt>
                  <c:pt idx="6">
                    <c:v>5.8970198126762714</c:v>
                  </c:pt>
                  <c:pt idx="7">
                    <c:v>14.160767124166078</c:v>
                  </c:pt>
                  <c:pt idx="8">
                    <c:v>8.0897132677188264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Histograms'!$C$34:$C$42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>
                  <c:v>1.25</c:v>
                </c:pt>
                <c:pt idx="6">
                  <c:v>0.625</c:v>
                </c:pt>
                <c:pt idx="7">
                  <c:v>0.3125</c:v>
                </c:pt>
                <c:pt idx="8">
                  <c:v>0.15625</c:v>
                </c:pt>
              </c:numCache>
            </c:numRef>
          </c:cat>
          <c:val>
            <c:numRef>
              <c:f>'5) Histograms'!$J$34:$J$42</c:f>
              <c:numCache>
                <c:formatCode>0</c:formatCode>
                <c:ptCount val="9"/>
                <c:pt idx="0">
                  <c:v>4.4720810433577149</c:v>
                </c:pt>
                <c:pt idx="1">
                  <c:v>40.705437770837072</c:v>
                </c:pt>
                <c:pt idx="2">
                  <c:v>44.349765417483241</c:v>
                </c:pt>
                <c:pt idx="3">
                  <c:v>68.102497717439064</c:v>
                </c:pt>
                <c:pt idx="4">
                  <c:v>97.371066102622493</c:v>
                </c:pt>
                <c:pt idx="5">
                  <c:v>107.11461170496466</c:v>
                </c:pt>
                <c:pt idx="6">
                  <c:v>114.71112845589657</c:v>
                </c:pt>
                <c:pt idx="7">
                  <c:v>114.11357640103945</c:v>
                </c:pt>
                <c:pt idx="8">
                  <c:v>101.6080860472988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F3C-4B80-9721-D0D1797920F6}"/>
            </c:ext>
          </c:extLst>
        </c:ser>
        <c:ser>
          <c:idx val="3"/>
          <c:order val="3"/>
          <c:tx>
            <c:strRef>
              <c:f>'5) Histograms'!$M$33</c:f>
              <c:strCache>
                <c:ptCount val="1"/>
                <c:pt idx="0">
                  <c:v>Mean exp 4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Histograms'!$N$35:$N$42</c:f>
                <c:numCache>
                  <c:formatCode>General</c:formatCode>
                  <c:ptCount val="8"/>
                  <c:pt idx="0">
                    <c:v>15.239807347231782</c:v>
                  </c:pt>
                  <c:pt idx="1">
                    <c:v>16.048186976058645</c:v>
                  </c:pt>
                  <c:pt idx="2">
                    <c:v>6.7879048442964613</c:v>
                  </c:pt>
                  <c:pt idx="3">
                    <c:v>61.735057107368299</c:v>
                  </c:pt>
                  <c:pt idx="4">
                    <c:v>17.201786922755648</c:v>
                  </c:pt>
                  <c:pt idx="5">
                    <c:v>26.842167196487736</c:v>
                  </c:pt>
                  <c:pt idx="6">
                    <c:v>10.952397602200218</c:v>
                  </c:pt>
                  <c:pt idx="7">
                    <c:v>17.221119473074616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Histograms'!$C$34:$C$42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>
                  <c:v>1.25</c:v>
                </c:pt>
                <c:pt idx="6">
                  <c:v>0.625</c:v>
                </c:pt>
                <c:pt idx="7">
                  <c:v>0.3125</c:v>
                </c:pt>
                <c:pt idx="8">
                  <c:v>0.15625</c:v>
                </c:pt>
              </c:numCache>
            </c:numRef>
          </c:cat>
          <c:val>
            <c:numRef>
              <c:f>'5) Histograms'!$M$34:$M$42</c:f>
              <c:numCache>
                <c:formatCode>0</c:formatCode>
                <c:ptCount val="9"/>
                <c:pt idx="1">
                  <c:v>47.293467532789748</c:v>
                </c:pt>
                <c:pt idx="2">
                  <c:v>96.525424916007026</c:v>
                </c:pt>
                <c:pt idx="3">
                  <c:v>94.862792525688846</c:v>
                </c:pt>
                <c:pt idx="4">
                  <c:v>114.35228309157259</c:v>
                </c:pt>
                <c:pt idx="5">
                  <c:v>95.824696383841754</c:v>
                </c:pt>
                <c:pt idx="6">
                  <c:v>108.45153133821573</c:v>
                </c:pt>
                <c:pt idx="7">
                  <c:v>105.08044762777148</c:v>
                </c:pt>
                <c:pt idx="8">
                  <c:v>95.983547042215108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F3C-4B80-9721-D0D1797920F6}"/>
            </c:ext>
          </c:extLst>
        </c:ser>
        <c:ser>
          <c:idx val="4"/>
          <c:order val="4"/>
          <c:tx>
            <c:strRef>
              <c:f>'5) Histograms'!$P$33</c:f>
              <c:strCache>
                <c:ptCount val="1"/>
                <c:pt idx="0">
                  <c:v>Mean all exp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Histograms'!$Q$34:$Q$42</c:f>
                <c:numCache>
                  <c:formatCode>General</c:formatCode>
                  <c:ptCount val="9"/>
                  <c:pt idx="0">
                    <c:v>21.874834976295944</c:v>
                  </c:pt>
                  <c:pt idx="1">
                    <c:v>11.588048718308281</c:v>
                  </c:pt>
                  <c:pt idx="2">
                    <c:v>11.438952765746642</c:v>
                  </c:pt>
                  <c:pt idx="3">
                    <c:v>8.1490071606171561</c:v>
                  </c:pt>
                  <c:pt idx="4">
                    <c:v>10.687604925708195</c:v>
                  </c:pt>
                  <c:pt idx="5">
                    <c:v>7.3895318273356727</c:v>
                  </c:pt>
                  <c:pt idx="6">
                    <c:v>10.818380784200031</c:v>
                  </c:pt>
                  <c:pt idx="7">
                    <c:v>12.257077052309912</c:v>
                  </c:pt>
                  <c:pt idx="8">
                    <c:v>7.1785651194785691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Histograms'!$C$34:$C$42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>
                  <c:v>1.25</c:v>
                </c:pt>
                <c:pt idx="6">
                  <c:v>0.625</c:v>
                </c:pt>
                <c:pt idx="7">
                  <c:v>0.3125</c:v>
                </c:pt>
                <c:pt idx="8">
                  <c:v>0.15625</c:v>
                </c:pt>
              </c:numCache>
            </c:numRef>
          </c:cat>
          <c:val>
            <c:numRef>
              <c:f>'5) Histograms'!$P$34:$P$42</c:f>
              <c:numCache>
                <c:formatCode>0</c:formatCode>
                <c:ptCount val="9"/>
                <c:pt idx="0">
                  <c:v>20.050336437466445</c:v>
                </c:pt>
                <c:pt idx="1">
                  <c:v>52.119467907173508</c:v>
                </c:pt>
                <c:pt idx="2">
                  <c:v>51.085268811050142</c:v>
                </c:pt>
                <c:pt idx="3">
                  <c:v>60.360407142004433</c:v>
                </c:pt>
                <c:pt idx="4">
                  <c:v>77.378001005334795</c:v>
                </c:pt>
                <c:pt idx="5">
                  <c:v>90.109806702746894</c:v>
                </c:pt>
                <c:pt idx="6">
                  <c:v>91.496066578969206</c:v>
                </c:pt>
                <c:pt idx="7">
                  <c:v>97.864760824032629</c:v>
                </c:pt>
                <c:pt idx="8">
                  <c:v>93.363481814408601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3C-4B80-9721-D0D179792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03073664"/>
        <c:axId val="-903076384"/>
      </c:barChart>
      <c:catAx>
        <c:axId val="-903073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(µg.mL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3076384"/>
        <c:crosses val="autoZero"/>
        <c:auto val="1"/>
        <c:lblAlgn val="ctr"/>
        <c:lblOffset val="100"/>
        <c:noMultiLvlLbl val="0"/>
      </c:catAx>
      <c:valAx>
        <c:axId val="-90307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Normalized viability (% of control)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307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47168236918364"/>
          <c:y val="0.12843044619422575"/>
          <c:w val="0.29736106686086206"/>
          <c:h val="0.208824455766558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Ag@NO2 (n=12)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32318326345549"/>
          <c:y val="0.14502443792766373"/>
          <c:w val="0.7614760379474157"/>
          <c:h val="0.61501466275659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'5) Histograms'!$D$46</c:f>
              <c:strCache>
                <c:ptCount val="1"/>
                <c:pt idx="0">
                  <c:v>Mean exp 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Histograms'!$E$47:$E$55</c:f>
                <c:numCache>
                  <c:formatCode>General</c:formatCode>
                  <c:ptCount val="9"/>
                  <c:pt idx="0">
                    <c:v>4.685474320277506</c:v>
                  </c:pt>
                  <c:pt idx="1">
                    <c:v>0.85856434950237148</c:v>
                  </c:pt>
                  <c:pt idx="2">
                    <c:v>4.5152689085247335</c:v>
                  </c:pt>
                  <c:pt idx="3">
                    <c:v>8.0936121101058323</c:v>
                  </c:pt>
                  <c:pt idx="4">
                    <c:v>7.2263379229458389</c:v>
                  </c:pt>
                  <c:pt idx="5">
                    <c:v>5.5172141587497556</c:v>
                  </c:pt>
                  <c:pt idx="6">
                    <c:v>10.051410880179672</c:v>
                  </c:pt>
                  <c:pt idx="7">
                    <c:v>4.9694322463845282</c:v>
                  </c:pt>
                  <c:pt idx="8">
                    <c:v>7.349896232158371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Histograms'!$C$47:$C$55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Histograms'!$D$47:$D$55</c:f>
              <c:numCache>
                <c:formatCode>0</c:formatCode>
                <c:ptCount val="9"/>
                <c:pt idx="0">
                  <c:v>53.744757751658881</c:v>
                </c:pt>
                <c:pt idx="1">
                  <c:v>68.773423695659801</c:v>
                </c:pt>
                <c:pt idx="2">
                  <c:v>84.995067026444204</c:v>
                </c:pt>
                <c:pt idx="3">
                  <c:v>89.51704344644395</c:v>
                </c:pt>
                <c:pt idx="4">
                  <c:v>78.380768210979127</c:v>
                </c:pt>
                <c:pt idx="5">
                  <c:v>89.91023243691761</c:v>
                </c:pt>
                <c:pt idx="6">
                  <c:v>88.442528892184342</c:v>
                </c:pt>
                <c:pt idx="7">
                  <c:v>88.717464672727871</c:v>
                </c:pt>
                <c:pt idx="8">
                  <c:v>90.433059425029342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8F-42C5-BB6B-0C5D86DC4670}"/>
            </c:ext>
          </c:extLst>
        </c:ser>
        <c:ser>
          <c:idx val="1"/>
          <c:order val="1"/>
          <c:tx>
            <c:strRef>
              <c:f>'5) Histograms'!$G$46</c:f>
              <c:strCache>
                <c:ptCount val="1"/>
                <c:pt idx="0">
                  <c:v>Mean exp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Histograms'!$H$47:$H$55</c:f>
                <c:numCache>
                  <c:formatCode>General</c:formatCode>
                  <c:ptCount val="9"/>
                  <c:pt idx="0">
                    <c:v>3.0331693998466154</c:v>
                  </c:pt>
                  <c:pt idx="1">
                    <c:v>8.5362873751542701</c:v>
                  </c:pt>
                  <c:pt idx="2">
                    <c:v>9.4384782032245198</c:v>
                  </c:pt>
                  <c:pt idx="3">
                    <c:v>10.998802239684085</c:v>
                  </c:pt>
                  <c:pt idx="4">
                    <c:v>12.435858584781533</c:v>
                  </c:pt>
                  <c:pt idx="5">
                    <c:v>12.71527748560786</c:v>
                  </c:pt>
                  <c:pt idx="6">
                    <c:v>7.8627352619372743</c:v>
                  </c:pt>
                  <c:pt idx="7">
                    <c:v>10.777393544773728</c:v>
                  </c:pt>
                  <c:pt idx="8">
                    <c:v>9.4302617645413189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Histograms'!$C$47:$C$55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Histograms'!$G$47:$G$55</c:f>
              <c:numCache>
                <c:formatCode>0</c:formatCode>
                <c:ptCount val="9"/>
                <c:pt idx="0">
                  <c:v>85.07683495475969</c:v>
                </c:pt>
                <c:pt idx="1">
                  <c:v>80.097815119387704</c:v>
                </c:pt>
                <c:pt idx="2">
                  <c:v>73.658615839599307</c:v>
                </c:pt>
                <c:pt idx="3">
                  <c:v>94.907393089992539</c:v>
                </c:pt>
                <c:pt idx="4">
                  <c:v>107.97360973772898</c:v>
                </c:pt>
                <c:pt idx="5">
                  <c:v>112.95287366534937</c:v>
                </c:pt>
                <c:pt idx="6">
                  <c:v>117.80922406953562</c:v>
                </c:pt>
                <c:pt idx="7">
                  <c:v>111.42609408683911</c:v>
                </c:pt>
                <c:pt idx="8">
                  <c:v>124.18062018914883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8F-42C5-BB6B-0C5D86DC4670}"/>
            </c:ext>
          </c:extLst>
        </c:ser>
        <c:ser>
          <c:idx val="2"/>
          <c:order val="2"/>
          <c:tx>
            <c:strRef>
              <c:f>'5) Histograms'!$J$46</c:f>
              <c:strCache>
                <c:ptCount val="1"/>
                <c:pt idx="0">
                  <c:v>Mean exp 3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Histograms'!$K$47:$K$55</c:f>
                <c:numCache>
                  <c:formatCode>General</c:formatCode>
                  <c:ptCount val="9"/>
                  <c:pt idx="0">
                    <c:v>13.374180493352341</c:v>
                  </c:pt>
                  <c:pt idx="1">
                    <c:v>6.1751431826259395</c:v>
                  </c:pt>
                  <c:pt idx="2">
                    <c:v>10.26057254538523</c:v>
                  </c:pt>
                  <c:pt idx="3">
                    <c:v>12.74158168757879</c:v>
                  </c:pt>
                  <c:pt idx="4">
                    <c:v>6.2319360742247349</c:v>
                  </c:pt>
                  <c:pt idx="5">
                    <c:v>2.502417043268407</c:v>
                  </c:pt>
                  <c:pt idx="6">
                    <c:v>7.3907143183727193</c:v>
                  </c:pt>
                  <c:pt idx="7">
                    <c:v>7.1666439048248849</c:v>
                  </c:pt>
                  <c:pt idx="8">
                    <c:v>6.7898681782368255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Histograms'!$C$47:$C$55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Histograms'!$J$47:$J$55</c:f>
              <c:numCache>
                <c:formatCode>0</c:formatCode>
                <c:ptCount val="9"/>
                <c:pt idx="0">
                  <c:v>24.879677863430775</c:v>
                </c:pt>
                <c:pt idx="1">
                  <c:v>36.908772422895652</c:v>
                </c:pt>
                <c:pt idx="2">
                  <c:v>52.716680114020583</c:v>
                </c:pt>
                <c:pt idx="3">
                  <c:v>48.774161743154529</c:v>
                </c:pt>
                <c:pt idx="4">
                  <c:v>76.518814857712428</c:v>
                </c:pt>
                <c:pt idx="5">
                  <c:v>85.135178802147934</c:v>
                </c:pt>
                <c:pt idx="6">
                  <c:v>98.466825372676738</c:v>
                </c:pt>
                <c:pt idx="7">
                  <c:v>100.09785770065503</c:v>
                </c:pt>
                <c:pt idx="8">
                  <c:v>100.11668200130764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98F-42C5-BB6B-0C5D86DC4670}"/>
            </c:ext>
          </c:extLst>
        </c:ser>
        <c:ser>
          <c:idx val="3"/>
          <c:order val="3"/>
          <c:tx>
            <c:strRef>
              <c:f>'5) Histograms'!$M$46</c:f>
              <c:strCache>
                <c:ptCount val="1"/>
                <c:pt idx="0">
                  <c:v>Mean exp 4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Histograms'!$N$47:$N$55</c:f>
                <c:numCache>
                  <c:formatCode>General</c:formatCode>
                  <c:ptCount val="9"/>
                  <c:pt idx="1">
                    <c:v>25.497128853357452</c:v>
                  </c:pt>
                  <c:pt idx="2">
                    <c:v>51.32945393318257</c:v>
                  </c:pt>
                  <c:pt idx="3">
                    <c:v>4.7302557888000081</c:v>
                  </c:pt>
                  <c:pt idx="4">
                    <c:v>14.594358097934348</c:v>
                  </c:pt>
                  <c:pt idx="5">
                    <c:v>21.501307946175878</c:v>
                  </c:pt>
                  <c:pt idx="6">
                    <c:v>16.270770747291181</c:v>
                  </c:pt>
                  <c:pt idx="7">
                    <c:v>13.172907071949314</c:v>
                  </c:pt>
                  <c:pt idx="8">
                    <c:v>11.725589135053733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Histograms'!$C$47:$C$55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Histograms'!$M$47:$M$55</c:f>
              <c:numCache>
                <c:formatCode>0</c:formatCode>
                <c:ptCount val="9"/>
                <c:pt idx="1">
                  <c:v>25.029414440292175</c:v>
                </c:pt>
                <c:pt idx="2">
                  <c:v>52.658610966999753</c:v>
                </c:pt>
                <c:pt idx="3">
                  <c:v>110.92616873337097</c:v>
                </c:pt>
                <c:pt idx="4">
                  <c:v>113.54708982979963</c:v>
                </c:pt>
                <c:pt idx="5">
                  <c:v>100.83927006888734</c:v>
                </c:pt>
                <c:pt idx="6">
                  <c:v>113.71506106783563</c:v>
                </c:pt>
                <c:pt idx="7">
                  <c:v>109.07371216914113</c:v>
                </c:pt>
                <c:pt idx="8">
                  <c:v>95.454030220504862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8F-42C5-BB6B-0C5D86DC4670}"/>
            </c:ext>
          </c:extLst>
        </c:ser>
        <c:ser>
          <c:idx val="4"/>
          <c:order val="4"/>
          <c:tx>
            <c:strRef>
              <c:f>'5) Histograms'!$P$46</c:f>
              <c:strCache>
                <c:ptCount val="1"/>
                <c:pt idx="0">
                  <c:v>Mean all exp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Histograms'!$Q$47:$Q$55</c:f>
                <c:numCache>
                  <c:formatCode>General</c:formatCode>
                  <c:ptCount val="9"/>
                  <c:pt idx="0">
                    <c:v>18.173794333491184</c:v>
                  </c:pt>
                  <c:pt idx="1">
                    <c:v>20.97489908294493</c:v>
                  </c:pt>
                  <c:pt idx="2">
                    <c:v>19.048230348528371</c:v>
                  </c:pt>
                  <c:pt idx="3">
                    <c:v>24.272134376739665</c:v>
                  </c:pt>
                  <c:pt idx="4">
                    <c:v>6.1206908017685251</c:v>
                  </c:pt>
                  <c:pt idx="5">
                    <c:v>4.6390773239145018</c:v>
                  </c:pt>
                  <c:pt idx="6">
                    <c:v>9.612874882460563</c:v>
                  </c:pt>
                  <c:pt idx="7">
                    <c:v>8.3232457806444717</c:v>
                  </c:pt>
                  <c:pt idx="8">
                    <c:v>8.2571833975317208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Histograms'!$C$47:$C$55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Histograms'!$P$47:$P$55</c:f>
              <c:numCache>
                <c:formatCode>0</c:formatCode>
                <c:ptCount val="9"/>
                <c:pt idx="0">
                  <c:v>33.696186692181278</c:v>
                </c:pt>
                <c:pt idx="1">
                  <c:v>48.17789080231271</c:v>
                </c:pt>
                <c:pt idx="2">
                  <c:v>68.836329034509788</c:v>
                </c:pt>
                <c:pt idx="3">
                  <c:v>90.080480107198269</c:v>
                </c:pt>
                <c:pt idx="4">
                  <c:v>96.563496719178374</c:v>
                </c:pt>
                <c:pt idx="5">
                  <c:v>98.687670907663104</c:v>
                </c:pt>
                <c:pt idx="6">
                  <c:v>107.29410537431988</c:v>
                </c:pt>
                <c:pt idx="7">
                  <c:v>106.25259397019568</c:v>
                </c:pt>
                <c:pt idx="8">
                  <c:v>101.91019272644212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8F-42C5-BB6B-0C5D86DC4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03075840"/>
        <c:axId val="-903072576"/>
      </c:barChart>
      <c:catAx>
        <c:axId val="-90307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Concentration (µg.mL</a:t>
                </a:r>
                <a:r>
                  <a:rPr lang="fr-FR" baseline="30000"/>
                  <a:t>-1</a:t>
                </a:r>
                <a:r>
                  <a:rPr lang="fr-FR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3072576"/>
        <c:crosses val="autoZero"/>
        <c:auto val="1"/>
        <c:lblAlgn val="ctr"/>
        <c:lblOffset val="100"/>
        <c:noMultiLvlLbl val="0"/>
      </c:catAx>
      <c:valAx>
        <c:axId val="-903072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Normalized</a:t>
                </a:r>
                <a:r>
                  <a:rPr lang="fr-FR" baseline="0"/>
                  <a:t> viability (%of control)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307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941546903305093"/>
          <c:y val="0.14271657391799636"/>
          <c:w val="0.27949017514715163"/>
          <c:h val="0.24340268316900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Ag@CN@NO2@CCH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32318326345549"/>
          <c:y val="0.14417881438289601"/>
          <c:w val="0.7614760379474157"/>
          <c:h val="0.657590352226379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'5) Histograms'!$D$59</c:f>
              <c:strCache>
                <c:ptCount val="1"/>
                <c:pt idx="0">
                  <c:v>Mean exp 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Histograms'!$E$60:$E$68</c:f>
                <c:numCache>
                  <c:formatCode>General</c:formatCode>
                  <c:ptCount val="9"/>
                  <c:pt idx="0">
                    <c:v>4.0755220235110272</c:v>
                  </c:pt>
                  <c:pt idx="1">
                    <c:v>9.217510318554913</c:v>
                  </c:pt>
                  <c:pt idx="2">
                    <c:v>1.9462666238152513</c:v>
                  </c:pt>
                  <c:pt idx="3">
                    <c:v>5.6366230110756881</c:v>
                  </c:pt>
                  <c:pt idx="4">
                    <c:v>3.2045431013871108</c:v>
                  </c:pt>
                  <c:pt idx="5">
                    <c:v>9.9595414059166085</c:v>
                  </c:pt>
                  <c:pt idx="6">
                    <c:v>3.5306595307466284</c:v>
                  </c:pt>
                  <c:pt idx="7">
                    <c:v>6.9880877977966298</c:v>
                  </c:pt>
                  <c:pt idx="8">
                    <c:v>10.74742758378442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Histograms'!$C$60:$C$68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Histograms'!$D$60:$D$68</c:f>
              <c:numCache>
                <c:formatCode>0</c:formatCode>
                <c:ptCount val="9"/>
                <c:pt idx="0">
                  <c:v>64.956563374644844</c:v>
                </c:pt>
                <c:pt idx="1">
                  <c:v>81.985851061431063</c:v>
                </c:pt>
                <c:pt idx="2">
                  <c:v>98.41134313254878</c:v>
                </c:pt>
                <c:pt idx="3">
                  <c:v>102.64091015393164</c:v>
                </c:pt>
                <c:pt idx="4">
                  <c:v>80.259399379352033</c:v>
                </c:pt>
                <c:pt idx="5">
                  <c:v>99.397926982433447</c:v>
                </c:pt>
                <c:pt idx="6">
                  <c:v>103.29599922354923</c:v>
                </c:pt>
                <c:pt idx="7">
                  <c:v>113.12137078665647</c:v>
                </c:pt>
                <c:pt idx="8">
                  <c:v>100.62341976605076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E0-4871-AC6D-F3125D800917}"/>
            </c:ext>
          </c:extLst>
        </c:ser>
        <c:ser>
          <c:idx val="1"/>
          <c:order val="1"/>
          <c:tx>
            <c:strRef>
              <c:f>'5) Histograms'!$G$59</c:f>
              <c:strCache>
                <c:ptCount val="1"/>
                <c:pt idx="0">
                  <c:v>Mean exp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Histograms'!$H$60:$H$68</c:f>
                <c:numCache>
                  <c:formatCode>General</c:formatCode>
                  <c:ptCount val="9"/>
                  <c:pt idx="0">
                    <c:v>9.4050459499418633</c:v>
                  </c:pt>
                  <c:pt idx="1">
                    <c:v>5.89812353149527</c:v>
                  </c:pt>
                  <c:pt idx="2">
                    <c:v>4.4424863190506629</c:v>
                  </c:pt>
                  <c:pt idx="3">
                    <c:v>8.5348167650017555</c:v>
                  </c:pt>
                  <c:pt idx="4">
                    <c:v>9.2021433050054089</c:v>
                  </c:pt>
                  <c:pt idx="5">
                    <c:v>7.7014890556599491</c:v>
                  </c:pt>
                  <c:pt idx="6">
                    <c:v>5.4048570544887733</c:v>
                  </c:pt>
                  <c:pt idx="7">
                    <c:v>7.381346298869385</c:v>
                  </c:pt>
                  <c:pt idx="8">
                    <c:v>21.26632647356535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Histograms'!$C$60:$C$68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Histograms'!$G$60:$G$68</c:f>
              <c:numCache>
                <c:formatCode>0</c:formatCode>
                <c:ptCount val="9"/>
                <c:pt idx="0">
                  <c:v>50.083346333424949</c:v>
                </c:pt>
                <c:pt idx="1">
                  <c:v>52.577667265738789</c:v>
                </c:pt>
                <c:pt idx="2">
                  <c:v>42.046599247951782</c:v>
                </c:pt>
                <c:pt idx="3">
                  <c:v>59.819160716264292</c:v>
                </c:pt>
                <c:pt idx="4">
                  <c:v>72.245480817269666</c:v>
                </c:pt>
                <c:pt idx="5">
                  <c:v>64.974953465556368</c:v>
                </c:pt>
                <c:pt idx="6">
                  <c:v>60.132943480962943</c:v>
                </c:pt>
                <c:pt idx="7">
                  <c:v>60.346094857473226</c:v>
                </c:pt>
                <c:pt idx="8">
                  <c:v>68.782151798266824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E0-4871-AC6D-F3125D800917}"/>
            </c:ext>
          </c:extLst>
        </c:ser>
        <c:ser>
          <c:idx val="2"/>
          <c:order val="2"/>
          <c:tx>
            <c:strRef>
              <c:f>'5) Histograms'!$J$59</c:f>
              <c:strCache>
                <c:ptCount val="1"/>
                <c:pt idx="0">
                  <c:v>Mean exp 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Histograms'!$K$60:$K$68</c:f>
                <c:numCache>
                  <c:formatCode>General</c:formatCode>
                  <c:ptCount val="9"/>
                  <c:pt idx="0">
                    <c:v>17.068711562908547</c:v>
                  </c:pt>
                  <c:pt idx="1">
                    <c:v>5.2718831962904193</c:v>
                  </c:pt>
                  <c:pt idx="2">
                    <c:v>3.8726402166172238</c:v>
                  </c:pt>
                  <c:pt idx="3">
                    <c:v>12.212417754007424</c:v>
                  </c:pt>
                  <c:pt idx="4">
                    <c:v>8.6262419517324656</c:v>
                  </c:pt>
                  <c:pt idx="5">
                    <c:v>5.3763461523736549</c:v>
                  </c:pt>
                  <c:pt idx="6">
                    <c:v>6.4100718346630634</c:v>
                  </c:pt>
                  <c:pt idx="7">
                    <c:v>0.49765654517427366</c:v>
                  </c:pt>
                  <c:pt idx="8">
                    <c:v>24.489335553262062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Histograms'!$C$60:$C$68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Histograms'!$J$60:$J$68</c:f>
              <c:numCache>
                <c:formatCode>0</c:formatCode>
                <c:ptCount val="9"/>
                <c:pt idx="0">
                  <c:v>24.889891870073885</c:v>
                </c:pt>
                <c:pt idx="1">
                  <c:v>55.490343781652825</c:v>
                </c:pt>
                <c:pt idx="2">
                  <c:v>59.914632069746084</c:v>
                </c:pt>
                <c:pt idx="3">
                  <c:v>66.224637563694202</c:v>
                </c:pt>
                <c:pt idx="4">
                  <c:v>91.991195281164835</c:v>
                </c:pt>
                <c:pt idx="5">
                  <c:v>115.31955679266527</c:v>
                </c:pt>
                <c:pt idx="6">
                  <c:v>113.01699720122961</c:v>
                </c:pt>
                <c:pt idx="7">
                  <c:v>123.16875242675974</c:v>
                </c:pt>
                <c:pt idx="8">
                  <c:v>136.49913618021566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E0-4871-AC6D-F3125D800917}"/>
            </c:ext>
          </c:extLst>
        </c:ser>
        <c:ser>
          <c:idx val="3"/>
          <c:order val="3"/>
          <c:tx>
            <c:strRef>
              <c:f>'5) Histograms'!$M$59</c:f>
              <c:strCache>
                <c:ptCount val="1"/>
                <c:pt idx="0">
                  <c:v>Mean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'5) Histograms'!$N$60:$N$68</c:f>
                <c:numCache>
                  <c:formatCode>General</c:formatCode>
                  <c:ptCount val="9"/>
                  <c:pt idx="0">
                    <c:v>20.168267976614267</c:v>
                  </c:pt>
                  <c:pt idx="1">
                    <c:v>15.290614297919429</c:v>
                  </c:pt>
                  <c:pt idx="2">
                    <c:v>25.137844165163727</c:v>
                  </c:pt>
                  <c:pt idx="3">
                    <c:v>21.530190416804434</c:v>
                  </c:pt>
                  <c:pt idx="4">
                    <c:v>10.784667019082223</c:v>
                  </c:pt>
                  <c:pt idx="5">
                    <c:v>23.312656109405321</c:v>
                  </c:pt>
                  <c:pt idx="6">
                    <c:v>24.798700660170262</c:v>
                  </c:pt>
                  <c:pt idx="7">
                    <c:v>29.66478666675377</c:v>
                  </c:pt>
                  <c:pt idx="8">
                    <c:v>33.95126312486277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'5) Histograms'!$C$60:$C$68</c:f>
              <c:numCache>
                <c:formatCode>0</c:formatCode>
                <c:ptCount val="9"/>
                <c:pt idx="0">
                  <c:v>40</c:v>
                </c:pt>
                <c:pt idx="1">
                  <c:v>20</c:v>
                </c:pt>
                <c:pt idx="2">
                  <c:v>10</c:v>
                </c:pt>
                <c:pt idx="3">
                  <c:v>5</c:v>
                </c:pt>
                <c:pt idx="4" formatCode="0.000">
                  <c:v>2.5</c:v>
                </c:pt>
                <c:pt idx="5" formatCode="0.000">
                  <c:v>1.25</c:v>
                </c:pt>
                <c:pt idx="6" formatCode="0.000">
                  <c:v>0.625</c:v>
                </c:pt>
                <c:pt idx="7" formatCode="0.000">
                  <c:v>0.3125</c:v>
                </c:pt>
                <c:pt idx="8" formatCode="0.000">
                  <c:v>0.15625</c:v>
                </c:pt>
              </c:numCache>
            </c:numRef>
          </c:cat>
          <c:val>
            <c:numRef>
              <c:f>'5) Histograms'!$M$60:$M$68</c:f>
              <c:numCache>
                <c:formatCode>0</c:formatCode>
                <c:ptCount val="9"/>
                <c:pt idx="0">
                  <c:v>41.978940473443103</c:v>
                </c:pt>
                <c:pt idx="1">
                  <c:v>57.016158632646793</c:v>
                </c:pt>
                <c:pt idx="2">
                  <c:v>60.111772335073987</c:v>
                </c:pt>
                <c:pt idx="3">
                  <c:v>68.605412530167044</c:v>
                </c:pt>
                <c:pt idx="4">
                  <c:v>73.34882264333595</c:v>
                </c:pt>
                <c:pt idx="5">
                  <c:v>83.907731172196534</c:v>
                </c:pt>
                <c:pt idx="6">
                  <c:v>82.933781971722539</c:v>
                </c:pt>
                <c:pt idx="7">
                  <c:v>88.990865421266847</c:v>
                </c:pt>
                <c:pt idx="8">
                  <c:v>91.771412323359982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AE0-4871-AC6D-F3125D800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03076928"/>
        <c:axId val="-903078560"/>
      </c:barChart>
      <c:catAx>
        <c:axId val="-903076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Concentration (µg.mL</a:t>
                </a:r>
                <a:r>
                  <a:rPr lang="fr-FR" baseline="30000"/>
                  <a:t>-1</a:t>
                </a:r>
                <a:r>
                  <a:rPr lang="fr-FR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3078560"/>
        <c:crosses val="autoZero"/>
        <c:auto val="1"/>
        <c:lblAlgn val="ctr"/>
        <c:lblOffset val="100"/>
        <c:noMultiLvlLbl val="0"/>
      </c:catAx>
      <c:valAx>
        <c:axId val="-90307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Normalized viability (%of control)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307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240198803984738"/>
          <c:y val="0.12196261181638006"/>
          <c:w val="0.28886322887011873"/>
          <c:h val="0.20165254853347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Cytotoxicity</a:t>
            </a:r>
            <a:r>
              <a:rPr lang="en-US" baseline="0"/>
              <a:t> in 6-well plate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'7) 6-well plate cytotoxicity'!$B$29</c:f>
              <c:strCache>
                <c:ptCount val="1"/>
                <c:pt idx="0">
                  <c:v>Mean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C56-4417-A96A-85417EBE6286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56-4417-A96A-85417EBE628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56-4417-A96A-85417EBE6286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6C56-4417-A96A-85417EBE628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6C56-4417-A96A-85417EBE6286}"/>
              </c:ext>
            </c:extLst>
          </c:dPt>
          <c:errBars>
            <c:errBarType val="both"/>
            <c:errValType val="cust"/>
            <c:noEndCap val="0"/>
            <c:plus>
              <c:numRef>
                <c:f>'7) 6-well plate cytotoxicity'!$C$30:$G$30</c:f>
                <c:numCache>
                  <c:formatCode>General</c:formatCode>
                  <c:ptCount val="5"/>
                  <c:pt idx="0">
                    <c:v>2.4724109334504738</c:v>
                  </c:pt>
                  <c:pt idx="1">
                    <c:v>1.5410256801044959</c:v>
                  </c:pt>
                  <c:pt idx="2">
                    <c:v>0.59015491379100726</c:v>
                  </c:pt>
                  <c:pt idx="3">
                    <c:v>1.2152062551151714</c:v>
                  </c:pt>
                  <c:pt idx="4">
                    <c:v>3.3705086615898527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'7) 6-well plate cytotoxicity'!$C$27:$G$28</c:f>
              <c:multiLvlStrCache>
                <c:ptCount val="5"/>
                <c:lvl>
                  <c:pt idx="0">
                    <c:v>2µg/ml</c:v>
                  </c:pt>
                  <c:pt idx="1">
                    <c:v> 20µg/ml</c:v>
                  </c:pt>
                  <c:pt idx="2">
                    <c:v>2µg/ml</c:v>
                  </c:pt>
                  <c:pt idx="3">
                    <c:v>20µg/ml</c:v>
                  </c:pt>
                  <c:pt idx="4">
                    <c:v>2µg/ml</c:v>
                  </c:pt>
                </c:lvl>
                <c:lvl>
                  <c:pt idx="0">
                    <c:v>Ag@CCH </c:v>
                  </c:pt>
                  <c:pt idx="2">
                    <c:v>Ag@CN </c:v>
                  </c:pt>
                  <c:pt idx="4">
                    <c:v>Ag@NO2 </c:v>
                  </c:pt>
                </c:lvl>
              </c:multiLvlStrCache>
            </c:multiLvlStrRef>
          </c:cat>
          <c:val>
            <c:numRef>
              <c:f>'7) 6-well plate cytotoxicity'!$C$29:$G$29</c:f>
              <c:numCache>
                <c:formatCode>0</c:formatCode>
                <c:ptCount val="5"/>
                <c:pt idx="0">
                  <c:v>93.237459756722686</c:v>
                </c:pt>
                <c:pt idx="1">
                  <c:v>45.815114963411652</c:v>
                </c:pt>
                <c:pt idx="2">
                  <c:v>65.662327455421078</c:v>
                </c:pt>
                <c:pt idx="3">
                  <c:v>42.477602627945537</c:v>
                </c:pt>
                <c:pt idx="4">
                  <c:v>83.177171720355886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56-4417-A96A-85417EBE6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903083456"/>
        <c:axId val="-903081280"/>
      </c:barChart>
      <c:catAx>
        <c:axId val="-903083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concentration (µg.mL</a:t>
                </a:r>
                <a:r>
                  <a:rPr lang="fr-FR" baseline="30000"/>
                  <a:t>-1</a:t>
                </a:r>
                <a:r>
                  <a:rPr lang="fr-FR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3081280"/>
        <c:crosses val="autoZero"/>
        <c:auto val="1"/>
        <c:lblAlgn val="ctr"/>
        <c:lblOffset val="100"/>
        <c:noMultiLvlLbl val="0"/>
      </c:catAx>
      <c:valAx>
        <c:axId val="-9030812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Normalized Viability (% of control)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0308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17</xdr:row>
      <xdr:rowOff>0</xdr:rowOff>
    </xdr:from>
    <xdr:to>
      <xdr:col>22</xdr:col>
      <xdr:colOff>323850</xdr:colOff>
      <xdr:row>33</xdr:row>
      <xdr:rowOff>171450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247650</xdr:colOff>
      <xdr:row>104</xdr:row>
      <xdr:rowOff>47624</xdr:rowOff>
    </xdr:from>
    <xdr:to>
      <xdr:col>22</xdr:col>
      <xdr:colOff>495300</xdr:colOff>
      <xdr:row>121</xdr:row>
      <xdr:rowOff>57149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66675</xdr:colOff>
      <xdr:row>2</xdr:row>
      <xdr:rowOff>85725</xdr:rowOff>
    </xdr:from>
    <xdr:to>
      <xdr:col>22</xdr:col>
      <xdr:colOff>304800</xdr:colOff>
      <xdr:row>16</xdr:row>
      <xdr:rowOff>161925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66675</xdr:colOff>
      <xdr:row>34</xdr:row>
      <xdr:rowOff>47625</xdr:rowOff>
    </xdr:from>
    <xdr:to>
      <xdr:col>22</xdr:col>
      <xdr:colOff>314325</xdr:colOff>
      <xdr:row>51</xdr:row>
      <xdr:rowOff>47625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119062</xdr:colOff>
      <xdr:row>51</xdr:row>
      <xdr:rowOff>95249</xdr:rowOff>
    </xdr:from>
    <xdr:to>
      <xdr:col>22</xdr:col>
      <xdr:colOff>304800</xdr:colOff>
      <xdr:row>68</xdr:row>
      <xdr:rowOff>104774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100012</xdr:colOff>
      <xdr:row>68</xdr:row>
      <xdr:rowOff>190499</xdr:rowOff>
    </xdr:from>
    <xdr:to>
      <xdr:col>22</xdr:col>
      <xdr:colOff>285750</xdr:colOff>
      <xdr:row>86</xdr:row>
      <xdr:rowOff>28574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31</xdr:row>
      <xdr:rowOff>38100</xdr:rowOff>
    </xdr:from>
    <xdr:to>
      <xdr:col>7</xdr:col>
      <xdr:colOff>361949</xdr:colOff>
      <xdr:row>45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g@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Ag@CCH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g@NO2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g@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Ag@CN" TargetMode="External"/><Relationship Id="rId3" Type="http://schemas.openxmlformats.org/officeDocument/2006/relationships/hyperlink" Target="mailto:Ag@NO2" TargetMode="External"/><Relationship Id="rId7" Type="http://schemas.openxmlformats.org/officeDocument/2006/relationships/hyperlink" Target="mailto:Ag@CCH" TargetMode="External"/><Relationship Id="rId2" Type="http://schemas.openxmlformats.org/officeDocument/2006/relationships/hyperlink" Target="mailto:Ag@CN" TargetMode="External"/><Relationship Id="rId1" Type="http://schemas.openxmlformats.org/officeDocument/2006/relationships/hyperlink" Target="mailto:Ag@CCH" TargetMode="External"/><Relationship Id="rId6" Type="http://schemas.openxmlformats.org/officeDocument/2006/relationships/hyperlink" Target="mailto:Ag@NO2" TargetMode="External"/><Relationship Id="rId5" Type="http://schemas.openxmlformats.org/officeDocument/2006/relationships/hyperlink" Target="mailto:Ag@CN" TargetMode="External"/><Relationship Id="rId4" Type="http://schemas.openxmlformats.org/officeDocument/2006/relationships/hyperlink" Target="mailto:Ag@CCH" TargetMode="External"/><Relationship Id="rId9" Type="http://schemas.openxmlformats.org/officeDocument/2006/relationships/hyperlink" Target="mailto:Ag@NO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workbookViewId="0">
      <selection activeCell="B55" sqref="B55:C66"/>
    </sheetView>
  </sheetViews>
  <sheetFormatPr defaultColWidth="11.42578125" defaultRowHeight="15" x14ac:dyDescent="0.25"/>
  <cols>
    <col min="1" max="1" width="27.7109375" style="3" customWidth="1"/>
    <col min="2" max="2" width="11.42578125" style="2"/>
    <col min="3" max="3" width="25.5703125" style="2" customWidth="1"/>
    <col min="4" max="16384" width="11.42578125" style="2"/>
  </cols>
  <sheetData>
    <row r="1" spans="1:15" x14ac:dyDescent="0.25">
      <c r="A1" s="2" t="s">
        <v>18</v>
      </c>
    </row>
    <row r="2" spans="1:15" x14ac:dyDescent="0.25">
      <c r="A2" s="2" t="s">
        <v>43</v>
      </c>
    </row>
    <row r="3" spans="1:15" ht="15" customHeight="1" x14ac:dyDescent="0.25">
      <c r="A3" s="3" t="s">
        <v>52</v>
      </c>
      <c r="D3" s="134" t="s">
        <v>4</v>
      </c>
      <c r="E3" s="135"/>
      <c r="F3" s="135"/>
      <c r="G3" s="135"/>
      <c r="H3" s="135"/>
      <c r="I3" s="135"/>
      <c r="J3" s="135"/>
      <c r="K3" s="135"/>
      <c r="L3" s="136"/>
    </row>
    <row r="4" spans="1:15" x14ac:dyDescent="0.25">
      <c r="A4" s="5"/>
      <c r="B4" s="56"/>
      <c r="C4" s="57"/>
      <c r="D4" s="58">
        <v>40</v>
      </c>
      <c r="E4" s="73">
        <f>D4/2</f>
        <v>20</v>
      </c>
      <c r="F4" s="73">
        <f t="shared" ref="F4:G4" si="0">E4/2</f>
        <v>10</v>
      </c>
      <c r="G4" s="73">
        <f t="shared" si="0"/>
        <v>5</v>
      </c>
      <c r="H4" s="92">
        <f t="shared" ref="H4" si="1">G4/2</f>
        <v>2.5</v>
      </c>
      <c r="I4" s="92">
        <f t="shared" ref="I4" si="2">H4/2</f>
        <v>1.25</v>
      </c>
      <c r="J4" s="92">
        <f t="shared" ref="J4" si="3">I4/2</f>
        <v>0.625</v>
      </c>
      <c r="K4" s="92">
        <f t="shared" ref="K4" si="4">J4/2</f>
        <v>0.3125</v>
      </c>
      <c r="L4" s="92">
        <f t="shared" ref="L4" si="5">K4/2</f>
        <v>0.15625</v>
      </c>
      <c r="M4" s="87" t="s">
        <v>1</v>
      </c>
      <c r="N4" s="61" t="s">
        <v>2</v>
      </c>
      <c r="O4" s="62"/>
    </row>
    <row r="5" spans="1:15" ht="30" customHeight="1" x14ac:dyDescent="0.3">
      <c r="A5" s="124" t="s">
        <v>50</v>
      </c>
      <c r="B5" s="56"/>
      <c r="C5" s="137" t="s">
        <v>45</v>
      </c>
      <c r="D5" s="68">
        <v>23427756</v>
      </c>
      <c r="E5" s="68">
        <v>13225317</v>
      </c>
      <c r="F5" s="68">
        <v>37523248</v>
      </c>
      <c r="G5" s="68">
        <v>34677780</v>
      </c>
      <c r="H5" s="68">
        <v>39827436</v>
      </c>
      <c r="I5" s="68">
        <v>44874832</v>
      </c>
      <c r="J5" s="68">
        <v>46434496</v>
      </c>
      <c r="K5" s="68">
        <v>49238708</v>
      </c>
      <c r="L5" s="68">
        <v>44823812</v>
      </c>
      <c r="M5" s="7">
        <v>44862271</v>
      </c>
      <c r="N5" s="4">
        <v>18398</v>
      </c>
      <c r="O5" s="62"/>
    </row>
    <row r="6" spans="1:15" ht="15.75" x14ac:dyDescent="0.3">
      <c r="A6" s="124"/>
      <c r="B6" s="56"/>
      <c r="C6" s="137"/>
      <c r="D6" s="68">
        <v>13459661</v>
      </c>
      <c r="E6" s="68">
        <v>21803824</v>
      </c>
      <c r="F6" s="68">
        <v>34954640</v>
      </c>
      <c r="G6" s="68">
        <v>34472188</v>
      </c>
      <c r="H6" s="68">
        <v>39047924</v>
      </c>
      <c r="I6" s="68">
        <v>46494828</v>
      </c>
      <c r="J6" s="68">
        <v>46715192</v>
      </c>
      <c r="K6" s="68">
        <v>47374532</v>
      </c>
      <c r="L6" s="68">
        <v>47895612</v>
      </c>
      <c r="M6" s="7">
        <v>49836481</v>
      </c>
      <c r="N6" s="4">
        <v>41291</v>
      </c>
      <c r="O6" s="62"/>
    </row>
    <row r="7" spans="1:15" ht="15.75" x14ac:dyDescent="0.3">
      <c r="A7" s="124"/>
      <c r="B7" s="56"/>
      <c r="C7" s="137"/>
      <c r="D7" s="68">
        <v>21386912</v>
      </c>
      <c r="E7" s="68">
        <v>26463742</v>
      </c>
      <c r="F7" s="68">
        <v>39709152</v>
      </c>
      <c r="G7" s="68">
        <v>33452164</v>
      </c>
      <c r="H7" s="68">
        <v>36938044</v>
      </c>
      <c r="I7" s="68">
        <v>41623212</v>
      </c>
      <c r="J7" s="68">
        <v>42543668</v>
      </c>
      <c r="K7" s="68">
        <v>43428392</v>
      </c>
      <c r="L7" s="68">
        <v>44899432</v>
      </c>
      <c r="M7" s="7">
        <v>46064792</v>
      </c>
      <c r="N7" s="4">
        <v>44801</v>
      </c>
    </row>
    <row r="8" spans="1:15" ht="15.75" x14ac:dyDescent="0.3">
      <c r="A8" s="124"/>
      <c r="B8" s="56"/>
      <c r="C8" s="137" t="s">
        <v>0</v>
      </c>
      <c r="D8" s="68">
        <v>8606500</v>
      </c>
      <c r="E8" s="68">
        <v>28208504</v>
      </c>
      <c r="F8" s="68">
        <v>31596936</v>
      </c>
      <c r="G8" s="68">
        <v>36740300</v>
      </c>
      <c r="H8" s="68">
        <v>36509060</v>
      </c>
      <c r="I8" s="68">
        <v>47019664</v>
      </c>
      <c r="J8" s="68">
        <v>46517324</v>
      </c>
      <c r="K8" s="68">
        <v>44663944</v>
      </c>
      <c r="L8" s="68">
        <v>49938196</v>
      </c>
      <c r="M8" s="83">
        <f>AVERAGE(M5:M7)</f>
        <v>46921181.333333336</v>
      </c>
      <c r="N8" s="65">
        <f>AVERAGE(N5:N7)</f>
        <v>34830</v>
      </c>
      <c r="O8" s="84" t="s">
        <v>8</v>
      </c>
    </row>
    <row r="9" spans="1:15" ht="15.75" x14ac:dyDescent="0.3">
      <c r="A9" s="124"/>
      <c r="B9" s="56"/>
      <c r="C9" s="137"/>
      <c r="D9" s="68">
        <v>3286346</v>
      </c>
      <c r="E9" s="68">
        <v>24756856</v>
      </c>
      <c r="F9" s="68">
        <v>34870860</v>
      </c>
      <c r="G9" s="68">
        <v>33832576</v>
      </c>
      <c r="H9" s="68">
        <v>36792196</v>
      </c>
      <c r="I9" s="68">
        <v>44345864</v>
      </c>
      <c r="J9" s="68">
        <v>46782744</v>
      </c>
      <c r="K9" s="68">
        <v>45004012</v>
      </c>
      <c r="L9" s="68">
        <v>46266276</v>
      </c>
    </row>
    <row r="10" spans="1:15" ht="15.75" x14ac:dyDescent="0.3">
      <c r="A10" s="124"/>
      <c r="B10" s="56"/>
      <c r="C10" s="137"/>
      <c r="D10" s="68">
        <v>4905154</v>
      </c>
      <c r="E10" s="68">
        <v>25102420</v>
      </c>
      <c r="F10" s="68">
        <v>31900842</v>
      </c>
      <c r="G10" s="68">
        <v>34395824</v>
      </c>
      <c r="H10" s="68">
        <v>38189860</v>
      </c>
      <c r="I10" s="68">
        <v>41507192</v>
      </c>
      <c r="J10" s="68">
        <v>42803104</v>
      </c>
      <c r="K10" s="68">
        <v>45158968</v>
      </c>
      <c r="L10" s="68">
        <v>47729124</v>
      </c>
      <c r="N10" s="56"/>
    </row>
    <row r="11" spans="1:15" ht="15.75" x14ac:dyDescent="0.3">
      <c r="A11" s="124"/>
      <c r="B11" s="56"/>
      <c r="C11" s="137" t="s">
        <v>67</v>
      </c>
      <c r="D11" s="68">
        <v>18111892</v>
      </c>
      <c r="E11" s="68">
        <v>21417490</v>
      </c>
      <c r="F11" s="68">
        <v>25202102</v>
      </c>
      <c r="G11" s="68">
        <v>28758864</v>
      </c>
      <c r="H11" s="68">
        <v>26092108</v>
      </c>
      <c r="I11" s="68">
        <v>29579642</v>
      </c>
      <c r="J11" s="68">
        <v>30539070</v>
      </c>
      <c r="K11" s="68">
        <v>29020824</v>
      </c>
      <c r="L11" s="68">
        <v>30144582</v>
      </c>
      <c r="M11" s="7">
        <v>30356678</v>
      </c>
      <c r="N11" s="4">
        <v>22221</v>
      </c>
      <c r="O11" s="62"/>
    </row>
    <row r="12" spans="1:15" ht="15.75" x14ac:dyDescent="0.3">
      <c r="A12" s="124"/>
      <c r="B12" s="56"/>
      <c r="C12" s="137"/>
      <c r="D12" s="68">
        <v>15306254</v>
      </c>
      <c r="E12" s="68">
        <v>20893670</v>
      </c>
      <c r="F12" s="68">
        <v>27711650</v>
      </c>
      <c r="G12" s="68">
        <v>29112380</v>
      </c>
      <c r="H12" s="68">
        <v>24465096</v>
      </c>
      <c r="I12" s="68">
        <v>26585622</v>
      </c>
      <c r="J12" s="68">
        <v>26508500</v>
      </c>
      <c r="K12" s="68">
        <v>26377498</v>
      </c>
      <c r="L12" s="68">
        <v>27564708</v>
      </c>
      <c r="M12" s="7">
        <v>28556026</v>
      </c>
      <c r="N12" s="4">
        <v>10947</v>
      </c>
      <c r="O12" s="62"/>
    </row>
    <row r="13" spans="1:15" ht="15.75" x14ac:dyDescent="0.3">
      <c r="A13" s="124"/>
      <c r="B13" s="56"/>
      <c r="C13" s="137"/>
      <c r="D13" s="68">
        <v>16161699</v>
      </c>
      <c r="E13" s="68">
        <v>21105612</v>
      </c>
      <c r="F13" s="68">
        <v>25438324</v>
      </c>
      <c r="G13" s="68">
        <v>24644226</v>
      </c>
      <c r="H13" s="68">
        <v>21705072</v>
      </c>
      <c r="I13" s="68">
        <v>26712216</v>
      </c>
      <c r="J13" s="68">
        <v>24478592</v>
      </c>
      <c r="K13" s="68">
        <v>26380974</v>
      </c>
      <c r="L13" s="68">
        <v>25649558</v>
      </c>
      <c r="M13" s="7">
        <v>33157525</v>
      </c>
      <c r="N13" s="4">
        <v>60325</v>
      </c>
    </row>
    <row r="14" spans="1:15" ht="15.75" x14ac:dyDescent="0.3">
      <c r="A14" s="124"/>
      <c r="B14" s="56"/>
      <c r="C14" s="137" t="s">
        <v>65</v>
      </c>
      <c r="D14" s="68">
        <v>20152690</v>
      </c>
      <c r="E14" s="68">
        <v>22572734</v>
      </c>
      <c r="F14" s="68">
        <v>30727798</v>
      </c>
      <c r="G14" s="68">
        <v>31360924</v>
      </c>
      <c r="H14" s="68">
        <v>23541900</v>
      </c>
      <c r="I14" s="68">
        <v>28062564</v>
      </c>
      <c r="J14" s="68">
        <v>30659518</v>
      </c>
      <c r="K14" s="68">
        <v>32317832</v>
      </c>
      <c r="L14" s="68">
        <v>27138616</v>
      </c>
      <c r="M14" s="83">
        <f>AVERAGE(M11:M13)</f>
        <v>30690076.333333332</v>
      </c>
      <c r="N14" s="65">
        <f>AVERAGE(N2:N11)</f>
        <v>32308.2</v>
      </c>
      <c r="O14" s="84" t="s">
        <v>8</v>
      </c>
    </row>
    <row r="15" spans="1:15" ht="15.75" x14ac:dyDescent="0.3">
      <c r="A15" s="124"/>
      <c r="B15" s="56"/>
      <c r="C15" s="137"/>
      <c r="D15" s="68">
        <v>18634486</v>
      </c>
      <c r="E15" s="68">
        <v>28192526</v>
      </c>
      <c r="F15" s="68">
        <v>30406084</v>
      </c>
      <c r="G15" s="68">
        <v>29895398</v>
      </c>
      <c r="H15" s="68">
        <v>25073588</v>
      </c>
      <c r="I15" s="68">
        <v>29596054</v>
      </c>
      <c r="J15" s="68">
        <v>31715852</v>
      </c>
      <c r="K15" s="68">
        <v>35558480</v>
      </c>
      <c r="L15" s="68">
        <v>32364352</v>
      </c>
      <c r="N15" s="56"/>
    </row>
    <row r="16" spans="1:15" ht="15.75" x14ac:dyDescent="0.3">
      <c r="A16" s="5"/>
      <c r="B16" s="56"/>
      <c r="C16" s="137"/>
      <c r="D16" s="68">
        <v>21115404</v>
      </c>
      <c r="E16" s="68">
        <v>24816224</v>
      </c>
      <c r="F16" s="68">
        <v>29570590</v>
      </c>
      <c r="G16" s="68">
        <v>33342322</v>
      </c>
      <c r="H16" s="68">
        <v>25376448</v>
      </c>
      <c r="I16" s="68">
        <v>33954204</v>
      </c>
      <c r="J16" s="68">
        <v>32826416</v>
      </c>
      <c r="K16" s="68">
        <v>36371716</v>
      </c>
      <c r="L16" s="68">
        <v>33238168</v>
      </c>
      <c r="N16" s="56"/>
    </row>
    <row r="17" spans="1:18" x14ac:dyDescent="0.25">
      <c r="B17" s="56"/>
    </row>
    <row r="18" spans="1:18" x14ac:dyDescent="0.25">
      <c r="B18" s="56"/>
    </row>
    <row r="19" spans="1:18" x14ac:dyDescent="0.25">
      <c r="B19" s="56"/>
    </row>
    <row r="20" spans="1:18" x14ac:dyDescent="0.25">
      <c r="B20" s="62"/>
      <c r="C20" s="3"/>
      <c r="D20" s="125" t="s">
        <v>4</v>
      </c>
      <c r="E20" s="126"/>
      <c r="F20" s="126"/>
      <c r="G20" s="126"/>
      <c r="H20" s="126"/>
      <c r="I20" s="126"/>
      <c r="J20" s="126"/>
      <c r="K20" s="126"/>
      <c r="L20" s="127"/>
    </row>
    <row r="21" spans="1:18" x14ac:dyDescent="0.25">
      <c r="A21" s="71" t="s">
        <v>15</v>
      </c>
      <c r="B21" s="62"/>
      <c r="C21" s="72"/>
      <c r="D21" s="73">
        <v>40</v>
      </c>
      <c r="E21" s="73">
        <f>D21/2</f>
        <v>20</v>
      </c>
      <c r="F21" s="73">
        <f t="shared" ref="F21:G21" si="6">E21/2</f>
        <v>10</v>
      </c>
      <c r="G21" s="73">
        <f t="shared" si="6"/>
        <v>5</v>
      </c>
      <c r="H21" s="92">
        <f t="shared" ref="H21" si="7">G21/2</f>
        <v>2.5</v>
      </c>
      <c r="I21" s="92">
        <f t="shared" ref="I21" si="8">H21/2</f>
        <v>1.25</v>
      </c>
      <c r="J21" s="92">
        <f t="shared" ref="J21" si="9">I21/2</f>
        <v>0.625</v>
      </c>
      <c r="K21" s="92">
        <f t="shared" ref="K21" si="10">J21/2</f>
        <v>0.3125</v>
      </c>
      <c r="L21" s="92">
        <f t="shared" ref="L21" si="11">K21/2</f>
        <v>0.15625</v>
      </c>
    </row>
    <row r="22" spans="1:18" ht="15" customHeight="1" x14ac:dyDescent="0.25">
      <c r="A22" s="124" t="s">
        <v>50</v>
      </c>
      <c r="B22" s="62"/>
      <c r="C22" s="131" t="s">
        <v>45</v>
      </c>
      <c r="D22" s="74">
        <f>D5-34830</f>
        <v>23392926</v>
      </c>
      <c r="E22" s="74">
        <f t="shared" ref="E22:L22" si="12">E5-34830</f>
        <v>13190487</v>
      </c>
      <c r="F22" s="74">
        <f t="shared" si="12"/>
        <v>37488418</v>
      </c>
      <c r="G22" s="74">
        <f t="shared" si="12"/>
        <v>34642950</v>
      </c>
      <c r="H22" s="74">
        <f t="shared" si="12"/>
        <v>39792606</v>
      </c>
      <c r="I22" s="74">
        <f t="shared" si="12"/>
        <v>44840002</v>
      </c>
      <c r="J22" s="74">
        <f t="shared" si="12"/>
        <v>46399666</v>
      </c>
      <c r="K22" s="74">
        <f t="shared" si="12"/>
        <v>49203878</v>
      </c>
      <c r="L22" s="74">
        <f t="shared" si="12"/>
        <v>44788982</v>
      </c>
    </row>
    <row r="23" spans="1:18" x14ac:dyDescent="0.25">
      <c r="A23" s="124"/>
      <c r="B23" s="62"/>
      <c r="C23" s="131"/>
      <c r="D23" s="74">
        <f t="shared" ref="D23:L27" si="13">D6-34830</f>
        <v>13424831</v>
      </c>
      <c r="E23" s="74">
        <f t="shared" si="13"/>
        <v>21768994</v>
      </c>
      <c r="F23" s="74">
        <f t="shared" si="13"/>
        <v>34919810</v>
      </c>
      <c r="G23" s="74">
        <f t="shared" si="13"/>
        <v>34437358</v>
      </c>
      <c r="H23" s="74">
        <f t="shared" si="13"/>
        <v>39013094</v>
      </c>
      <c r="I23" s="74">
        <f t="shared" si="13"/>
        <v>46459998</v>
      </c>
      <c r="J23" s="74">
        <f t="shared" si="13"/>
        <v>46680362</v>
      </c>
      <c r="K23" s="74">
        <f t="shared" si="13"/>
        <v>47339702</v>
      </c>
      <c r="L23" s="74">
        <f t="shared" si="13"/>
        <v>47860782</v>
      </c>
    </row>
    <row r="24" spans="1:18" x14ac:dyDescent="0.25">
      <c r="A24" s="124"/>
      <c r="B24" s="62"/>
      <c r="C24" s="131"/>
      <c r="D24" s="74">
        <f t="shared" si="13"/>
        <v>21352082</v>
      </c>
      <c r="E24" s="74">
        <f t="shared" si="13"/>
        <v>26428912</v>
      </c>
      <c r="F24" s="74">
        <f t="shared" si="13"/>
        <v>39674322</v>
      </c>
      <c r="G24" s="74">
        <f t="shared" si="13"/>
        <v>33417334</v>
      </c>
      <c r="H24" s="74">
        <f t="shared" si="13"/>
        <v>36903214</v>
      </c>
      <c r="I24" s="74">
        <f t="shared" si="13"/>
        <v>41588382</v>
      </c>
      <c r="J24" s="74">
        <f t="shared" si="13"/>
        <v>42508838</v>
      </c>
      <c r="K24" s="74">
        <f t="shared" si="13"/>
        <v>43393562</v>
      </c>
      <c r="L24" s="74">
        <f t="shared" si="13"/>
        <v>44864602</v>
      </c>
    </row>
    <row r="25" spans="1:18" x14ac:dyDescent="0.25">
      <c r="A25" s="124"/>
      <c r="B25" s="62"/>
      <c r="C25" s="131" t="s">
        <v>0</v>
      </c>
      <c r="D25" s="74">
        <f t="shared" si="13"/>
        <v>8571670</v>
      </c>
      <c r="E25" s="74">
        <f t="shared" si="13"/>
        <v>28173674</v>
      </c>
      <c r="F25" s="74">
        <f t="shared" si="13"/>
        <v>31562106</v>
      </c>
      <c r="G25" s="74">
        <f t="shared" si="13"/>
        <v>36705470</v>
      </c>
      <c r="H25" s="74">
        <f t="shared" si="13"/>
        <v>36474230</v>
      </c>
      <c r="I25" s="74">
        <f t="shared" si="13"/>
        <v>46984834</v>
      </c>
      <c r="J25" s="74">
        <f t="shared" si="13"/>
        <v>46482494</v>
      </c>
      <c r="K25" s="74">
        <f t="shared" si="13"/>
        <v>44629114</v>
      </c>
      <c r="L25" s="74">
        <f t="shared" si="13"/>
        <v>49903366</v>
      </c>
    </row>
    <row r="26" spans="1:18" x14ac:dyDescent="0.25">
      <c r="A26" s="124"/>
      <c r="B26" s="62"/>
      <c r="C26" s="131"/>
      <c r="D26" s="74">
        <f t="shared" si="13"/>
        <v>3251516</v>
      </c>
      <c r="E26" s="74">
        <f t="shared" si="13"/>
        <v>24722026</v>
      </c>
      <c r="F26" s="74">
        <f t="shared" si="13"/>
        <v>34836030</v>
      </c>
      <c r="G26" s="74">
        <f t="shared" si="13"/>
        <v>33797746</v>
      </c>
      <c r="H26" s="74">
        <f t="shared" si="13"/>
        <v>36757366</v>
      </c>
      <c r="I26" s="74">
        <f t="shared" si="13"/>
        <v>44311034</v>
      </c>
      <c r="J26" s="74">
        <f t="shared" si="13"/>
        <v>46747914</v>
      </c>
      <c r="K26" s="74">
        <f t="shared" si="13"/>
        <v>44969182</v>
      </c>
      <c r="L26" s="74">
        <f t="shared" si="13"/>
        <v>46231446</v>
      </c>
    </row>
    <row r="27" spans="1:18" x14ac:dyDescent="0.25">
      <c r="A27" s="124"/>
      <c r="B27" s="62"/>
      <c r="C27" s="131"/>
      <c r="D27" s="74">
        <f t="shared" si="13"/>
        <v>4870324</v>
      </c>
      <c r="E27" s="74">
        <f t="shared" si="13"/>
        <v>25067590</v>
      </c>
      <c r="F27" s="74">
        <f t="shared" si="13"/>
        <v>31866012</v>
      </c>
      <c r="G27" s="74">
        <f t="shared" si="13"/>
        <v>34360994</v>
      </c>
      <c r="H27" s="74">
        <f t="shared" si="13"/>
        <v>38155030</v>
      </c>
      <c r="I27" s="74">
        <f t="shared" si="13"/>
        <v>41472362</v>
      </c>
      <c r="J27" s="74">
        <f t="shared" si="13"/>
        <v>42768274</v>
      </c>
      <c r="K27" s="74">
        <f t="shared" si="13"/>
        <v>45124138</v>
      </c>
      <c r="L27" s="74">
        <f t="shared" si="13"/>
        <v>47694294</v>
      </c>
    </row>
    <row r="28" spans="1:18" x14ac:dyDescent="0.25">
      <c r="A28" s="124"/>
      <c r="B28" s="62"/>
      <c r="C28" s="131" t="s">
        <v>5</v>
      </c>
      <c r="D28" s="74">
        <f>D11-32308</f>
        <v>18079584</v>
      </c>
      <c r="E28" s="74">
        <f t="shared" ref="E28:L28" si="14">E11-32308</f>
        <v>21385182</v>
      </c>
      <c r="F28" s="74">
        <f t="shared" si="14"/>
        <v>25169794</v>
      </c>
      <c r="G28" s="74">
        <f t="shared" si="14"/>
        <v>28726556</v>
      </c>
      <c r="H28" s="74">
        <f t="shared" si="14"/>
        <v>26059800</v>
      </c>
      <c r="I28" s="74">
        <f t="shared" si="14"/>
        <v>29547334</v>
      </c>
      <c r="J28" s="74">
        <f t="shared" si="14"/>
        <v>30506762</v>
      </c>
      <c r="K28" s="74">
        <f t="shared" si="14"/>
        <v>28988516</v>
      </c>
      <c r="L28" s="74">
        <f t="shared" si="14"/>
        <v>30112274</v>
      </c>
      <c r="M28" s="56"/>
      <c r="N28" s="56"/>
      <c r="O28" s="56"/>
      <c r="P28" s="56"/>
      <c r="Q28" s="56"/>
      <c r="R28" s="56"/>
    </row>
    <row r="29" spans="1:18" x14ac:dyDescent="0.25">
      <c r="A29" s="124"/>
      <c r="B29" s="62"/>
      <c r="C29" s="131"/>
      <c r="D29" s="74">
        <f t="shared" ref="D29:L33" si="15">D12-32308</f>
        <v>15273946</v>
      </c>
      <c r="E29" s="74">
        <f t="shared" si="15"/>
        <v>20861362</v>
      </c>
      <c r="F29" s="74">
        <f t="shared" si="15"/>
        <v>27679342</v>
      </c>
      <c r="G29" s="74">
        <f t="shared" si="15"/>
        <v>29080072</v>
      </c>
      <c r="H29" s="74">
        <f t="shared" si="15"/>
        <v>24432788</v>
      </c>
      <c r="I29" s="74">
        <f t="shared" si="15"/>
        <v>26553314</v>
      </c>
      <c r="J29" s="74">
        <f t="shared" si="15"/>
        <v>26476192</v>
      </c>
      <c r="K29" s="74">
        <f t="shared" si="15"/>
        <v>26345190</v>
      </c>
      <c r="L29" s="74">
        <f t="shared" si="15"/>
        <v>27532400</v>
      </c>
      <c r="M29" s="56"/>
      <c r="N29" s="56"/>
      <c r="O29" s="56"/>
      <c r="P29" s="56"/>
      <c r="Q29" s="56"/>
      <c r="R29" s="56"/>
    </row>
    <row r="30" spans="1:18" x14ac:dyDescent="0.25">
      <c r="A30" s="124"/>
      <c r="B30" s="62"/>
      <c r="C30" s="131"/>
      <c r="D30" s="74">
        <f t="shared" si="15"/>
        <v>16129391</v>
      </c>
      <c r="E30" s="74">
        <f t="shared" si="15"/>
        <v>21073304</v>
      </c>
      <c r="F30" s="74">
        <f t="shared" si="15"/>
        <v>25406016</v>
      </c>
      <c r="G30" s="74">
        <f t="shared" si="15"/>
        <v>24611918</v>
      </c>
      <c r="H30" s="74">
        <f t="shared" si="15"/>
        <v>21672764</v>
      </c>
      <c r="I30" s="74">
        <f t="shared" si="15"/>
        <v>26679908</v>
      </c>
      <c r="J30" s="74">
        <f t="shared" si="15"/>
        <v>24446284</v>
      </c>
      <c r="K30" s="74">
        <f t="shared" si="15"/>
        <v>26348666</v>
      </c>
      <c r="L30" s="74">
        <f t="shared" si="15"/>
        <v>25617250</v>
      </c>
      <c r="M30" s="56"/>
      <c r="N30" s="56"/>
      <c r="O30" s="56"/>
      <c r="P30" s="56"/>
      <c r="Q30" s="56"/>
      <c r="R30" s="56"/>
    </row>
    <row r="31" spans="1:18" x14ac:dyDescent="0.25">
      <c r="A31" s="124"/>
      <c r="B31" s="62"/>
      <c r="C31" s="131" t="s">
        <v>65</v>
      </c>
      <c r="D31" s="74">
        <f t="shared" si="15"/>
        <v>20120382</v>
      </c>
      <c r="E31" s="74">
        <f t="shared" si="15"/>
        <v>22540426</v>
      </c>
      <c r="F31" s="74">
        <f t="shared" si="15"/>
        <v>30695490</v>
      </c>
      <c r="G31" s="74">
        <f t="shared" si="15"/>
        <v>31328616</v>
      </c>
      <c r="H31" s="74">
        <f t="shared" si="15"/>
        <v>23509592</v>
      </c>
      <c r="I31" s="74">
        <f t="shared" si="15"/>
        <v>28030256</v>
      </c>
      <c r="J31" s="74">
        <f t="shared" si="15"/>
        <v>30627210</v>
      </c>
      <c r="K31" s="74">
        <f t="shared" si="15"/>
        <v>32285524</v>
      </c>
      <c r="L31" s="74">
        <f t="shared" si="15"/>
        <v>27106308</v>
      </c>
    </row>
    <row r="32" spans="1:18" x14ac:dyDescent="0.25">
      <c r="A32" s="124"/>
      <c r="B32" s="62"/>
      <c r="C32" s="131"/>
      <c r="D32" s="74">
        <f t="shared" si="15"/>
        <v>18602178</v>
      </c>
      <c r="E32" s="74">
        <f t="shared" si="15"/>
        <v>28160218</v>
      </c>
      <c r="F32" s="74">
        <f t="shared" si="15"/>
        <v>30373776</v>
      </c>
      <c r="G32" s="74">
        <f t="shared" si="15"/>
        <v>29863090</v>
      </c>
      <c r="H32" s="74">
        <f t="shared" si="15"/>
        <v>25041280</v>
      </c>
      <c r="I32" s="74">
        <f t="shared" si="15"/>
        <v>29563746</v>
      </c>
      <c r="J32" s="74">
        <f t="shared" si="15"/>
        <v>31683544</v>
      </c>
      <c r="K32" s="74">
        <f t="shared" si="15"/>
        <v>35526172</v>
      </c>
      <c r="L32" s="74">
        <f t="shared" si="15"/>
        <v>32332044</v>
      </c>
    </row>
    <row r="33" spans="1:12" x14ac:dyDescent="0.25">
      <c r="A33" s="124"/>
      <c r="B33" s="62"/>
      <c r="C33" s="131"/>
      <c r="D33" s="74">
        <f t="shared" si="15"/>
        <v>21083096</v>
      </c>
      <c r="E33" s="74">
        <f t="shared" si="15"/>
        <v>24783916</v>
      </c>
      <c r="F33" s="74">
        <f t="shared" si="15"/>
        <v>29538282</v>
      </c>
      <c r="G33" s="74">
        <f t="shared" si="15"/>
        <v>33310014</v>
      </c>
      <c r="H33" s="74">
        <f t="shared" si="15"/>
        <v>25344140</v>
      </c>
      <c r="I33" s="74">
        <f t="shared" si="15"/>
        <v>33921896</v>
      </c>
      <c r="J33" s="74">
        <f t="shared" si="15"/>
        <v>32794108</v>
      </c>
      <c r="K33" s="74">
        <f t="shared" si="15"/>
        <v>36339408</v>
      </c>
      <c r="L33" s="74">
        <f t="shared" si="15"/>
        <v>33205860</v>
      </c>
    </row>
    <row r="34" spans="1:12" x14ac:dyDescent="0.25">
      <c r="A34" s="5"/>
      <c r="B34" s="62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5"/>
      <c r="B35" s="62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75" t="s">
        <v>9</v>
      </c>
      <c r="B36" s="62"/>
      <c r="C36" s="3"/>
      <c r="D36" s="125" t="s">
        <v>4</v>
      </c>
      <c r="E36" s="126"/>
      <c r="F36" s="126"/>
      <c r="G36" s="126"/>
      <c r="H36" s="126"/>
      <c r="I36" s="126"/>
      <c r="J36" s="126"/>
      <c r="K36" s="126"/>
      <c r="L36" s="127"/>
    </row>
    <row r="37" spans="1:12" ht="15" customHeight="1" x14ac:dyDescent="0.25">
      <c r="A37" s="5"/>
      <c r="B37" s="62"/>
      <c r="C37" s="72"/>
      <c r="D37" s="73">
        <v>40</v>
      </c>
      <c r="E37" s="73">
        <f>D37/2</f>
        <v>20</v>
      </c>
      <c r="F37" s="73">
        <f t="shared" ref="F37:G37" si="16">E37/2</f>
        <v>10</v>
      </c>
      <c r="G37" s="73">
        <f t="shared" si="16"/>
        <v>5</v>
      </c>
      <c r="H37" s="92">
        <f t="shared" ref="H37" si="17">G37/2</f>
        <v>2.5</v>
      </c>
      <c r="I37" s="92">
        <f t="shared" ref="I37" si="18">H37/2</f>
        <v>1.25</v>
      </c>
      <c r="J37" s="92">
        <f t="shared" ref="J37" si="19">I37/2</f>
        <v>0.625</v>
      </c>
      <c r="K37" s="92">
        <f t="shared" ref="K37" si="20">J37/2</f>
        <v>0.3125</v>
      </c>
      <c r="L37" s="92">
        <f t="shared" ref="L37" si="21">K37/2</f>
        <v>0.15625</v>
      </c>
    </row>
    <row r="38" spans="1:12" x14ac:dyDescent="0.25">
      <c r="A38" s="124" t="s">
        <v>51</v>
      </c>
      <c r="B38" s="62"/>
      <c r="C38" s="131" t="s">
        <v>45</v>
      </c>
      <c r="D38" s="74">
        <f>D22*100/46921181</f>
        <v>49.855791140465968</v>
      </c>
      <c r="E38" s="74">
        <f t="shared" ref="E38:L38" si="22">E22*100/46921181</f>
        <v>28.11200979787785</v>
      </c>
      <c r="F38" s="74">
        <f t="shared" si="22"/>
        <v>79.896578050752808</v>
      </c>
      <c r="G38" s="74">
        <f t="shared" si="22"/>
        <v>73.832220889751255</v>
      </c>
      <c r="H38" s="74">
        <f t="shared" si="22"/>
        <v>84.807341059893616</v>
      </c>
      <c r="I38" s="74">
        <f t="shared" si="22"/>
        <v>95.564521276649032</v>
      </c>
      <c r="J38" s="74">
        <f t="shared" si="22"/>
        <v>98.888529681296816</v>
      </c>
      <c r="K38" s="74">
        <f t="shared" si="22"/>
        <v>104.86496066669763</v>
      </c>
      <c r="L38" s="74">
        <f t="shared" si="22"/>
        <v>95.455785735657415</v>
      </c>
    </row>
    <row r="39" spans="1:12" x14ac:dyDescent="0.25">
      <c r="A39" s="124"/>
      <c r="B39" s="62"/>
      <c r="C39" s="131"/>
      <c r="D39" s="74">
        <f t="shared" ref="D39:L39" si="23">D23*100/46921181</f>
        <v>28.61145161712788</v>
      </c>
      <c r="E39" s="74">
        <f t="shared" si="23"/>
        <v>46.394812611387593</v>
      </c>
      <c r="F39" s="74">
        <f t="shared" si="23"/>
        <v>74.422274239005191</v>
      </c>
      <c r="G39" s="74">
        <f t="shared" si="23"/>
        <v>73.394056300501049</v>
      </c>
      <c r="H39" s="74">
        <f t="shared" si="23"/>
        <v>83.14601885233877</v>
      </c>
      <c r="I39" s="74">
        <f t="shared" si="23"/>
        <v>99.017111270067986</v>
      </c>
      <c r="J39" s="74">
        <f t="shared" si="23"/>
        <v>99.486758442844817</v>
      </c>
      <c r="K39" s="74">
        <f t="shared" si="23"/>
        <v>100.89196603981473</v>
      </c>
      <c r="L39" s="74">
        <f t="shared" si="23"/>
        <v>102.00250927187872</v>
      </c>
    </row>
    <row r="40" spans="1:12" x14ac:dyDescent="0.25">
      <c r="A40" s="124"/>
      <c r="B40" s="62"/>
      <c r="C40" s="131"/>
      <c r="D40" s="74">
        <f t="shared" ref="D40:L40" si="24">D24*100/46921181</f>
        <v>45.506275726521032</v>
      </c>
      <c r="E40" s="74">
        <f t="shared" si="24"/>
        <v>56.32618667462782</v>
      </c>
      <c r="F40" s="74">
        <f t="shared" si="24"/>
        <v>84.555250218446119</v>
      </c>
      <c r="G40" s="74">
        <f t="shared" si="24"/>
        <v>71.220146824522601</v>
      </c>
      <c r="H40" s="74">
        <f t="shared" si="24"/>
        <v>78.649371591904298</v>
      </c>
      <c r="I40" s="74">
        <f t="shared" si="24"/>
        <v>88.634559304890473</v>
      </c>
      <c r="J40" s="74">
        <f t="shared" si="24"/>
        <v>90.596266108476684</v>
      </c>
      <c r="K40" s="74">
        <f t="shared" si="24"/>
        <v>92.481819671163009</v>
      </c>
      <c r="L40" s="74">
        <f t="shared" si="24"/>
        <v>95.616949624520316</v>
      </c>
    </row>
    <row r="41" spans="1:12" x14ac:dyDescent="0.25">
      <c r="A41" s="124"/>
      <c r="B41" s="62"/>
      <c r="C41" s="131" t="s">
        <v>0</v>
      </c>
      <c r="D41" s="74">
        <f t="shared" ref="D41:L41" si="25">D25*100/46921181</f>
        <v>18.268231569022102</v>
      </c>
      <c r="E41" s="74">
        <f t="shared" si="25"/>
        <v>60.044682166034995</v>
      </c>
      <c r="F41" s="74">
        <f t="shared" si="25"/>
        <v>67.266222476369464</v>
      </c>
      <c r="G41" s="74">
        <f t="shared" si="25"/>
        <v>78.22793292436522</v>
      </c>
      <c r="H41" s="74">
        <f t="shared" si="25"/>
        <v>77.735106454375057</v>
      </c>
      <c r="I41" s="74">
        <f t="shared" si="25"/>
        <v>100.1356594157338</v>
      </c>
      <c r="J41" s="74">
        <f t="shared" si="25"/>
        <v>99.065055502332726</v>
      </c>
      <c r="K41" s="74">
        <f t="shared" si="25"/>
        <v>95.115069673970908</v>
      </c>
      <c r="L41" s="74">
        <f t="shared" si="25"/>
        <v>106.35573303238041</v>
      </c>
    </row>
    <row r="42" spans="1:12" x14ac:dyDescent="0.25">
      <c r="A42" s="124"/>
      <c r="B42" s="62"/>
      <c r="C42" s="131"/>
      <c r="D42" s="74">
        <f t="shared" ref="D42:L42" si="26">D26*100/46921181</f>
        <v>6.9297403234586099</v>
      </c>
      <c r="E42" s="74">
        <f t="shared" si="26"/>
        <v>52.688413789073209</v>
      </c>
      <c r="F42" s="74">
        <f t="shared" si="26"/>
        <v>74.243719483531322</v>
      </c>
      <c r="G42" s="74">
        <f t="shared" si="26"/>
        <v>72.030893681043537</v>
      </c>
      <c r="H42" s="74">
        <f t="shared" si="26"/>
        <v>78.338535426037126</v>
      </c>
      <c r="I42" s="74">
        <f t="shared" si="26"/>
        <v>94.437166873527758</v>
      </c>
      <c r="J42" s="74">
        <f t="shared" si="26"/>
        <v>99.630727538592865</v>
      </c>
      <c r="K42" s="74">
        <f t="shared" si="26"/>
        <v>95.839834039982918</v>
      </c>
      <c r="L42" s="74">
        <f t="shared" si="26"/>
        <v>98.530013556137902</v>
      </c>
    </row>
    <row r="43" spans="1:12" x14ac:dyDescent="0.25">
      <c r="A43" s="124"/>
      <c r="B43" s="62"/>
      <c r="C43" s="131"/>
      <c r="D43" s="74">
        <f t="shared" ref="D43:L43" si="27">D27*100/46921181</f>
        <v>10.379798411297449</v>
      </c>
      <c r="E43" s="74">
        <f t="shared" si="27"/>
        <v>53.424891415243792</v>
      </c>
      <c r="F43" s="74">
        <f t="shared" si="27"/>
        <v>67.913917171010681</v>
      </c>
      <c r="G43" s="74">
        <f t="shared" si="27"/>
        <v>73.231306773800085</v>
      </c>
      <c r="H43" s="74">
        <f t="shared" si="27"/>
        <v>81.317283978849545</v>
      </c>
      <c r="I43" s="74">
        <f t="shared" si="27"/>
        <v>88.387293576434061</v>
      </c>
      <c r="J43" s="74">
        <f t="shared" si="27"/>
        <v>91.149184842555428</v>
      </c>
      <c r="K43" s="74">
        <f t="shared" si="27"/>
        <v>96.170081481964402</v>
      </c>
      <c r="L43" s="74">
        <f t="shared" si="27"/>
        <v>101.64768444340734</v>
      </c>
    </row>
    <row r="44" spans="1:12" x14ac:dyDescent="0.25">
      <c r="A44" s="124"/>
      <c r="B44" s="62"/>
      <c r="C44" s="131" t="s">
        <v>5</v>
      </c>
      <c r="D44" s="74">
        <f>D28*100/30690076</f>
        <v>58.910196247151688</v>
      </c>
      <c r="E44" s="74">
        <f t="shared" ref="E44:L44" si="28">E28*100/30690076</f>
        <v>69.681098215592556</v>
      </c>
      <c r="F44" s="74">
        <f t="shared" si="28"/>
        <v>82.012810916466933</v>
      </c>
      <c r="G44" s="74">
        <f t="shared" si="28"/>
        <v>93.602101213434594</v>
      </c>
      <c r="H44" s="74">
        <f t="shared" si="28"/>
        <v>84.912790701463237</v>
      </c>
      <c r="I44" s="74">
        <f t="shared" si="28"/>
        <v>96.27650970952304</v>
      </c>
      <c r="J44" s="74">
        <f t="shared" si="28"/>
        <v>99.402692909590712</v>
      </c>
      <c r="K44" s="74">
        <f t="shared" si="28"/>
        <v>94.455667037123007</v>
      </c>
      <c r="L44" s="74">
        <f t="shared" si="28"/>
        <v>98.117300198279082</v>
      </c>
    </row>
    <row r="45" spans="1:12" x14ac:dyDescent="0.25">
      <c r="A45" s="124"/>
      <c r="B45" s="62"/>
      <c r="C45" s="131"/>
      <c r="D45" s="74">
        <f t="shared" ref="D45:L49" si="29">D29*100/30690076</f>
        <v>49.768355086510702</v>
      </c>
      <c r="E45" s="74">
        <f t="shared" si="29"/>
        <v>67.974292406444349</v>
      </c>
      <c r="F45" s="74">
        <f t="shared" si="29"/>
        <v>90.1898776659921</v>
      </c>
      <c r="G45" s="74">
        <f t="shared" si="29"/>
        <v>94.753991485716753</v>
      </c>
      <c r="H45" s="74">
        <f t="shared" si="29"/>
        <v>79.611363621256586</v>
      </c>
      <c r="I45" s="74">
        <f t="shared" si="29"/>
        <v>86.520847977046387</v>
      </c>
      <c r="J45" s="74">
        <f t="shared" si="29"/>
        <v>86.269555018371406</v>
      </c>
      <c r="K45" s="74">
        <f t="shared" si="29"/>
        <v>85.842700422116906</v>
      </c>
      <c r="L45" s="74">
        <f t="shared" si="29"/>
        <v>89.711084456095847</v>
      </c>
    </row>
    <row r="46" spans="1:12" x14ac:dyDescent="0.25">
      <c r="A46" s="124"/>
      <c r="B46" s="62"/>
      <c r="C46" s="131"/>
      <c r="D46" s="74">
        <f t="shared" si="29"/>
        <v>52.555721921314237</v>
      </c>
      <c r="E46" s="74">
        <f t="shared" si="29"/>
        <v>68.664880464942485</v>
      </c>
      <c r="F46" s="74">
        <f t="shared" si="29"/>
        <v>82.782512496873579</v>
      </c>
      <c r="G46" s="74">
        <f t="shared" si="29"/>
        <v>80.195037640180487</v>
      </c>
      <c r="H46" s="74">
        <f t="shared" si="29"/>
        <v>70.618150310217544</v>
      </c>
      <c r="I46" s="74">
        <f t="shared" si="29"/>
        <v>86.933339624183404</v>
      </c>
      <c r="J46" s="74">
        <f t="shared" si="29"/>
        <v>79.655338748590907</v>
      </c>
      <c r="K46" s="74">
        <f t="shared" si="29"/>
        <v>85.854026558943673</v>
      </c>
      <c r="L46" s="74">
        <f t="shared" si="29"/>
        <v>83.470793620713096</v>
      </c>
    </row>
    <row r="47" spans="1:12" x14ac:dyDescent="0.25">
      <c r="A47" s="124"/>
      <c r="B47" s="62"/>
      <c r="C47" s="131" t="s">
        <v>65</v>
      </c>
      <c r="D47" s="74">
        <f t="shared" si="29"/>
        <v>65.559896300028711</v>
      </c>
      <c r="E47" s="74">
        <f t="shared" si="29"/>
        <v>73.445324801411374</v>
      </c>
      <c r="F47" s="74">
        <f t="shared" si="29"/>
        <v>100.01764088169739</v>
      </c>
      <c r="G47" s="74">
        <f t="shared" si="29"/>
        <v>102.08060742501908</v>
      </c>
      <c r="H47" s="74">
        <f t="shared" si="29"/>
        <v>76.603238128181886</v>
      </c>
      <c r="I47" s="74">
        <f t="shared" si="29"/>
        <v>91.333289627565605</v>
      </c>
      <c r="J47" s="74">
        <f t="shared" si="29"/>
        <v>99.795158539196834</v>
      </c>
      <c r="K47" s="74">
        <f t="shared" si="29"/>
        <v>105.19857950172558</v>
      </c>
      <c r="L47" s="74">
        <f t="shared" si="29"/>
        <v>88.322713831011697</v>
      </c>
    </row>
    <row r="48" spans="1:12" x14ac:dyDescent="0.25">
      <c r="A48" s="124"/>
      <c r="B48" s="62"/>
      <c r="C48" s="131"/>
      <c r="D48" s="74">
        <f t="shared" si="29"/>
        <v>60.613007279617037</v>
      </c>
      <c r="E48" s="74">
        <f t="shared" si="29"/>
        <v>91.75675550624247</v>
      </c>
      <c r="F48" s="74">
        <f t="shared" si="29"/>
        <v>98.969373682880416</v>
      </c>
      <c r="G48" s="74">
        <f t="shared" si="29"/>
        <v>97.305363466678941</v>
      </c>
      <c r="H48" s="74">
        <f t="shared" si="29"/>
        <v>81.594063175340452</v>
      </c>
      <c r="I48" s="74">
        <f t="shared" si="29"/>
        <v>96.329986279603872</v>
      </c>
      <c r="J48" s="74">
        <f t="shared" si="29"/>
        <v>103.23709853308932</v>
      </c>
      <c r="K48" s="74">
        <f t="shared" si="29"/>
        <v>115.75784954067888</v>
      </c>
      <c r="L48" s="74">
        <f t="shared" si="29"/>
        <v>105.3501594456788</v>
      </c>
    </row>
    <row r="49" spans="1:12" x14ac:dyDescent="0.25">
      <c r="A49" s="124"/>
      <c r="B49" s="62"/>
      <c r="C49" s="131"/>
      <c r="D49" s="74">
        <f t="shared" si="29"/>
        <v>68.696786544288784</v>
      </c>
      <c r="E49" s="74">
        <f t="shared" si="29"/>
        <v>80.755472876639345</v>
      </c>
      <c r="F49" s="74">
        <f t="shared" si="29"/>
        <v>96.247014833068519</v>
      </c>
      <c r="G49" s="74">
        <f t="shared" si="29"/>
        <v>108.53675957009686</v>
      </c>
      <c r="H49" s="74">
        <f t="shared" si="29"/>
        <v>82.580896834533746</v>
      </c>
      <c r="I49" s="74">
        <f t="shared" si="29"/>
        <v>110.53050504013089</v>
      </c>
      <c r="J49" s="74">
        <f t="shared" si="29"/>
        <v>106.85574059836151</v>
      </c>
      <c r="K49" s="74">
        <f t="shared" si="29"/>
        <v>118.40768331756493</v>
      </c>
      <c r="L49" s="74">
        <f t="shared" si="29"/>
        <v>108.1973860214618</v>
      </c>
    </row>
    <row r="50" spans="1:12" x14ac:dyDescent="0.25">
      <c r="A50" s="5"/>
      <c r="B50" s="62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B51" s="62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B52" s="62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 t="s">
        <v>10</v>
      </c>
      <c r="B53" s="62"/>
      <c r="C53" s="3"/>
      <c r="D53" s="125" t="s">
        <v>4</v>
      </c>
      <c r="E53" s="126"/>
      <c r="F53" s="126"/>
      <c r="G53" s="126"/>
      <c r="H53" s="126"/>
      <c r="I53" s="126"/>
      <c r="J53" s="126"/>
      <c r="K53" s="126"/>
      <c r="L53" s="127"/>
    </row>
    <row r="54" spans="1:12" ht="15.75" customHeight="1" thickBot="1" x14ac:dyDescent="0.3">
      <c r="B54" s="62"/>
      <c r="C54" s="72"/>
      <c r="D54" s="59">
        <v>40</v>
      </c>
      <c r="E54" s="73">
        <f>D54/2</f>
        <v>20</v>
      </c>
      <c r="F54" s="73">
        <f t="shared" ref="F54:L54" si="30">E54/2</f>
        <v>10</v>
      </c>
      <c r="G54" s="73">
        <f t="shared" si="30"/>
        <v>5</v>
      </c>
      <c r="H54" s="92">
        <f t="shared" si="30"/>
        <v>2.5</v>
      </c>
      <c r="I54" s="92">
        <f t="shared" si="30"/>
        <v>1.25</v>
      </c>
      <c r="J54" s="92">
        <f t="shared" si="30"/>
        <v>0.625</v>
      </c>
      <c r="K54" s="92">
        <f t="shared" si="30"/>
        <v>0.3125</v>
      </c>
      <c r="L54" s="92">
        <f t="shared" si="30"/>
        <v>0.15625</v>
      </c>
    </row>
    <row r="55" spans="1:12" ht="15" customHeight="1" x14ac:dyDescent="0.25">
      <c r="A55" s="124" t="s">
        <v>51</v>
      </c>
      <c r="B55" s="128" t="s">
        <v>45</v>
      </c>
      <c r="C55" s="41" t="s">
        <v>8</v>
      </c>
      <c r="D55" s="76">
        <f>AVERAGE(D38:D40)</f>
        <v>41.32450616137163</v>
      </c>
      <c r="E55" s="76">
        <f t="shared" ref="E55:L55" si="31">AVERAGE(E38:E40)</f>
        <v>43.611003027964422</v>
      </c>
      <c r="F55" s="76">
        <f t="shared" si="31"/>
        <v>79.624700836068044</v>
      </c>
      <c r="G55" s="76">
        <f t="shared" si="31"/>
        <v>72.81547467159163</v>
      </c>
      <c r="H55" s="76">
        <f t="shared" si="31"/>
        <v>82.200910501378885</v>
      </c>
      <c r="I55" s="76">
        <f t="shared" si="31"/>
        <v>94.405397283869164</v>
      </c>
      <c r="J55" s="76">
        <f t="shared" si="31"/>
        <v>96.323851410872763</v>
      </c>
      <c r="K55" s="76">
        <f t="shared" si="31"/>
        <v>99.412915459225133</v>
      </c>
      <c r="L55" s="76">
        <f t="shared" si="31"/>
        <v>97.691748210685489</v>
      </c>
    </row>
    <row r="56" spans="1:12" x14ac:dyDescent="0.25">
      <c r="A56" s="124"/>
      <c r="B56" s="129"/>
      <c r="C56" s="45" t="s">
        <v>3</v>
      </c>
      <c r="D56" s="74">
        <f>STDEV(D38:D40)</f>
        <v>11.222561559988128</v>
      </c>
      <c r="E56" s="74">
        <f t="shared" ref="E56:L56" si="32">STDEV(E38:E40)</f>
        <v>14.31160861174247</v>
      </c>
      <c r="F56" s="74">
        <f t="shared" si="32"/>
        <v>5.0719560787609614</v>
      </c>
      <c r="G56" s="74">
        <f t="shared" si="32"/>
        <v>1.3988567677012682</v>
      </c>
      <c r="H56" s="74">
        <f t="shared" si="32"/>
        <v>3.1859173464581172</v>
      </c>
      <c r="I56" s="74">
        <f t="shared" si="32"/>
        <v>5.2874400848029772</v>
      </c>
      <c r="J56" s="74">
        <f t="shared" si="32"/>
        <v>4.9692448581201534</v>
      </c>
      <c r="K56" s="74">
        <f t="shared" si="32"/>
        <v>6.3226765055456831</v>
      </c>
      <c r="L56" s="74">
        <f t="shared" si="32"/>
        <v>3.7340981702136919</v>
      </c>
    </row>
    <row r="57" spans="1:12" ht="15.75" thickBot="1" x14ac:dyDescent="0.3">
      <c r="A57" s="124"/>
      <c r="B57" s="130"/>
      <c r="C57" s="48" t="s">
        <v>11</v>
      </c>
      <c r="D57" s="77">
        <v>3</v>
      </c>
      <c r="E57" s="77">
        <v>3</v>
      </c>
      <c r="F57" s="77">
        <v>3</v>
      </c>
      <c r="G57" s="77">
        <v>3</v>
      </c>
      <c r="H57" s="77">
        <v>3</v>
      </c>
      <c r="I57" s="77">
        <v>3</v>
      </c>
      <c r="J57" s="77">
        <v>3</v>
      </c>
      <c r="K57" s="77">
        <v>3</v>
      </c>
      <c r="L57" s="77">
        <v>3</v>
      </c>
    </row>
    <row r="58" spans="1:12" x14ac:dyDescent="0.25">
      <c r="A58" s="124"/>
      <c r="B58" s="128" t="s">
        <v>0</v>
      </c>
      <c r="C58" s="41" t="s">
        <v>8</v>
      </c>
      <c r="D58" s="76">
        <f>AVERAGE(D41:D43)</f>
        <v>11.859256767926054</v>
      </c>
      <c r="E58" s="76">
        <f t="shared" ref="E58:L58" si="33">AVERAGE(E41:E43)</f>
        <v>55.385995790117335</v>
      </c>
      <c r="F58" s="76">
        <f t="shared" si="33"/>
        <v>69.807953043637156</v>
      </c>
      <c r="G58" s="76">
        <f t="shared" si="33"/>
        <v>74.496711126402943</v>
      </c>
      <c r="H58" s="76">
        <f t="shared" si="33"/>
        <v>79.130308619753919</v>
      </c>
      <c r="I58" s="76">
        <f t="shared" si="33"/>
        <v>94.320039955231877</v>
      </c>
      <c r="J58" s="76">
        <f t="shared" si="33"/>
        <v>96.614989294493668</v>
      </c>
      <c r="K58" s="76">
        <f t="shared" si="33"/>
        <v>95.708328398639409</v>
      </c>
      <c r="L58" s="76">
        <f t="shared" si="33"/>
        <v>102.17781034397522</v>
      </c>
    </row>
    <row r="59" spans="1:12" x14ac:dyDescent="0.25">
      <c r="A59" s="124"/>
      <c r="B59" s="129"/>
      <c r="C59" s="45" t="s">
        <v>3</v>
      </c>
      <c r="D59" s="74">
        <f>STDEV(D41:D43)</f>
        <v>5.8122236453167115</v>
      </c>
      <c r="E59" s="74">
        <f t="shared" ref="E59:L59" si="34">STDEV(E41:E43)</f>
        <v>4.0513107613873691</v>
      </c>
      <c r="F59" s="74">
        <f t="shared" si="34"/>
        <v>3.8551128435280755</v>
      </c>
      <c r="G59" s="74">
        <f t="shared" si="34"/>
        <v>3.2866031061731418</v>
      </c>
      <c r="H59" s="74">
        <f t="shared" si="34"/>
        <v>1.9178575408327125</v>
      </c>
      <c r="I59" s="74">
        <f t="shared" si="34"/>
        <v>5.8750586388348811</v>
      </c>
      <c r="J59" s="74">
        <f t="shared" si="34"/>
        <v>4.741967939924586</v>
      </c>
      <c r="K59" s="74">
        <f t="shared" si="34"/>
        <v>0.53965987346689148</v>
      </c>
      <c r="L59" s="74">
        <f t="shared" si="34"/>
        <v>3.9397013126695302</v>
      </c>
    </row>
    <row r="60" spans="1:12" ht="15.75" thickBot="1" x14ac:dyDescent="0.3">
      <c r="A60" s="124"/>
      <c r="B60" s="130"/>
      <c r="C60" s="48" t="s">
        <v>11</v>
      </c>
      <c r="D60" s="77">
        <v>3</v>
      </c>
      <c r="E60" s="77">
        <v>3</v>
      </c>
      <c r="F60" s="77">
        <v>3</v>
      </c>
      <c r="G60" s="77">
        <v>3</v>
      </c>
      <c r="H60" s="77">
        <v>3</v>
      </c>
      <c r="I60" s="77">
        <v>3</v>
      </c>
      <c r="J60" s="77">
        <v>3</v>
      </c>
      <c r="K60" s="77">
        <v>3</v>
      </c>
      <c r="L60" s="77">
        <v>3</v>
      </c>
    </row>
    <row r="61" spans="1:12" x14ac:dyDescent="0.25">
      <c r="A61" s="124"/>
      <c r="B61" s="128" t="s">
        <v>5</v>
      </c>
      <c r="C61" s="41" t="s">
        <v>8</v>
      </c>
      <c r="D61" s="76">
        <f>AVERAGE(D44:D46)</f>
        <v>53.744757751658881</v>
      </c>
      <c r="E61" s="76">
        <f t="shared" ref="E61:L61" si="35">AVERAGE(E44:E46)</f>
        <v>68.773423695659801</v>
      </c>
      <c r="F61" s="76">
        <f t="shared" si="35"/>
        <v>84.995067026444204</v>
      </c>
      <c r="G61" s="76">
        <f t="shared" si="35"/>
        <v>89.51704344644395</v>
      </c>
      <c r="H61" s="76">
        <f t="shared" si="35"/>
        <v>78.380768210979127</v>
      </c>
      <c r="I61" s="76">
        <f t="shared" si="35"/>
        <v>89.91023243691761</v>
      </c>
      <c r="J61" s="76">
        <f t="shared" si="35"/>
        <v>88.442528892184342</v>
      </c>
      <c r="K61" s="76">
        <f t="shared" si="35"/>
        <v>88.717464672727871</v>
      </c>
      <c r="L61" s="76">
        <f t="shared" si="35"/>
        <v>90.433059425029342</v>
      </c>
    </row>
    <row r="62" spans="1:12" x14ac:dyDescent="0.25">
      <c r="A62" s="124"/>
      <c r="B62" s="129"/>
      <c r="C62" s="45" t="s">
        <v>3</v>
      </c>
      <c r="D62" s="74">
        <f>STDEV(D44:D46)</f>
        <v>4.685474320277506</v>
      </c>
      <c r="E62" s="74">
        <f t="shared" ref="E62:L62" si="36">STDEV(E44:E46)</f>
        <v>0.85856434950237148</v>
      </c>
      <c r="F62" s="74">
        <f t="shared" si="36"/>
        <v>4.5152689085247335</v>
      </c>
      <c r="G62" s="74">
        <f t="shared" si="36"/>
        <v>8.0936121101058323</v>
      </c>
      <c r="H62" s="74">
        <f t="shared" si="36"/>
        <v>7.2263379229458389</v>
      </c>
      <c r="I62" s="74">
        <f t="shared" si="36"/>
        <v>5.5172141587497556</v>
      </c>
      <c r="J62" s="74">
        <f t="shared" si="36"/>
        <v>10.051410880179672</v>
      </c>
      <c r="K62" s="74">
        <f t="shared" si="36"/>
        <v>4.9694322463845282</v>
      </c>
      <c r="L62" s="74">
        <f t="shared" si="36"/>
        <v>7.349896232158371</v>
      </c>
    </row>
    <row r="63" spans="1:12" ht="15.75" thickBot="1" x14ac:dyDescent="0.3">
      <c r="A63" s="124"/>
      <c r="B63" s="130"/>
      <c r="C63" s="48" t="s">
        <v>11</v>
      </c>
      <c r="D63" s="77">
        <v>3</v>
      </c>
      <c r="E63" s="77">
        <v>3</v>
      </c>
      <c r="F63" s="77">
        <v>3</v>
      </c>
      <c r="G63" s="77">
        <v>3</v>
      </c>
      <c r="H63" s="77">
        <v>3</v>
      </c>
      <c r="I63" s="77">
        <v>3</v>
      </c>
      <c r="J63" s="77">
        <v>3</v>
      </c>
      <c r="K63" s="77">
        <v>3</v>
      </c>
      <c r="L63" s="77">
        <v>3</v>
      </c>
    </row>
    <row r="64" spans="1:12" x14ac:dyDescent="0.25">
      <c r="A64" s="124"/>
      <c r="B64" s="132" t="s">
        <v>65</v>
      </c>
      <c r="C64" s="41" t="s">
        <v>8</v>
      </c>
      <c r="D64" s="76">
        <f>AVERAGE(D47:D49)</f>
        <v>64.956563374644844</v>
      </c>
      <c r="E64" s="76">
        <f t="shared" ref="E64:K64" si="37">AVERAGE(E47:E49)</f>
        <v>81.985851061431063</v>
      </c>
      <c r="F64" s="76">
        <f t="shared" si="37"/>
        <v>98.41134313254878</v>
      </c>
      <c r="G64" s="76">
        <f t="shared" si="37"/>
        <v>102.64091015393164</v>
      </c>
      <c r="H64" s="76">
        <f t="shared" si="37"/>
        <v>80.259399379352033</v>
      </c>
      <c r="I64" s="76">
        <f t="shared" si="37"/>
        <v>99.397926982433447</v>
      </c>
      <c r="J64" s="76">
        <f t="shared" si="37"/>
        <v>103.29599922354923</v>
      </c>
      <c r="K64" s="76">
        <f t="shared" si="37"/>
        <v>113.12137078665647</v>
      </c>
      <c r="L64" s="76">
        <f>AVERAGE(L47:L49)</f>
        <v>100.62341976605076</v>
      </c>
    </row>
    <row r="65" spans="1:12" x14ac:dyDescent="0.25">
      <c r="A65" s="124"/>
      <c r="B65" s="133"/>
      <c r="C65" s="45" t="s">
        <v>3</v>
      </c>
      <c r="D65" s="74">
        <f>STDEV(D47:D49)</f>
        <v>4.0755220235110272</v>
      </c>
      <c r="E65" s="74">
        <f t="shared" ref="E65:L65" si="38">STDEV(E47:E49)</f>
        <v>9.217510318554913</v>
      </c>
      <c r="F65" s="74">
        <f t="shared" si="38"/>
        <v>1.9462666238152513</v>
      </c>
      <c r="G65" s="74">
        <f t="shared" si="38"/>
        <v>5.6366230110756881</v>
      </c>
      <c r="H65" s="74">
        <f t="shared" si="38"/>
        <v>3.2045431013871108</v>
      </c>
      <c r="I65" s="74">
        <f t="shared" si="38"/>
        <v>9.9595414059166085</v>
      </c>
      <c r="J65" s="74">
        <f t="shared" si="38"/>
        <v>3.5306595307466284</v>
      </c>
      <c r="K65" s="74">
        <f t="shared" si="38"/>
        <v>6.9880877977966298</v>
      </c>
      <c r="L65" s="74">
        <f t="shared" si="38"/>
        <v>10.74742758378442</v>
      </c>
    </row>
    <row r="66" spans="1:12" ht="15.75" thickBot="1" x14ac:dyDescent="0.3">
      <c r="A66" s="124"/>
      <c r="B66" s="133"/>
      <c r="C66" s="48" t="s">
        <v>11</v>
      </c>
      <c r="D66" s="77">
        <v>3</v>
      </c>
      <c r="E66" s="77">
        <v>3</v>
      </c>
      <c r="F66" s="77">
        <v>3</v>
      </c>
      <c r="G66" s="77">
        <v>3</v>
      </c>
      <c r="H66" s="77">
        <v>3</v>
      </c>
      <c r="I66" s="77">
        <v>3</v>
      </c>
      <c r="J66" s="77">
        <v>3</v>
      </c>
      <c r="K66" s="77">
        <v>3</v>
      </c>
      <c r="L66" s="77">
        <v>3</v>
      </c>
    </row>
    <row r="67" spans="1:12" x14ac:dyDescent="0.25">
      <c r="A67" s="5"/>
    </row>
  </sheetData>
  <mergeCells count="24">
    <mergeCell ref="D3:L3"/>
    <mergeCell ref="D20:L20"/>
    <mergeCell ref="C22:C24"/>
    <mergeCell ref="C25:C27"/>
    <mergeCell ref="C28:C30"/>
    <mergeCell ref="C5:C7"/>
    <mergeCell ref="C8:C10"/>
    <mergeCell ref="C11:C13"/>
    <mergeCell ref="C14:C16"/>
    <mergeCell ref="A5:A15"/>
    <mergeCell ref="A22:A33"/>
    <mergeCell ref="A38:A49"/>
    <mergeCell ref="A55:A66"/>
    <mergeCell ref="D53:L53"/>
    <mergeCell ref="B55:B57"/>
    <mergeCell ref="C31:C33"/>
    <mergeCell ref="D36:L36"/>
    <mergeCell ref="B58:B60"/>
    <mergeCell ref="B61:B63"/>
    <mergeCell ref="B64:B66"/>
    <mergeCell ref="C38:C40"/>
    <mergeCell ref="C41:C43"/>
    <mergeCell ref="C44:C46"/>
    <mergeCell ref="C47:C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47" workbookViewId="0">
      <selection activeCell="A53" sqref="A53:A66"/>
    </sheetView>
  </sheetViews>
  <sheetFormatPr defaultColWidth="11.42578125" defaultRowHeight="15" x14ac:dyDescent="0.25"/>
  <cols>
    <col min="1" max="1" width="27.7109375" style="3" customWidth="1"/>
    <col min="2" max="2" width="11.42578125" style="2"/>
    <col min="3" max="3" width="18.85546875" style="2" customWidth="1"/>
    <col min="4" max="16384" width="11.42578125" style="2"/>
  </cols>
  <sheetData>
    <row r="1" spans="1:15" x14ac:dyDescent="0.25">
      <c r="A1" s="2" t="s">
        <v>18</v>
      </c>
    </row>
    <row r="2" spans="1:15" x14ac:dyDescent="0.25">
      <c r="A2" s="2" t="s">
        <v>17</v>
      </c>
    </row>
    <row r="3" spans="1:15" ht="15" customHeight="1" x14ac:dyDescent="0.25">
      <c r="A3" s="3" t="s">
        <v>52</v>
      </c>
      <c r="D3" s="134" t="s">
        <v>4</v>
      </c>
      <c r="E3" s="135"/>
      <c r="F3" s="135"/>
      <c r="G3" s="135"/>
      <c r="H3" s="135"/>
      <c r="I3" s="135"/>
      <c r="J3" s="135"/>
      <c r="K3" s="135"/>
      <c r="L3" s="136"/>
    </row>
    <row r="4" spans="1:15" x14ac:dyDescent="0.25">
      <c r="A4" s="5"/>
      <c r="B4" s="56"/>
      <c r="C4" s="57"/>
      <c r="D4" s="86">
        <v>40</v>
      </c>
      <c r="E4" s="73">
        <f>D4/2</f>
        <v>20</v>
      </c>
      <c r="F4" s="73">
        <f t="shared" ref="F4:L4" si="0">E4/2</f>
        <v>10</v>
      </c>
      <c r="G4" s="73">
        <f t="shared" si="0"/>
        <v>5</v>
      </c>
      <c r="H4" s="92">
        <f t="shared" si="0"/>
        <v>2.5</v>
      </c>
      <c r="I4" s="92">
        <f t="shared" si="0"/>
        <v>1.25</v>
      </c>
      <c r="J4" s="92">
        <f t="shared" si="0"/>
        <v>0.625</v>
      </c>
      <c r="K4" s="92">
        <f t="shared" si="0"/>
        <v>0.3125</v>
      </c>
      <c r="L4" s="92">
        <f t="shared" si="0"/>
        <v>0.15625</v>
      </c>
      <c r="M4" s="87" t="s">
        <v>1</v>
      </c>
      <c r="N4" s="61" t="s">
        <v>2</v>
      </c>
      <c r="O4" s="62"/>
    </row>
    <row r="5" spans="1:15" ht="15.75" x14ac:dyDescent="0.3">
      <c r="A5" s="124" t="s">
        <v>50</v>
      </c>
      <c r="C5" s="137" t="s">
        <v>45</v>
      </c>
      <c r="D5" s="88">
        <v>80908312</v>
      </c>
      <c r="E5" s="88">
        <v>113258944</v>
      </c>
      <c r="F5" s="88">
        <v>110317040</v>
      </c>
      <c r="G5" s="88">
        <v>161179600</v>
      </c>
      <c r="H5" s="88">
        <v>168499552</v>
      </c>
      <c r="I5" s="88">
        <v>195227120</v>
      </c>
      <c r="J5" s="88">
        <v>164561456</v>
      </c>
      <c r="K5" s="88">
        <v>192256288</v>
      </c>
      <c r="L5" s="88">
        <v>157491744</v>
      </c>
      <c r="M5" s="89">
        <v>160271392</v>
      </c>
      <c r="N5" s="90">
        <v>14641001</v>
      </c>
      <c r="O5" s="62"/>
    </row>
    <row r="6" spans="1:15" ht="15.75" x14ac:dyDescent="0.3">
      <c r="A6" s="124"/>
      <c r="B6" s="91"/>
      <c r="C6" s="137"/>
      <c r="D6" s="88">
        <v>96295720</v>
      </c>
      <c r="E6" s="88">
        <v>101543816</v>
      </c>
      <c r="F6" s="88">
        <v>107785800</v>
      </c>
      <c r="G6" s="88">
        <v>159574976</v>
      </c>
      <c r="H6" s="88">
        <v>161714736</v>
      </c>
      <c r="I6" s="88">
        <v>198338736</v>
      </c>
      <c r="J6" s="88">
        <v>181532128</v>
      </c>
      <c r="K6" s="88">
        <v>203879904</v>
      </c>
      <c r="L6" s="88">
        <v>187971776</v>
      </c>
      <c r="M6" s="89">
        <v>163955136</v>
      </c>
      <c r="N6" s="90">
        <v>13075991</v>
      </c>
      <c r="O6" s="62"/>
    </row>
    <row r="7" spans="1:15" ht="15.75" x14ac:dyDescent="0.3">
      <c r="A7" s="124"/>
      <c r="B7" s="56"/>
      <c r="C7" s="137"/>
      <c r="D7" s="88">
        <v>88166656</v>
      </c>
      <c r="E7" s="88">
        <v>86176296</v>
      </c>
      <c r="F7" s="88">
        <v>106978224</v>
      </c>
      <c r="G7" s="88">
        <v>142325776</v>
      </c>
      <c r="H7" s="88">
        <v>142645120</v>
      </c>
      <c r="I7" s="88">
        <v>184122416</v>
      </c>
      <c r="J7" s="88">
        <v>178999520</v>
      </c>
      <c r="K7" s="88">
        <v>201981456</v>
      </c>
      <c r="L7" s="88">
        <v>177580864</v>
      </c>
      <c r="M7" s="89">
        <v>165085520</v>
      </c>
      <c r="N7" s="90">
        <v>13208900</v>
      </c>
    </row>
    <row r="8" spans="1:15" ht="15.75" x14ac:dyDescent="0.3">
      <c r="A8" s="124"/>
      <c r="B8" s="56"/>
      <c r="C8" s="137" t="s">
        <v>0</v>
      </c>
      <c r="D8" s="88">
        <v>83305168</v>
      </c>
      <c r="E8" s="88">
        <v>103053152</v>
      </c>
      <c r="F8" s="88">
        <v>103432736</v>
      </c>
      <c r="G8" s="88">
        <v>119643168</v>
      </c>
      <c r="H8" s="88">
        <v>167545904</v>
      </c>
      <c r="I8" s="88">
        <v>164019792</v>
      </c>
      <c r="J8" s="88">
        <v>157798592</v>
      </c>
      <c r="K8" s="88">
        <v>205817376</v>
      </c>
      <c r="L8" s="88">
        <v>179864160</v>
      </c>
      <c r="M8" s="83">
        <f>AVERAGE(M5:M7)</f>
        <v>163104016</v>
      </c>
      <c r="N8" s="65">
        <f>AVERAGE(N5:N7)</f>
        <v>13641964</v>
      </c>
      <c r="O8" s="84" t="s">
        <v>8</v>
      </c>
    </row>
    <row r="9" spans="1:15" ht="15.75" x14ac:dyDescent="0.3">
      <c r="A9" s="124"/>
      <c r="B9" s="56"/>
      <c r="C9" s="137"/>
      <c r="D9" s="88">
        <v>101125504</v>
      </c>
      <c r="E9" s="88">
        <v>94964392</v>
      </c>
      <c r="F9" s="88">
        <v>103729680</v>
      </c>
      <c r="G9" s="88">
        <v>111874824</v>
      </c>
      <c r="H9" s="88">
        <v>129785224</v>
      </c>
      <c r="I9" s="88">
        <v>174121088</v>
      </c>
      <c r="J9" s="88">
        <v>171663600</v>
      </c>
      <c r="K9" s="88">
        <v>208124176</v>
      </c>
      <c r="L9" s="88">
        <v>207146512</v>
      </c>
      <c r="N9" s="56"/>
    </row>
    <row r="10" spans="1:15" ht="15.75" x14ac:dyDescent="0.3">
      <c r="A10" s="124"/>
      <c r="B10" s="56"/>
      <c r="C10" s="137"/>
      <c r="D10" s="88">
        <v>103613056</v>
      </c>
      <c r="E10" s="88">
        <v>84648960</v>
      </c>
      <c r="F10" s="88">
        <v>108397256</v>
      </c>
      <c r="G10" s="88">
        <v>96155272</v>
      </c>
      <c r="H10" s="88">
        <v>142018544</v>
      </c>
      <c r="I10" s="88">
        <v>186868128</v>
      </c>
      <c r="J10" s="88">
        <v>169757136</v>
      </c>
      <c r="K10" s="88">
        <v>196514032</v>
      </c>
      <c r="L10" s="88">
        <v>179562160</v>
      </c>
      <c r="N10" s="56"/>
    </row>
    <row r="11" spans="1:15" ht="15.75" x14ac:dyDescent="0.3">
      <c r="A11" s="124"/>
      <c r="B11" s="56"/>
      <c r="C11" s="137" t="s">
        <v>5</v>
      </c>
      <c r="D11" s="88">
        <v>121513552</v>
      </c>
      <c r="E11" s="88">
        <v>122298632</v>
      </c>
      <c r="F11" s="88">
        <v>114601032</v>
      </c>
      <c r="G11" s="88">
        <v>142885056</v>
      </c>
      <c r="H11" s="88">
        <v>161427968</v>
      </c>
      <c r="I11" s="88">
        <v>168177568</v>
      </c>
      <c r="J11" s="88">
        <v>168175504</v>
      </c>
      <c r="K11" s="88">
        <v>163368880</v>
      </c>
      <c r="L11" s="88">
        <v>165213136</v>
      </c>
      <c r="M11" s="87" t="s">
        <v>1</v>
      </c>
      <c r="N11" s="61" t="s">
        <v>2</v>
      </c>
      <c r="O11" s="62"/>
    </row>
    <row r="12" spans="1:15" ht="15.75" x14ac:dyDescent="0.3">
      <c r="A12" s="124"/>
      <c r="B12" s="56"/>
      <c r="C12" s="137"/>
      <c r="D12" s="88">
        <v>114141512</v>
      </c>
      <c r="E12" s="88">
        <v>110705096</v>
      </c>
      <c r="F12" s="88">
        <v>104645088</v>
      </c>
      <c r="G12" s="88">
        <v>129957480</v>
      </c>
      <c r="H12" s="88">
        <v>144271696</v>
      </c>
      <c r="I12" s="88">
        <v>149612048</v>
      </c>
      <c r="J12" s="88">
        <v>155376112</v>
      </c>
      <c r="K12" s="88">
        <v>149057904</v>
      </c>
      <c r="L12" s="88">
        <v>153992752</v>
      </c>
      <c r="M12" s="7">
        <v>104935873</v>
      </c>
      <c r="N12" s="90">
        <v>13282399</v>
      </c>
      <c r="O12" s="62"/>
    </row>
    <row r="13" spans="1:15" ht="15.75" x14ac:dyDescent="0.3">
      <c r="A13" s="124"/>
      <c r="B13" s="56"/>
      <c r="C13" s="137"/>
      <c r="D13" s="88">
        <v>117078096</v>
      </c>
      <c r="E13" s="88">
        <v>101452728</v>
      </c>
      <c r="F13" s="88">
        <v>91573688</v>
      </c>
      <c r="G13" s="88">
        <v>115976080</v>
      </c>
      <c r="H13" s="88">
        <v>131081680</v>
      </c>
      <c r="I13" s="88">
        <v>137269328</v>
      </c>
      <c r="J13" s="88">
        <v>149333744</v>
      </c>
      <c r="K13" s="88">
        <v>137027744</v>
      </c>
      <c r="L13" s="88">
        <v>177067232</v>
      </c>
      <c r="M13" s="7">
        <v>137472752</v>
      </c>
      <c r="N13" s="90">
        <v>13629178</v>
      </c>
      <c r="O13" s="62"/>
    </row>
    <row r="14" spans="1:15" ht="15.75" x14ac:dyDescent="0.3">
      <c r="A14" s="124"/>
      <c r="B14" s="56"/>
      <c r="C14" s="137" t="s">
        <v>65</v>
      </c>
      <c r="D14" s="88">
        <v>87955400</v>
      </c>
      <c r="E14" s="88">
        <v>83239144</v>
      </c>
      <c r="F14" s="88">
        <v>71199032</v>
      </c>
      <c r="G14" s="88">
        <v>97800688</v>
      </c>
      <c r="H14" s="88">
        <v>109630280</v>
      </c>
      <c r="I14" s="88">
        <v>103640968</v>
      </c>
      <c r="J14" s="88">
        <v>91428688</v>
      </c>
      <c r="K14" s="88">
        <v>93325896</v>
      </c>
      <c r="L14" s="88">
        <v>126167376</v>
      </c>
      <c r="M14" s="7">
        <v>124665710</v>
      </c>
      <c r="N14" s="90">
        <v>13526356</v>
      </c>
    </row>
    <row r="15" spans="1:15" ht="15.75" x14ac:dyDescent="0.3">
      <c r="A15" s="124"/>
      <c r="B15" s="56"/>
      <c r="C15" s="137"/>
      <c r="D15" s="88">
        <v>69522328</v>
      </c>
      <c r="E15" s="88">
        <v>80575736</v>
      </c>
      <c r="F15" s="88">
        <v>61993128</v>
      </c>
      <c r="G15" s="88">
        <v>85132256</v>
      </c>
      <c r="H15" s="88">
        <v>107039880</v>
      </c>
      <c r="I15" s="88">
        <v>89544080</v>
      </c>
      <c r="J15" s="88">
        <v>90293168</v>
      </c>
      <c r="K15" s="88">
        <v>91695736</v>
      </c>
      <c r="L15" s="88">
        <v>91545040</v>
      </c>
      <c r="M15" s="83">
        <f>AVERAGE(M12:M14)</f>
        <v>122358111.66666667</v>
      </c>
      <c r="N15" s="65">
        <f>AVERAGE(N12:N14)</f>
        <v>13479311</v>
      </c>
      <c r="O15" s="84" t="s">
        <v>8</v>
      </c>
    </row>
    <row r="16" spans="1:15" ht="15.75" x14ac:dyDescent="0.3">
      <c r="A16" s="5"/>
      <c r="B16" s="56"/>
      <c r="C16" s="137"/>
      <c r="D16" s="88">
        <v>66803316</v>
      </c>
      <c r="E16" s="88">
        <v>69622176</v>
      </c>
      <c r="F16" s="88">
        <v>61588048</v>
      </c>
      <c r="G16" s="88">
        <v>77085776</v>
      </c>
      <c r="H16" s="88">
        <v>88962392</v>
      </c>
      <c r="I16" s="88">
        <v>85759264</v>
      </c>
      <c r="J16" s="88">
        <v>79448680</v>
      </c>
      <c r="K16" s="88">
        <v>76931328</v>
      </c>
      <c r="L16" s="88">
        <v>75207144</v>
      </c>
      <c r="N16" s="56"/>
    </row>
    <row r="17" spans="1:15" x14ac:dyDescent="0.25">
      <c r="B17" s="56"/>
    </row>
    <row r="18" spans="1:15" x14ac:dyDescent="0.25">
      <c r="B18" s="56"/>
    </row>
    <row r="19" spans="1:15" x14ac:dyDescent="0.25">
      <c r="B19" s="56"/>
    </row>
    <row r="20" spans="1:15" x14ac:dyDescent="0.25">
      <c r="B20" s="62"/>
      <c r="C20" s="3"/>
      <c r="D20" s="125" t="s">
        <v>4</v>
      </c>
      <c r="E20" s="126"/>
      <c r="F20" s="126"/>
      <c r="G20" s="126"/>
      <c r="H20" s="126"/>
      <c r="I20" s="126"/>
      <c r="J20" s="126"/>
      <c r="K20" s="126"/>
      <c r="L20" s="127"/>
      <c r="M20" s="56"/>
      <c r="N20" s="56"/>
      <c r="O20" s="56"/>
    </row>
    <row r="21" spans="1:15" x14ac:dyDescent="0.25">
      <c r="A21" s="71" t="s">
        <v>15</v>
      </c>
      <c r="B21" s="62"/>
      <c r="C21" s="72"/>
      <c r="D21" s="73">
        <v>40</v>
      </c>
      <c r="E21" s="73">
        <f>D21/2</f>
        <v>20</v>
      </c>
      <c r="F21" s="73">
        <f t="shared" ref="F21:L21" si="1">E21/2</f>
        <v>10</v>
      </c>
      <c r="G21" s="73">
        <f t="shared" si="1"/>
        <v>5</v>
      </c>
      <c r="H21" s="92">
        <f t="shared" si="1"/>
        <v>2.5</v>
      </c>
      <c r="I21" s="92">
        <f t="shared" si="1"/>
        <v>1.25</v>
      </c>
      <c r="J21" s="92">
        <f t="shared" si="1"/>
        <v>0.625</v>
      </c>
      <c r="K21" s="92">
        <f t="shared" si="1"/>
        <v>0.3125</v>
      </c>
      <c r="L21" s="92">
        <f t="shared" si="1"/>
        <v>0.15625</v>
      </c>
      <c r="M21" s="56"/>
      <c r="N21" s="56"/>
      <c r="O21" s="56"/>
    </row>
    <row r="22" spans="1:15" ht="15" customHeight="1" x14ac:dyDescent="0.25">
      <c r="A22" s="124" t="s">
        <v>50</v>
      </c>
      <c r="B22" s="62"/>
      <c r="C22" s="131" t="s">
        <v>45</v>
      </c>
      <c r="D22" s="74">
        <f>D5-13641964</f>
        <v>67266348</v>
      </c>
      <c r="E22" s="74">
        <f t="shared" ref="E22:L22" si="2">E5-13641964</f>
        <v>99616980</v>
      </c>
      <c r="F22" s="74">
        <f t="shared" si="2"/>
        <v>96675076</v>
      </c>
      <c r="G22" s="74">
        <f t="shared" si="2"/>
        <v>147537636</v>
      </c>
      <c r="H22" s="74">
        <f t="shared" si="2"/>
        <v>154857588</v>
      </c>
      <c r="I22" s="74">
        <f t="shared" si="2"/>
        <v>181585156</v>
      </c>
      <c r="J22" s="74">
        <f t="shared" si="2"/>
        <v>150919492</v>
      </c>
      <c r="K22" s="74">
        <f t="shared" si="2"/>
        <v>178614324</v>
      </c>
      <c r="L22" s="74">
        <f t="shared" si="2"/>
        <v>143849780</v>
      </c>
    </row>
    <row r="23" spans="1:15" x14ac:dyDescent="0.25">
      <c r="A23" s="124"/>
      <c r="B23" s="62"/>
      <c r="C23" s="131"/>
      <c r="D23" s="74">
        <f t="shared" ref="D23:L27" si="3">D6-13641964</f>
        <v>82653756</v>
      </c>
      <c r="E23" s="74">
        <f t="shared" si="3"/>
        <v>87901852</v>
      </c>
      <c r="F23" s="74">
        <f t="shared" si="3"/>
        <v>94143836</v>
      </c>
      <c r="G23" s="74">
        <f t="shared" si="3"/>
        <v>145933012</v>
      </c>
      <c r="H23" s="74">
        <f t="shared" si="3"/>
        <v>148072772</v>
      </c>
      <c r="I23" s="74">
        <f t="shared" si="3"/>
        <v>184696772</v>
      </c>
      <c r="J23" s="74">
        <f t="shared" si="3"/>
        <v>167890164</v>
      </c>
      <c r="K23" s="74">
        <f t="shared" si="3"/>
        <v>190237940</v>
      </c>
      <c r="L23" s="74">
        <f t="shared" si="3"/>
        <v>174329812</v>
      </c>
    </row>
    <row r="24" spans="1:15" x14ac:dyDescent="0.25">
      <c r="A24" s="124"/>
      <c r="B24" s="62"/>
      <c r="C24" s="131"/>
      <c r="D24" s="74">
        <f t="shared" si="3"/>
        <v>74524692</v>
      </c>
      <c r="E24" s="74">
        <f t="shared" si="3"/>
        <v>72534332</v>
      </c>
      <c r="F24" s="74">
        <f t="shared" si="3"/>
        <v>93336260</v>
      </c>
      <c r="G24" s="74">
        <f t="shared" si="3"/>
        <v>128683812</v>
      </c>
      <c r="H24" s="74">
        <f t="shared" si="3"/>
        <v>129003156</v>
      </c>
      <c r="I24" s="74">
        <f t="shared" si="3"/>
        <v>170480452</v>
      </c>
      <c r="J24" s="74">
        <f t="shared" si="3"/>
        <v>165357556</v>
      </c>
      <c r="K24" s="74">
        <f t="shared" si="3"/>
        <v>188339492</v>
      </c>
      <c r="L24" s="74">
        <f t="shared" si="3"/>
        <v>163938900</v>
      </c>
    </row>
    <row r="25" spans="1:15" x14ac:dyDescent="0.25">
      <c r="A25" s="124"/>
      <c r="B25" s="62"/>
      <c r="C25" s="131" t="s">
        <v>0</v>
      </c>
      <c r="D25" s="74">
        <f t="shared" si="3"/>
        <v>69663204</v>
      </c>
      <c r="E25" s="74">
        <f t="shared" si="3"/>
        <v>89411188</v>
      </c>
      <c r="F25" s="74">
        <f t="shared" si="3"/>
        <v>89790772</v>
      </c>
      <c r="G25" s="74">
        <f t="shared" si="3"/>
        <v>106001204</v>
      </c>
      <c r="H25" s="74">
        <f t="shared" si="3"/>
        <v>153903940</v>
      </c>
      <c r="I25" s="74">
        <f t="shared" si="3"/>
        <v>150377828</v>
      </c>
      <c r="J25" s="74">
        <f t="shared" si="3"/>
        <v>144156628</v>
      </c>
      <c r="K25" s="74">
        <f t="shared" si="3"/>
        <v>192175412</v>
      </c>
      <c r="L25" s="74">
        <f t="shared" si="3"/>
        <v>166222196</v>
      </c>
    </row>
    <row r="26" spans="1:15" x14ac:dyDescent="0.25">
      <c r="A26" s="124"/>
      <c r="B26" s="62"/>
      <c r="C26" s="131"/>
      <c r="D26" s="74">
        <f t="shared" si="3"/>
        <v>87483540</v>
      </c>
      <c r="E26" s="74">
        <f t="shared" si="3"/>
        <v>81322428</v>
      </c>
      <c r="F26" s="74">
        <f t="shared" si="3"/>
        <v>90087716</v>
      </c>
      <c r="G26" s="74">
        <f t="shared" si="3"/>
        <v>98232860</v>
      </c>
      <c r="H26" s="74">
        <f t="shared" si="3"/>
        <v>116143260</v>
      </c>
      <c r="I26" s="74">
        <f t="shared" si="3"/>
        <v>160479124</v>
      </c>
      <c r="J26" s="74">
        <f t="shared" si="3"/>
        <v>158021636</v>
      </c>
      <c r="K26" s="74">
        <f t="shared" si="3"/>
        <v>194482212</v>
      </c>
      <c r="L26" s="74">
        <f t="shared" si="3"/>
        <v>193504548</v>
      </c>
    </row>
    <row r="27" spans="1:15" x14ac:dyDescent="0.25">
      <c r="A27" s="124"/>
      <c r="B27" s="62"/>
      <c r="C27" s="131"/>
      <c r="D27" s="74">
        <f t="shared" si="3"/>
        <v>89971092</v>
      </c>
      <c r="E27" s="74">
        <f t="shared" si="3"/>
        <v>71006996</v>
      </c>
      <c r="F27" s="74">
        <f t="shared" si="3"/>
        <v>94755292</v>
      </c>
      <c r="G27" s="74">
        <f t="shared" si="3"/>
        <v>82513308</v>
      </c>
      <c r="H27" s="74">
        <f t="shared" si="3"/>
        <v>128376580</v>
      </c>
      <c r="I27" s="74">
        <f t="shared" si="3"/>
        <v>173226164</v>
      </c>
      <c r="J27" s="74">
        <f t="shared" si="3"/>
        <v>156115172</v>
      </c>
      <c r="K27" s="74">
        <f t="shared" si="3"/>
        <v>182872068</v>
      </c>
      <c r="L27" s="74">
        <f t="shared" si="3"/>
        <v>165920196</v>
      </c>
    </row>
    <row r="28" spans="1:15" x14ac:dyDescent="0.25">
      <c r="A28" s="124"/>
      <c r="B28" s="62"/>
      <c r="C28" s="131" t="s">
        <v>5</v>
      </c>
      <c r="D28" s="74">
        <f>D11-13479311</f>
        <v>108034241</v>
      </c>
      <c r="E28" s="74">
        <f t="shared" ref="E28:L28" si="4">E11-13479311</f>
        <v>108819321</v>
      </c>
      <c r="F28" s="74">
        <f t="shared" si="4"/>
        <v>101121721</v>
      </c>
      <c r="G28" s="74">
        <f t="shared" si="4"/>
        <v>129405745</v>
      </c>
      <c r="H28" s="74">
        <f t="shared" si="4"/>
        <v>147948657</v>
      </c>
      <c r="I28" s="74">
        <f t="shared" si="4"/>
        <v>154698257</v>
      </c>
      <c r="J28" s="74">
        <f t="shared" si="4"/>
        <v>154696193</v>
      </c>
      <c r="K28" s="74">
        <f t="shared" si="4"/>
        <v>149889569</v>
      </c>
      <c r="L28" s="74">
        <f t="shared" si="4"/>
        <v>151733825</v>
      </c>
    </row>
    <row r="29" spans="1:15" x14ac:dyDescent="0.25">
      <c r="A29" s="124"/>
      <c r="B29" s="62"/>
      <c r="C29" s="131"/>
      <c r="D29" s="74">
        <f t="shared" ref="D29:L33" si="5">D12-13479311</f>
        <v>100662201</v>
      </c>
      <c r="E29" s="74">
        <f t="shared" si="5"/>
        <v>97225785</v>
      </c>
      <c r="F29" s="74">
        <f t="shared" si="5"/>
        <v>91165777</v>
      </c>
      <c r="G29" s="74">
        <f t="shared" si="5"/>
        <v>116478169</v>
      </c>
      <c r="H29" s="74">
        <f t="shared" si="5"/>
        <v>130792385</v>
      </c>
      <c r="I29" s="74">
        <f t="shared" si="5"/>
        <v>136132737</v>
      </c>
      <c r="J29" s="74">
        <f t="shared" si="5"/>
        <v>141896801</v>
      </c>
      <c r="K29" s="74">
        <f t="shared" si="5"/>
        <v>135578593</v>
      </c>
      <c r="L29" s="74">
        <f t="shared" si="5"/>
        <v>140513441</v>
      </c>
    </row>
    <row r="30" spans="1:15" x14ac:dyDescent="0.25">
      <c r="A30" s="124"/>
      <c r="B30" s="62"/>
      <c r="C30" s="131"/>
      <c r="D30" s="74">
        <f t="shared" si="5"/>
        <v>103598785</v>
      </c>
      <c r="E30" s="74">
        <f t="shared" si="5"/>
        <v>87973417</v>
      </c>
      <c r="F30" s="74">
        <f t="shared" si="5"/>
        <v>78094377</v>
      </c>
      <c r="G30" s="74">
        <f t="shared" si="5"/>
        <v>102496769</v>
      </c>
      <c r="H30" s="74">
        <f t="shared" si="5"/>
        <v>117602369</v>
      </c>
      <c r="I30" s="74">
        <f t="shared" si="5"/>
        <v>123790017</v>
      </c>
      <c r="J30" s="74">
        <f t="shared" si="5"/>
        <v>135854433</v>
      </c>
      <c r="K30" s="74">
        <f t="shared" si="5"/>
        <v>123548433</v>
      </c>
      <c r="L30" s="74">
        <f t="shared" si="5"/>
        <v>163587921</v>
      </c>
    </row>
    <row r="31" spans="1:15" x14ac:dyDescent="0.25">
      <c r="A31" s="124"/>
      <c r="B31" s="62"/>
      <c r="C31" s="131" t="s">
        <v>65</v>
      </c>
      <c r="D31" s="74">
        <f t="shared" si="5"/>
        <v>74476089</v>
      </c>
      <c r="E31" s="74">
        <f t="shared" si="5"/>
        <v>69759833</v>
      </c>
      <c r="F31" s="74">
        <f t="shared" si="5"/>
        <v>57719721</v>
      </c>
      <c r="G31" s="74">
        <f t="shared" si="5"/>
        <v>84321377</v>
      </c>
      <c r="H31" s="74">
        <f t="shared" si="5"/>
        <v>96150969</v>
      </c>
      <c r="I31" s="74">
        <f t="shared" si="5"/>
        <v>90161657</v>
      </c>
      <c r="J31" s="74">
        <f t="shared" si="5"/>
        <v>77949377</v>
      </c>
      <c r="K31" s="74">
        <f t="shared" si="5"/>
        <v>79846585</v>
      </c>
      <c r="L31" s="74">
        <f t="shared" si="5"/>
        <v>112688065</v>
      </c>
    </row>
    <row r="32" spans="1:15" x14ac:dyDescent="0.25">
      <c r="A32" s="124"/>
      <c r="B32" s="62"/>
      <c r="C32" s="131"/>
      <c r="D32" s="74">
        <f t="shared" si="5"/>
        <v>56043017</v>
      </c>
      <c r="E32" s="74">
        <f t="shared" si="5"/>
        <v>67096425</v>
      </c>
      <c r="F32" s="74">
        <f t="shared" si="5"/>
        <v>48513817</v>
      </c>
      <c r="G32" s="74">
        <f t="shared" si="5"/>
        <v>71652945</v>
      </c>
      <c r="H32" s="74">
        <f t="shared" si="5"/>
        <v>93560569</v>
      </c>
      <c r="I32" s="74">
        <f t="shared" si="5"/>
        <v>76064769</v>
      </c>
      <c r="J32" s="74">
        <f t="shared" si="5"/>
        <v>76813857</v>
      </c>
      <c r="K32" s="74">
        <f t="shared" si="5"/>
        <v>78216425</v>
      </c>
      <c r="L32" s="74">
        <f t="shared" si="5"/>
        <v>78065729</v>
      </c>
    </row>
    <row r="33" spans="1:12" x14ac:dyDescent="0.25">
      <c r="A33" s="124"/>
      <c r="B33" s="62"/>
      <c r="C33" s="131"/>
      <c r="D33" s="74">
        <f t="shared" si="5"/>
        <v>53324005</v>
      </c>
      <c r="E33" s="74">
        <f t="shared" si="5"/>
        <v>56142865</v>
      </c>
      <c r="F33" s="74">
        <f t="shared" si="5"/>
        <v>48108737</v>
      </c>
      <c r="G33" s="74">
        <f t="shared" si="5"/>
        <v>63606465</v>
      </c>
      <c r="H33" s="74">
        <f t="shared" si="5"/>
        <v>75483081</v>
      </c>
      <c r="I33" s="74">
        <f t="shared" si="5"/>
        <v>72279953</v>
      </c>
      <c r="J33" s="74">
        <f t="shared" si="5"/>
        <v>65969369</v>
      </c>
      <c r="K33" s="74">
        <f t="shared" si="5"/>
        <v>63452017</v>
      </c>
      <c r="L33" s="74">
        <f t="shared" si="5"/>
        <v>61727833</v>
      </c>
    </row>
    <row r="34" spans="1:12" x14ac:dyDescent="0.25">
      <c r="A34" s="5"/>
      <c r="B34" s="62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5"/>
      <c r="B35" s="62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75" t="s">
        <v>9</v>
      </c>
      <c r="B36" s="62"/>
      <c r="C36" s="3"/>
      <c r="D36" s="125" t="s">
        <v>4</v>
      </c>
      <c r="E36" s="126"/>
      <c r="F36" s="126"/>
      <c r="G36" s="126"/>
      <c r="H36" s="126"/>
      <c r="I36" s="126"/>
      <c r="J36" s="126"/>
      <c r="K36" s="126"/>
      <c r="L36" s="127"/>
    </row>
    <row r="37" spans="1:12" ht="15" customHeight="1" x14ac:dyDescent="0.25">
      <c r="A37" s="5"/>
      <c r="B37" s="62"/>
      <c r="C37" s="72"/>
      <c r="D37" s="73">
        <v>40</v>
      </c>
      <c r="E37" s="73">
        <f>D37/2</f>
        <v>20</v>
      </c>
      <c r="F37" s="73">
        <f t="shared" ref="F37:L37" si="6">E37/2</f>
        <v>10</v>
      </c>
      <c r="G37" s="73">
        <f t="shared" si="6"/>
        <v>5</v>
      </c>
      <c r="H37" s="92">
        <f t="shared" si="6"/>
        <v>2.5</v>
      </c>
      <c r="I37" s="92">
        <f t="shared" si="6"/>
        <v>1.25</v>
      </c>
      <c r="J37" s="92">
        <f t="shared" si="6"/>
        <v>0.625</v>
      </c>
      <c r="K37" s="92">
        <f t="shared" si="6"/>
        <v>0.3125</v>
      </c>
      <c r="L37" s="92">
        <f t="shared" si="6"/>
        <v>0.15625</v>
      </c>
    </row>
    <row r="38" spans="1:12" x14ac:dyDescent="0.25">
      <c r="A38" s="124" t="s">
        <v>51</v>
      </c>
      <c r="B38" s="62"/>
      <c r="C38" s="131" t="s">
        <v>45</v>
      </c>
      <c r="D38" s="74">
        <f>D22*100/163104016</f>
        <v>41.241380592369964</v>
      </c>
      <c r="E38" s="74">
        <f t="shared" ref="E38:L38" si="7">E22*100/163104016</f>
        <v>61.075737092825477</v>
      </c>
      <c r="F38" s="74">
        <f t="shared" si="7"/>
        <v>59.272039015887877</v>
      </c>
      <c r="G38" s="74">
        <f t="shared" si="7"/>
        <v>90.456163875204638</v>
      </c>
      <c r="H38" s="74">
        <f t="shared" si="7"/>
        <v>94.944068084749063</v>
      </c>
      <c r="I38" s="74">
        <f t="shared" si="7"/>
        <v>111.33089206092878</v>
      </c>
      <c r="J38" s="74">
        <f t="shared" si="7"/>
        <v>92.529599025936918</v>
      </c>
      <c r="K38" s="74">
        <f t="shared" si="7"/>
        <v>109.509458062639</v>
      </c>
      <c r="L38" s="74">
        <f t="shared" si="7"/>
        <v>88.195118383841631</v>
      </c>
    </row>
    <row r="39" spans="1:12" x14ac:dyDescent="0.25">
      <c r="A39" s="124"/>
      <c r="B39" s="62"/>
      <c r="C39" s="131"/>
      <c r="D39" s="74">
        <f t="shared" ref="D39:L43" si="8">D23*100/163104016</f>
        <v>50.675487965912502</v>
      </c>
      <c r="E39" s="74">
        <f t="shared" si="8"/>
        <v>53.893125476444432</v>
      </c>
      <c r="F39" s="74">
        <f t="shared" si="8"/>
        <v>57.720121373344973</v>
      </c>
      <c r="G39" s="74">
        <f t="shared" si="8"/>
        <v>89.472359773164627</v>
      </c>
      <c r="H39" s="74">
        <f t="shared" si="8"/>
        <v>90.784258800837861</v>
      </c>
      <c r="I39" s="74">
        <f t="shared" si="8"/>
        <v>113.23864153044521</v>
      </c>
      <c r="J39" s="74">
        <f t="shared" si="8"/>
        <v>102.93441456401662</v>
      </c>
      <c r="K39" s="74">
        <f t="shared" si="8"/>
        <v>116.63596315126907</v>
      </c>
      <c r="L39" s="74">
        <f t="shared" si="8"/>
        <v>106.88259938369636</v>
      </c>
    </row>
    <row r="40" spans="1:12" x14ac:dyDescent="0.25">
      <c r="A40" s="124"/>
      <c r="B40" s="62"/>
      <c r="C40" s="131"/>
      <c r="D40" s="74">
        <f t="shared" si="8"/>
        <v>45.691512586667393</v>
      </c>
      <c r="E40" s="74">
        <f t="shared" si="8"/>
        <v>44.471211548831512</v>
      </c>
      <c r="F40" s="74">
        <f t="shared" si="8"/>
        <v>57.224991933981563</v>
      </c>
      <c r="G40" s="74">
        <f t="shared" si="8"/>
        <v>78.896777133924161</v>
      </c>
      <c r="H40" s="74">
        <f t="shared" si="8"/>
        <v>79.092568756860047</v>
      </c>
      <c r="I40" s="74">
        <f t="shared" si="8"/>
        <v>104.52253487124437</v>
      </c>
      <c r="J40" s="74">
        <f t="shared" si="8"/>
        <v>101.38165819289208</v>
      </c>
      <c r="K40" s="74">
        <f t="shared" si="8"/>
        <v>115.4720138834595</v>
      </c>
      <c r="L40" s="74">
        <f t="shared" si="8"/>
        <v>100.51187212950047</v>
      </c>
    </row>
    <row r="41" spans="1:12" x14ac:dyDescent="0.25">
      <c r="A41" s="124"/>
      <c r="B41" s="62"/>
      <c r="C41" s="131" t="s">
        <v>0</v>
      </c>
      <c r="D41" s="74">
        <f t="shared" si="8"/>
        <v>42.710906640091558</v>
      </c>
      <c r="E41" s="74">
        <f t="shared" si="8"/>
        <v>54.818507963654312</v>
      </c>
      <c r="F41" s="74">
        <f t="shared" si="8"/>
        <v>55.051233073255538</v>
      </c>
      <c r="G41" s="74">
        <f t="shared" si="8"/>
        <v>64.989941142834894</v>
      </c>
      <c r="H41" s="74">
        <f t="shared" si="8"/>
        <v>94.359381071279074</v>
      </c>
      <c r="I41" s="74">
        <f t="shared" si="8"/>
        <v>92.197501746370236</v>
      </c>
      <c r="J41" s="74">
        <f t="shared" si="8"/>
        <v>88.383248638096077</v>
      </c>
      <c r="K41" s="74">
        <f t="shared" si="8"/>
        <v>117.82383825546025</v>
      </c>
      <c r="L41" s="74">
        <f t="shared" si="8"/>
        <v>101.91177389525467</v>
      </c>
    </row>
    <row r="42" spans="1:12" x14ac:dyDescent="0.25">
      <c r="A42" s="124"/>
      <c r="B42" s="62"/>
      <c r="C42" s="131"/>
      <c r="D42" s="74">
        <f t="shared" si="8"/>
        <v>53.636656009745337</v>
      </c>
      <c r="E42" s="74">
        <f t="shared" si="8"/>
        <v>49.859243196071887</v>
      </c>
      <c r="F42" s="74">
        <f t="shared" si="8"/>
        <v>55.233291128772699</v>
      </c>
      <c r="G42" s="74">
        <f t="shared" si="8"/>
        <v>60.227125247486242</v>
      </c>
      <c r="H42" s="74">
        <f t="shared" si="8"/>
        <v>71.208093367854289</v>
      </c>
      <c r="I42" s="74">
        <f t="shared" si="8"/>
        <v>98.390663783533086</v>
      </c>
      <c r="J42" s="74">
        <f t="shared" si="8"/>
        <v>96.883963911716307</v>
      </c>
      <c r="K42" s="74">
        <f t="shared" si="8"/>
        <v>119.23815045731308</v>
      </c>
      <c r="L42" s="74">
        <f t="shared" si="8"/>
        <v>118.63873909763203</v>
      </c>
    </row>
    <row r="43" spans="1:12" x14ac:dyDescent="0.25">
      <c r="A43" s="124"/>
      <c r="B43" s="62"/>
      <c r="C43" s="131"/>
      <c r="D43" s="74">
        <f t="shared" si="8"/>
        <v>55.161788290976233</v>
      </c>
      <c r="E43" s="74">
        <f t="shared" si="8"/>
        <v>43.53479315923159</v>
      </c>
      <c r="F43" s="74">
        <f t="shared" si="8"/>
        <v>58.095008525111972</v>
      </c>
      <c r="G43" s="74">
        <f t="shared" si="8"/>
        <v>50.589378498197128</v>
      </c>
      <c r="H43" s="74">
        <f t="shared" si="8"/>
        <v>78.708411447085396</v>
      </c>
      <c r="I43" s="74">
        <f t="shared" si="8"/>
        <v>106.20594651697601</v>
      </c>
      <c r="J43" s="74">
        <f t="shared" si="8"/>
        <v>95.715099988709042</v>
      </c>
      <c r="K43" s="74">
        <f t="shared" si="8"/>
        <v>112.11990512851627</v>
      </c>
      <c r="L43" s="74">
        <f t="shared" si="8"/>
        <v>101.72661597737728</v>
      </c>
    </row>
    <row r="44" spans="1:12" x14ac:dyDescent="0.25">
      <c r="A44" s="124"/>
      <c r="B44" s="62"/>
      <c r="C44" s="131" t="s">
        <v>5</v>
      </c>
      <c r="D44" s="74">
        <f>D28*100/122358112</f>
        <v>88.293484783419999</v>
      </c>
      <c r="E44" s="74">
        <f t="shared" ref="E44:L44" si="9">E28*100/122358112</f>
        <v>88.935109590445464</v>
      </c>
      <c r="F44" s="74">
        <f t="shared" si="9"/>
        <v>82.64406776724374</v>
      </c>
      <c r="G44" s="74">
        <f t="shared" si="9"/>
        <v>105.75984124370929</v>
      </c>
      <c r="H44" s="74">
        <f t="shared" si="9"/>
        <v>120.91446540136219</v>
      </c>
      <c r="I44" s="74">
        <f t="shared" si="9"/>
        <v>126.43073227543753</v>
      </c>
      <c r="J44" s="74">
        <f t="shared" si="9"/>
        <v>126.42904542364955</v>
      </c>
      <c r="K44" s="74">
        <f t="shared" si="9"/>
        <v>122.5007206714664</v>
      </c>
      <c r="L44" s="74">
        <f t="shared" si="9"/>
        <v>124.00798158768582</v>
      </c>
    </row>
    <row r="45" spans="1:12" x14ac:dyDescent="0.25">
      <c r="A45" s="124"/>
      <c r="B45" s="62"/>
      <c r="C45" s="131"/>
      <c r="D45" s="74">
        <f t="shared" ref="D45:L49" si="10">D29*100/122358112</f>
        <v>82.268514407937246</v>
      </c>
      <c r="E45" s="74">
        <f t="shared" si="10"/>
        <v>79.460023868298975</v>
      </c>
      <c r="F45" s="74">
        <f t="shared" si="10"/>
        <v>74.507342022407144</v>
      </c>
      <c r="G45" s="74">
        <f t="shared" si="10"/>
        <v>95.194480444418758</v>
      </c>
      <c r="H45" s="74">
        <f t="shared" si="10"/>
        <v>106.89310488870571</v>
      </c>
      <c r="I45" s="74">
        <f t="shared" si="10"/>
        <v>111.25763120633964</v>
      </c>
      <c r="J45" s="74">
        <f t="shared" si="10"/>
        <v>115.96844596621432</v>
      </c>
      <c r="K45" s="74">
        <f t="shared" si="10"/>
        <v>110.80474419219544</v>
      </c>
      <c r="L45" s="74">
        <f t="shared" si="10"/>
        <v>114.83786297716003</v>
      </c>
    </row>
    <row r="46" spans="1:12" x14ac:dyDescent="0.25">
      <c r="A46" s="124"/>
      <c r="B46" s="62"/>
      <c r="C46" s="131"/>
      <c r="D46" s="74">
        <f t="shared" si="10"/>
        <v>84.668505672921796</v>
      </c>
      <c r="E46" s="74">
        <f t="shared" si="10"/>
        <v>71.898311899418644</v>
      </c>
      <c r="F46" s="74">
        <f t="shared" si="10"/>
        <v>63.82443772914705</v>
      </c>
      <c r="G46" s="74">
        <f t="shared" si="10"/>
        <v>83.767857581849583</v>
      </c>
      <c r="H46" s="74">
        <f t="shared" si="10"/>
        <v>96.113258923119048</v>
      </c>
      <c r="I46" s="74">
        <f t="shared" si="10"/>
        <v>101.1702575142709</v>
      </c>
      <c r="J46" s="74">
        <f t="shared" si="10"/>
        <v>111.03018081874293</v>
      </c>
      <c r="K46" s="74">
        <f t="shared" si="10"/>
        <v>100.97281739685555</v>
      </c>
      <c r="L46" s="74">
        <f t="shared" si="10"/>
        <v>133.69601600260063</v>
      </c>
    </row>
    <row r="47" spans="1:12" x14ac:dyDescent="0.25">
      <c r="A47" s="124"/>
      <c r="B47" s="62"/>
      <c r="C47" s="131" t="s">
        <v>65</v>
      </c>
      <c r="D47" s="74">
        <f t="shared" si="10"/>
        <v>60.867308086610556</v>
      </c>
      <c r="E47" s="74">
        <f t="shared" si="10"/>
        <v>57.012838674725543</v>
      </c>
      <c r="F47" s="74">
        <f t="shared" si="10"/>
        <v>47.172778376966129</v>
      </c>
      <c r="G47" s="74">
        <f t="shared" si="10"/>
        <v>68.913597653419174</v>
      </c>
      <c r="H47" s="74">
        <f t="shared" si="10"/>
        <v>78.581605606990735</v>
      </c>
      <c r="I47" s="74">
        <f t="shared" si="10"/>
        <v>73.686701703929529</v>
      </c>
      <c r="J47" s="74">
        <f t="shared" si="10"/>
        <v>63.70593312194945</v>
      </c>
      <c r="K47" s="74">
        <f t="shared" si="10"/>
        <v>65.256470286171137</v>
      </c>
      <c r="L47" s="74">
        <f t="shared" si="10"/>
        <v>92.096930197811488</v>
      </c>
    </row>
    <row r="48" spans="1:12" x14ac:dyDescent="0.25">
      <c r="A48" s="124"/>
      <c r="B48" s="62"/>
      <c r="C48" s="131"/>
      <c r="D48" s="74">
        <f t="shared" si="10"/>
        <v>45.802453212092715</v>
      </c>
      <c r="E48" s="74">
        <f t="shared" si="10"/>
        <v>54.836106820608677</v>
      </c>
      <c r="F48" s="74">
        <f t="shared" si="10"/>
        <v>39.649040187870831</v>
      </c>
      <c r="G48" s="74">
        <f t="shared" si="10"/>
        <v>58.560028288112193</v>
      </c>
      <c r="H48" s="74">
        <f t="shared" si="10"/>
        <v>76.464541231234421</v>
      </c>
      <c r="I48" s="74">
        <f t="shared" si="10"/>
        <v>62.165693599456652</v>
      </c>
      <c r="J48" s="74">
        <f t="shared" si="10"/>
        <v>62.777903111156213</v>
      </c>
      <c r="K48" s="74">
        <f t="shared" si="10"/>
        <v>63.924184282934995</v>
      </c>
      <c r="L48" s="74">
        <f t="shared" si="10"/>
        <v>63.801024487857411</v>
      </c>
    </row>
    <row r="49" spans="1:12" x14ac:dyDescent="0.25">
      <c r="A49" s="124"/>
      <c r="B49" s="62"/>
      <c r="C49" s="131"/>
      <c r="D49" s="74">
        <f t="shared" si="10"/>
        <v>43.580277701571596</v>
      </c>
      <c r="E49" s="74">
        <f t="shared" si="10"/>
        <v>45.884056301882133</v>
      </c>
      <c r="F49" s="74">
        <f t="shared" si="10"/>
        <v>39.317979179018387</v>
      </c>
      <c r="G49" s="74">
        <f t="shared" si="10"/>
        <v>51.983856207261518</v>
      </c>
      <c r="H49" s="74">
        <f t="shared" si="10"/>
        <v>61.690295613583835</v>
      </c>
      <c r="I49" s="74">
        <f t="shared" si="10"/>
        <v>59.072465093282901</v>
      </c>
      <c r="J49" s="74">
        <f t="shared" si="10"/>
        <v>53.914994209783167</v>
      </c>
      <c r="K49" s="74">
        <f t="shared" si="10"/>
        <v>51.857630003313552</v>
      </c>
      <c r="L49" s="74">
        <f t="shared" si="10"/>
        <v>50.448500709131572</v>
      </c>
    </row>
    <row r="50" spans="1:12" x14ac:dyDescent="0.25">
      <c r="A50" s="5"/>
      <c r="B50" s="62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B51" s="62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B52" s="62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 t="s">
        <v>10</v>
      </c>
      <c r="B53" s="62"/>
      <c r="C53" s="3"/>
      <c r="D53" s="125" t="s">
        <v>4</v>
      </c>
      <c r="E53" s="126"/>
      <c r="F53" s="126"/>
      <c r="G53" s="126"/>
      <c r="H53" s="126"/>
      <c r="I53" s="126"/>
      <c r="J53" s="126"/>
      <c r="K53" s="126"/>
      <c r="L53" s="127"/>
    </row>
    <row r="54" spans="1:12" ht="15.75" customHeight="1" thickBot="1" x14ac:dyDescent="0.3">
      <c r="B54" s="62"/>
      <c r="C54" s="72"/>
      <c r="D54" s="59">
        <v>40</v>
      </c>
      <c r="E54" s="73">
        <f>D54/2</f>
        <v>20</v>
      </c>
      <c r="F54" s="73">
        <f t="shared" ref="F54:L54" si="11">E54/2</f>
        <v>10</v>
      </c>
      <c r="G54" s="73">
        <f t="shared" si="11"/>
        <v>5</v>
      </c>
      <c r="H54" s="92">
        <f t="shared" si="11"/>
        <v>2.5</v>
      </c>
      <c r="I54" s="92">
        <f t="shared" si="11"/>
        <v>1.25</v>
      </c>
      <c r="J54" s="92">
        <f t="shared" si="11"/>
        <v>0.625</v>
      </c>
      <c r="K54" s="92">
        <f t="shared" si="11"/>
        <v>0.3125</v>
      </c>
      <c r="L54" s="92">
        <f t="shared" si="11"/>
        <v>0.15625</v>
      </c>
    </row>
    <row r="55" spans="1:12" x14ac:dyDescent="0.25">
      <c r="A55" s="124" t="s">
        <v>51</v>
      </c>
      <c r="B55" s="128" t="s">
        <v>45</v>
      </c>
      <c r="C55" s="41" t="s">
        <v>8</v>
      </c>
      <c r="D55" s="76">
        <f>AVERAGE(D38:D40)</f>
        <v>45.869460381649951</v>
      </c>
      <c r="E55" s="76">
        <f t="shared" ref="E55:L55" si="12">AVERAGE(E38:E40)</f>
        <v>53.146691372700474</v>
      </c>
      <c r="F55" s="76">
        <f t="shared" si="12"/>
        <v>58.072384107738138</v>
      </c>
      <c r="G55" s="76">
        <f t="shared" si="12"/>
        <v>86.275100260764475</v>
      </c>
      <c r="H55" s="76">
        <f t="shared" si="12"/>
        <v>88.273631880815643</v>
      </c>
      <c r="I55" s="76">
        <f t="shared" si="12"/>
        <v>109.69735615420613</v>
      </c>
      <c r="J55" s="76">
        <f t="shared" si="12"/>
        <v>98.948557260948533</v>
      </c>
      <c r="K55" s="76">
        <f t="shared" si="12"/>
        <v>113.87247836578918</v>
      </c>
      <c r="L55" s="76">
        <f t="shared" si="12"/>
        <v>98.529863299012831</v>
      </c>
    </row>
    <row r="56" spans="1:12" x14ac:dyDescent="0.25">
      <c r="A56" s="124"/>
      <c r="B56" s="129"/>
      <c r="C56" s="45" t="s">
        <v>3</v>
      </c>
      <c r="D56" s="74">
        <f>STDEV(D38:D40)</f>
        <v>4.7195703773952546</v>
      </c>
      <c r="E56" s="74">
        <f t="shared" ref="E56:L56" si="13">STDEV(E38:E40)</f>
        <v>8.3273909502743333</v>
      </c>
      <c r="F56" s="74">
        <f t="shared" si="13"/>
        <v>1.0680202312769644</v>
      </c>
      <c r="G56" s="74">
        <f t="shared" si="13"/>
        <v>6.4087211478459301</v>
      </c>
      <c r="H56" s="74">
        <f t="shared" si="13"/>
        <v>8.2185730746992576</v>
      </c>
      <c r="I56" s="74">
        <f t="shared" si="13"/>
        <v>4.5819164650346291</v>
      </c>
      <c r="J56" s="74">
        <f t="shared" si="13"/>
        <v>5.6129343220934436</v>
      </c>
      <c r="K56" s="74">
        <f t="shared" si="13"/>
        <v>3.8230425185687098</v>
      </c>
      <c r="L56" s="74">
        <f t="shared" si="13"/>
        <v>9.5000924091864043</v>
      </c>
    </row>
    <row r="57" spans="1:12" ht="15.75" thickBot="1" x14ac:dyDescent="0.3">
      <c r="A57" s="124"/>
      <c r="B57" s="130"/>
      <c r="C57" s="48" t="s">
        <v>11</v>
      </c>
      <c r="D57" s="77">
        <v>3</v>
      </c>
      <c r="E57" s="77">
        <v>3</v>
      </c>
      <c r="F57" s="77">
        <v>3</v>
      </c>
      <c r="G57" s="77">
        <v>3</v>
      </c>
      <c r="H57" s="77">
        <v>3</v>
      </c>
      <c r="I57" s="77">
        <v>3</v>
      </c>
      <c r="J57" s="77">
        <v>3</v>
      </c>
      <c r="K57" s="77">
        <v>3</v>
      </c>
      <c r="L57" s="77">
        <v>3</v>
      </c>
    </row>
    <row r="58" spans="1:12" x14ac:dyDescent="0.25">
      <c r="A58" s="124"/>
      <c r="B58" s="128" t="s">
        <v>0</v>
      </c>
      <c r="C58" s="41" t="s">
        <v>8</v>
      </c>
      <c r="D58" s="76">
        <f>AVERAGE(D41:D43)</f>
        <v>50.503116980271045</v>
      </c>
      <c r="E58" s="76">
        <f t="shared" ref="E58:L58" si="14">AVERAGE(E41:E43)</f>
        <v>49.404181439652596</v>
      </c>
      <c r="F58" s="76">
        <f t="shared" si="14"/>
        <v>56.126510909046736</v>
      </c>
      <c r="G58" s="76">
        <f t="shared" si="14"/>
        <v>58.60214829617275</v>
      </c>
      <c r="H58" s="76">
        <f t="shared" si="14"/>
        <v>81.425295295406258</v>
      </c>
      <c r="I58" s="76">
        <f t="shared" si="14"/>
        <v>98.931370682293121</v>
      </c>
      <c r="J58" s="76">
        <f t="shared" si="14"/>
        <v>93.660770846173804</v>
      </c>
      <c r="K58" s="76">
        <f t="shared" si="14"/>
        <v>116.3939646137632</v>
      </c>
      <c r="L58" s="76">
        <f t="shared" si="14"/>
        <v>107.42570965675465</v>
      </c>
    </row>
    <row r="59" spans="1:12" x14ac:dyDescent="0.25">
      <c r="A59" s="124"/>
      <c r="B59" s="129"/>
      <c r="C59" s="45" t="s">
        <v>3</v>
      </c>
      <c r="D59" s="74">
        <f>STDEV(D41:D43)</f>
        <v>6.7912011903648359</v>
      </c>
      <c r="E59" s="74">
        <f t="shared" ref="E59:L59" si="15">STDEV(E41:E43)</f>
        <v>5.6556048172148383</v>
      </c>
      <c r="F59" s="74">
        <f t="shared" si="15"/>
        <v>1.7071975375554986</v>
      </c>
      <c r="G59" s="74">
        <f t="shared" si="15"/>
        <v>7.3365157731555239</v>
      </c>
      <c r="H59" s="74">
        <f t="shared" si="15"/>
        <v>11.812350484371718</v>
      </c>
      <c r="I59" s="74">
        <f t="shared" si="15"/>
        <v>7.0198578465345793</v>
      </c>
      <c r="J59" s="74">
        <f t="shared" si="15"/>
        <v>4.6076828460943604</v>
      </c>
      <c r="K59" s="74">
        <f t="shared" si="15"/>
        <v>3.7683893261776191</v>
      </c>
      <c r="L59" s="74">
        <f t="shared" si="15"/>
        <v>9.7112096463378421</v>
      </c>
    </row>
    <row r="60" spans="1:12" ht="15.75" thickBot="1" x14ac:dyDescent="0.3">
      <c r="A60" s="124"/>
      <c r="B60" s="130"/>
      <c r="C60" s="48" t="s">
        <v>11</v>
      </c>
      <c r="D60" s="77">
        <v>3</v>
      </c>
      <c r="E60" s="77">
        <v>3</v>
      </c>
      <c r="F60" s="77">
        <v>3</v>
      </c>
      <c r="G60" s="77">
        <v>3</v>
      </c>
      <c r="H60" s="77">
        <v>3</v>
      </c>
      <c r="I60" s="77">
        <v>3</v>
      </c>
      <c r="J60" s="77">
        <v>3</v>
      </c>
      <c r="K60" s="77">
        <v>3</v>
      </c>
      <c r="L60" s="77">
        <v>3</v>
      </c>
    </row>
    <row r="61" spans="1:12" x14ac:dyDescent="0.25">
      <c r="A61" s="124"/>
      <c r="B61" s="128" t="s">
        <v>5</v>
      </c>
      <c r="C61" s="41" t="s">
        <v>8</v>
      </c>
      <c r="D61" s="76">
        <f>AVERAGE(D44:D46)</f>
        <v>85.07683495475969</v>
      </c>
      <c r="E61" s="76">
        <f t="shared" ref="E61:L61" si="16">AVERAGE(E44:E46)</f>
        <v>80.097815119387704</v>
      </c>
      <c r="F61" s="76">
        <f t="shared" si="16"/>
        <v>73.658615839599307</v>
      </c>
      <c r="G61" s="76">
        <f t="shared" si="16"/>
        <v>94.907393089992539</v>
      </c>
      <c r="H61" s="76">
        <f t="shared" si="16"/>
        <v>107.97360973772898</v>
      </c>
      <c r="I61" s="76">
        <f t="shared" si="16"/>
        <v>112.95287366534937</v>
      </c>
      <c r="J61" s="76">
        <f t="shared" si="16"/>
        <v>117.80922406953562</v>
      </c>
      <c r="K61" s="76">
        <f t="shared" si="16"/>
        <v>111.42609408683911</v>
      </c>
      <c r="L61" s="76">
        <f t="shared" si="16"/>
        <v>124.18062018914883</v>
      </c>
    </row>
    <row r="62" spans="1:12" x14ac:dyDescent="0.25">
      <c r="A62" s="124"/>
      <c r="B62" s="129"/>
      <c r="C62" s="45" t="s">
        <v>3</v>
      </c>
      <c r="D62" s="74">
        <f>STDEV(D44:D46)</f>
        <v>3.0331693998466154</v>
      </c>
      <c r="E62" s="74">
        <f t="shared" ref="E62:L62" si="17">STDEV(E44:E46)</f>
        <v>8.5362873751542701</v>
      </c>
      <c r="F62" s="74">
        <f t="shared" si="17"/>
        <v>9.4384782032245198</v>
      </c>
      <c r="G62" s="74">
        <f t="shared" si="17"/>
        <v>10.998802239684085</v>
      </c>
      <c r="H62" s="74">
        <f t="shared" si="17"/>
        <v>12.435858584781533</v>
      </c>
      <c r="I62" s="74">
        <f t="shared" si="17"/>
        <v>12.71527748560786</v>
      </c>
      <c r="J62" s="74">
        <f t="shared" si="17"/>
        <v>7.8627352619372743</v>
      </c>
      <c r="K62" s="74">
        <f t="shared" si="17"/>
        <v>10.777393544773728</v>
      </c>
      <c r="L62" s="74">
        <f t="shared" si="17"/>
        <v>9.4302617645413189</v>
      </c>
    </row>
    <row r="63" spans="1:12" ht="15.75" thickBot="1" x14ac:dyDescent="0.3">
      <c r="A63" s="124"/>
      <c r="B63" s="130"/>
      <c r="C63" s="48" t="s">
        <v>11</v>
      </c>
      <c r="D63" s="77">
        <v>9</v>
      </c>
      <c r="E63" s="77">
        <v>9</v>
      </c>
      <c r="F63" s="77">
        <v>9</v>
      </c>
      <c r="G63" s="77">
        <v>9</v>
      </c>
      <c r="H63" s="77">
        <v>9</v>
      </c>
      <c r="I63" s="77">
        <v>9</v>
      </c>
      <c r="J63" s="77">
        <v>9</v>
      </c>
      <c r="K63" s="77">
        <v>9</v>
      </c>
      <c r="L63" s="77">
        <v>9</v>
      </c>
    </row>
    <row r="64" spans="1:12" x14ac:dyDescent="0.25">
      <c r="A64" s="124"/>
      <c r="B64" s="132" t="s">
        <v>65</v>
      </c>
      <c r="C64" s="41" t="s">
        <v>8</v>
      </c>
      <c r="D64" s="76">
        <f>AVERAGE(D47:D49)</f>
        <v>50.083346333424949</v>
      </c>
      <c r="E64" s="76">
        <f t="shared" ref="E64:L64" si="18">AVERAGE(E47:E49)</f>
        <v>52.577667265738789</v>
      </c>
      <c r="F64" s="76">
        <f t="shared" si="18"/>
        <v>42.046599247951782</v>
      </c>
      <c r="G64" s="76">
        <f t="shared" si="18"/>
        <v>59.819160716264292</v>
      </c>
      <c r="H64" s="76">
        <f t="shared" si="18"/>
        <v>72.245480817269666</v>
      </c>
      <c r="I64" s="76">
        <f t="shared" si="18"/>
        <v>64.974953465556368</v>
      </c>
      <c r="J64" s="76">
        <f t="shared" si="18"/>
        <v>60.132943480962943</v>
      </c>
      <c r="K64" s="76">
        <f t="shared" si="18"/>
        <v>60.346094857473226</v>
      </c>
      <c r="L64" s="76">
        <f t="shared" si="18"/>
        <v>68.782151798266824</v>
      </c>
    </row>
    <row r="65" spans="1:12" x14ac:dyDescent="0.25">
      <c r="A65" s="124"/>
      <c r="B65" s="133"/>
      <c r="C65" s="45" t="s">
        <v>3</v>
      </c>
      <c r="D65" s="74">
        <f>STDEV(D47:D49)</f>
        <v>9.4050459499418633</v>
      </c>
      <c r="E65" s="74">
        <f t="shared" ref="E65:L65" si="19">STDEV(E47:E49)</f>
        <v>5.89812353149527</v>
      </c>
      <c r="F65" s="74">
        <f t="shared" si="19"/>
        <v>4.4424863190506629</v>
      </c>
      <c r="G65" s="74">
        <f t="shared" si="19"/>
        <v>8.5348167650017555</v>
      </c>
      <c r="H65" s="74">
        <f t="shared" si="19"/>
        <v>9.2021433050054089</v>
      </c>
      <c r="I65" s="74">
        <f t="shared" si="19"/>
        <v>7.7014890556599491</v>
      </c>
      <c r="J65" s="74">
        <f t="shared" si="19"/>
        <v>5.4048570544887733</v>
      </c>
      <c r="K65" s="74">
        <f t="shared" si="19"/>
        <v>7.381346298869385</v>
      </c>
      <c r="L65" s="74">
        <f t="shared" si="19"/>
        <v>21.26632647356535</v>
      </c>
    </row>
    <row r="66" spans="1:12" ht="15.75" thickBot="1" x14ac:dyDescent="0.3">
      <c r="A66" s="124"/>
      <c r="B66" s="133"/>
      <c r="C66" s="48" t="s">
        <v>11</v>
      </c>
      <c r="D66" s="77">
        <v>3</v>
      </c>
      <c r="E66" s="77">
        <v>3</v>
      </c>
      <c r="F66" s="77">
        <v>3</v>
      </c>
      <c r="G66" s="77">
        <v>3</v>
      </c>
      <c r="H66" s="77">
        <v>3</v>
      </c>
      <c r="I66" s="77">
        <v>3</v>
      </c>
      <c r="J66" s="77">
        <v>3</v>
      </c>
      <c r="K66" s="77">
        <v>3</v>
      </c>
      <c r="L66" s="77">
        <v>3</v>
      </c>
    </row>
    <row r="67" spans="1:12" x14ac:dyDescent="0.25">
      <c r="A67" s="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</sheetData>
  <mergeCells count="24">
    <mergeCell ref="D53:L53"/>
    <mergeCell ref="B55:B57"/>
    <mergeCell ref="D20:L20"/>
    <mergeCell ref="C22:C24"/>
    <mergeCell ref="C25:C27"/>
    <mergeCell ref="C28:C30"/>
    <mergeCell ref="C31:C33"/>
    <mergeCell ref="D36:L36"/>
    <mergeCell ref="D3:L3"/>
    <mergeCell ref="C38:C40"/>
    <mergeCell ref="C41:C43"/>
    <mergeCell ref="C44:C46"/>
    <mergeCell ref="C47:C49"/>
    <mergeCell ref="A5:A15"/>
    <mergeCell ref="A22:A33"/>
    <mergeCell ref="A38:A49"/>
    <mergeCell ref="A55:A66"/>
    <mergeCell ref="C5:C7"/>
    <mergeCell ref="C8:C10"/>
    <mergeCell ref="C11:C13"/>
    <mergeCell ref="C14:C16"/>
    <mergeCell ref="B58:B60"/>
    <mergeCell ref="B61:B63"/>
    <mergeCell ref="B64:B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30" workbookViewId="0">
      <selection activeCell="A36" sqref="A36:A49"/>
    </sheetView>
  </sheetViews>
  <sheetFormatPr defaultColWidth="22.5703125" defaultRowHeight="15" x14ac:dyDescent="0.25"/>
  <cols>
    <col min="1" max="16384" width="22.5703125" style="3"/>
  </cols>
  <sheetData>
    <row r="1" spans="1:15" x14ac:dyDescent="0.25">
      <c r="A1" s="2" t="s">
        <v>18</v>
      </c>
    </row>
    <row r="2" spans="1:15" x14ac:dyDescent="0.25">
      <c r="A2" s="2" t="s">
        <v>16</v>
      </c>
    </row>
    <row r="3" spans="1:15" x14ac:dyDescent="0.25">
      <c r="A3" s="3" t="s">
        <v>52</v>
      </c>
      <c r="D3" s="125" t="s">
        <v>4</v>
      </c>
      <c r="E3" s="126"/>
      <c r="F3" s="126"/>
      <c r="G3" s="126"/>
      <c r="H3" s="126"/>
      <c r="I3" s="126"/>
      <c r="J3" s="126"/>
      <c r="K3" s="126"/>
      <c r="L3" s="127"/>
    </row>
    <row r="4" spans="1:15" x14ac:dyDescent="0.25">
      <c r="A4" s="5"/>
      <c r="B4" s="62"/>
      <c r="C4" s="72"/>
      <c r="D4" s="73">
        <v>40</v>
      </c>
      <c r="E4" s="73">
        <f>D4/2</f>
        <v>20</v>
      </c>
      <c r="F4" s="73">
        <f t="shared" ref="F4:L4" si="0">E4/2</f>
        <v>10</v>
      </c>
      <c r="G4" s="73">
        <f t="shared" si="0"/>
        <v>5</v>
      </c>
      <c r="H4" s="92">
        <f t="shared" si="0"/>
        <v>2.5</v>
      </c>
      <c r="I4" s="92">
        <f t="shared" si="0"/>
        <v>1.25</v>
      </c>
      <c r="J4" s="92">
        <f t="shared" si="0"/>
        <v>0.625</v>
      </c>
      <c r="K4" s="92">
        <f t="shared" si="0"/>
        <v>0.3125</v>
      </c>
      <c r="L4" s="92">
        <f t="shared" si="0"/>
        <v>0.15625</v>
      </c>
      <c r="M4" s="73" t="s">
        <v>1</v>
      </c>
      <c r="N4" s="78" t="s">
        <v>2</v>
      </c>
      <c r="O4" s="62"/>
    </row>
    <row r="5" spans="1:15" x14ac:dyDescent="0.25">
      <c r="A5" s="124" t="s">
        <v>50</v>
      </c>
      <c r="C5" s="131" t="s">
        <v>45</v>
      </c>
      <c r="D5" s="74">
        <v>37478992</v>
      </c>
      <c r="E5" s="74">
        <v>64193180</v>
      </c>
      <c r="F5" s="74">
        <v>75709920</v>
      </c>
      <c r="G5" s="74">
        <v>98035520</v>
      </c>
      <c r="H5" s="74">
        <v>155414976</v>
      </c>
      <c r="I5" s="74">
        <v>176982800</v>
      </c>
      <c r="J5" s="74">
        <v>226314784</v>
      </c>
      <c r="K5" s="74">
        <v>155998784</v>
      </c>
      <c r="L5" s="74">
        <v>172608672</v>
      </c>
      <c r="M5" s="79">
        <v>143170720</v>
      </c>
      <c r="N5" s="80">
        <v>9148736</v>
      </c>
      <c r="O5" s="62"/>
    </row>
    <row r="6" spans="1:15" x14ac:dyDescent="0.25">
      <c r="A6" s="124"/>
      <c r="B6" s="1"/>
      <c r="C6" s="131"/>
      <c r="D6" s="74">
        <v>67491856</v>
      </c>
      <c r="E6" s="74">
        <v>61940136</v>
      </c>
      <c r="F6" s="74">
        <v>74577056</v>
      </c>
      <c r="G6" s="74">
        <v>94565688</v>
      </c>
      <c r="H6" s="74">
        <v>147651088</v>
      </c>
      <c r="I6" s="74">
        <v>166570128</v>
      </c>
      <c r="J6" s="74">
        <v>151654816</v>
      </c>
      <c r="K6" s="74">
        <v>161341024</v>
      </c>
      <c r="L6" s="74">
        <v>172952304</v>
      </c>
      <c r="M6" s="79">
        <v>133291256</v>
      </c>
      <c r="N6" s="80">
        <v>8825388</v>
      </c>
      <c r="O6" s="62"/>
    </row>
    <row r="7" spans="1:15" x14ac:dyDescent="0.25">
      <c r="A7" s="124"/>
      <c r="B7" s="62"/>
      <c r="C7" s="131"/>
      <c r="D7" s="74">
        <v>69388192</v>
      </c>
      <c r="E7" s="74">
        <v>70031304</v>
      </c>
      <c r="F7" s="74">
        <v>83189752</v>
      </c>
      <c r="G7" s="74">
        <v>100522200</v>
      </c>
      <c r="H7" s="74">
        <v>148088768</v>
      </c>
      <c r="I7" s="74">
        <v>196121312</v>
      </c>
      <c r="J7" s="74">
        <v>177211728</v>
      </c>
      <c r="K7" s="74">
        <v>171283152</v>
      </c>
      <c r="L7" s="74">
        <v>154415360</v>
      </c>
      <c r="M7" s="81">
        <v>153765312</v>
      </c>
      <c r="N7" s="82">
        <v>9100659</v>
      </c>
    </row>
    <row r="8" spans="1:15" x14ac:dyDescent="0.25">
      <c r="A8" s="124"/>
      <c r="B8" s="62"/>
      <c r="C8" s="131" t="s">
        <v>0</v>
      </c>
      <c r="D8" s="74">
        <v>16849240</v>
      </c>
      <c r="E8" s="74">
        <v>61282844</v>
      </c>
      <c r="F8" s="74">
        <v>67416248</v>
      </c>
      <c r="G8" s="74">
        <v>101910344</v>
      </c>
      <c r="H8" s="74">
        <v>142796144</v>
      </c>
      <c r="I8" s="74">
        <v>163651376</v>
      </c>
      <c r="J8" s="74">
        <v>170699552</v>
      </c>
      <c r="K8" s="74">
        <v>160771968</v>
      </c>
      <c r="L8" s="74">
        <v>165649536</v>
      </c>
      <c r="M8" s="83">
        <f>AVERAGE(M5:M7)</f>
        <v>143409096</v>
      </c>
      <c r="N8" s="65">
        <f>AVERAGE(N5:N7)</f>
        <v>9024927.666666666</v>
      </c>
      <c r="O8" s="84" t="s">
        <v>8</v>
      </c>
    </row>
    <row r="9" spans="1:15" x14ac:dyDescent="0.25">
      <c r="A9" s="124"/>
      <c r="B9" s="62"/>
      <c r="C9" s="131"/>
      <c r="D9" s="74">
        <v>14925223</v>
      </c>
      <c r="E9" s="74">
        <v>73395896</v>
      </c>
      <c r="F9" s="74">
        <v>70995432</v>
      </c>
      <c r="G9" s="74">
        <v>110344704</v>
      </c>
      <c r="H9" s="74">
        <v>154805744</v>
      </c>
      <c r="I9" s="74">
        <v>158001920</v>
      </c>
      <c r="J9" s="74">
        <v>166853376</v>
      </c>
      <c r="K9" s="74">
        <v>196122736</v>
      </c>
      <c r="L9" s="74">
        <v>142552624</v>
      </c>
      <c r="N9" s="62"/>
    </row>
    <row r="10" spans="1:15" x14ac:dyDescent="0.25">
      <c r="A10" s="124"/>
      <c r="B10" s="62"/>
      <c r="C10" s="131"/>
      <c r="D10" s="74">
        <v>14540433</v>
      </c>
      <c r="E10" s="74">
        <v>67521944</v>
      </c>
      <c r="F10" s="74">
        <v>79467896</v>
      </c>
      <c r="G10" s="74">
        <v>107815264</v>
      </c>
      <c r="H10" s="74">
        <v>148389792</v>
      </c>
      <c r="I10" s="74">
        <v>166257776</v>
      </c>
      <c r="J10" s="74">
        <v>183040432</v>
      </c>
      <c r="K10" s="74">
        <v>161127824</v>
      </c>
      <c r="L10" s="74">
        <v>156018336</v>
      </c>
      <c r="N10" s="62"/>
    </row>
    <row r="11" spans="1:15" x14ac:dyDescent="0.25">
      <c r="A11" s="124"/>
      <c r="B11" s="62"/>
      <c r="C11" s="131" t="s">
        <v>5</v>
      </c>
      <c r="D11" s="74">
        <v>24126762</v>
      </c>
      <c r="E11" s="74">
        <v>60248672</v>
      </c>
      <c r="F11" s="74">
        <v>74159256</v>
      </c>
      <c r="G11" s="74">
        <v>73849408</v>
      </c>
      <c r="H11" s="74">
        <v>133810896</v>
      </c>
      <c r="I11" s="74">
        <v>142383856</v>
      </c>
      <c r="J11" s="74">
        <v>166062784</v>
      </c>
      <c r="K11" s="74">
        <v>163122016</v>
      </c>
      <c r="L11" s="74">
        <v>151511568</v>
      </c>
      <c r="M11" s="79">
        <v>159144864</v>
      </c>
      <c r="N11" s="80">
        <v>8655858</v>
      </c>
    </row>
    <row r="12" spans="1:15" x14ac:dyDescent="0.25">
      <c r="A12" s="124"/>
      <c r="B12" s="62"/>
      <c r="C12" s="131"/>
      <c r="D12" s="74">
        <v>61309276</v>
      </c>
      <c r="E12" s="74">
        <v>61367624</v>
      </c>
      <c r="F12" s="74">
        <v>91969000</v>
      </c>
      <c r="G12" s="74">
        <v>72584784</v>
      </c>
      <c r="H12" s="74">
        <v>116189264</v>
      </c>
      <c r="I12" s="74">
        <v>135985408</v>
      </c>
      <c r="J12" s="74">
        <v>147888096</v>
      </c>
      <c r="K12" s="74">
        <v>174583664</v>
      </c>
      <c r="L12" s="74">
        <v>170857952</v>
      </c>
      <c r="M12" s="79">
        <v>146651408</v>
      </c>
      <c r="N12" s="80">
        <v>8819579</v>
      </c>
    </row>
    <row r="13" spans="1:15" x14ac:dyDescent="0.25">
      <c r="A13" s="124"/>
      <c r="B13" s="62"/>
      <c r="C13" s="131"/>
      <c r="D13" s="74">
        <v>57925192</v>
      </c>
      <c r="E13" s="74">
        <v>77222048</v>
      </c>
      <c r="F13" s="74">
        <v>105614752</v>
      </c>
      <c r="G13" s="74">
        <v>107126272</v>
      </c>
      <c r="H13" s="74">
        <v>131516176</v>
      </c>
      <c r="I13" s="74">
        <v>142884976</v>
      </c>
      <c r="J13" s="74">
        <v>168787728</v>
      </c>
      <c r="K13" s="74">
        <v>152555104</v>
      </c>
      <c r="L13" s="74">
        <v>167978080</v>
      </c>
      <c r="M13" s="81">
        <v>155394832</v>
      </c>
      <c r="N13" s="82">
        <v>11142932</v>
      </c>
    </row>
    <row r="14" spans="1:15" x14ac:dyDescent="0.25">
      <c r="A14" s="124"/>
      <c r="B14" s="62"/>
      <c r="C14" s="131" t="s">
        <v>65</v>
      </c>
      <c r="D14" s="74">
        <v>69512936</v>
      </c>
      <c r="E14" s="74">
        <v>89206024</v>
      </c>
      <c r="F14" s="74">
        <v>90562104</v>
      </c>
      <c r="G14" s="74">
        <v>124439736</v>
      </c>
      <c r="H14" s="74">
        <v>154760192</v>
      </c>
      <c r="I14" s="74">
        <v>183375248</v>
      </c>
      <c r="J14" s="74">
        <v>167978080</v>
      </c>
      <c r="K14" s="74">
        <v>191064592</v>
      </c>
      <c r="L14" s="74">
        <v>174997888</v>
      </c>
      <c r="M14" s="85">
        <f>AVERAGE(M11:M13)</f>
        <v>153730368</v>
      </c>
      <c r="N14" s="65">
        <f>AVERAGE(N11:N13)</f>
        <v>9539456.333333334</v>
      </c>
      <c r="O14" s="84" t="s">
        <v>8</v>
      </c>
    </row>
    <row r="15" spans="1:15" x14ac:dyDescent="0.25">
      <c r="A15" s="124"/>
      <c r="B15" s="62"/>
      <c r="C15" s="131"/>
      <c r="D15" s="74">
        <v>24464590</v>
      </c>
      <c r="E15" s="74">
        <v>77093904</v>
      </c>
      <c r="F15" s="74">
        <v>88764160</v>
      </c>
      <c r="G15" s="74">
        <v>91849512</v>
      </c>
      <c r="H15" s="74">
        <v>143973568</v>
      </c>
      <c r="I15" s="74">
        <v>168701168</v>
      </c>
      <c r="J15" s="74">
        <v>170100176</v>
      </c>
      <c r="K15" s="74">
        <v>190306064</v>
      </c>
      <c r="L15" s="74">
        <v>250053760</v>
      </c>
      <c r="N15" s="62"/>
    </row>
    <row r="16" spans="1:15" x14ac:dyDescent="0.25">
      <c r="A16" s="5"/>
      <c r="B16" s="62"/>
      <c r="C16" s="131"/>
      <c r="D16" s="74">
        <v>23674280</v>
      </c>
      <c r="E16" s="74">
        <v>92478440</v>
      </c>
      <c r="F16" s="74">
        <v>99856528</v>
      </c>
      <c r="G16" s="74">
        <v>91994728</v>
      </c>
      <c r="H16" s="74">
        <v>128383288</v>
      </c>
      <c r="I16" s="74">
        <v>182628960</v>
      </c>
      <c r="J16" s="74">
        <v>186007920</v>
      </c>
      <c r="K16" s="74">
        <v>189534512</v>
      </c>
      <c r="L16" s="74">
        <v>207332064</v>
      </c>
      <c r="N16" s="62"/>
    </row>
    <row r="17" spans="1:15" x14ac:dyDescent="0.25">
      <c r="B17" s="62"/>
    </row>
    <row r="18" spans="1:15" x14ac:dyDescent="0.25">
      <c r="B18" s="62"/>
    </row>
    <row r="19" spans="1:15" x14ac:dyDescent="0.25">
      <c r="B19" s="62"/>
    </row>
    <row r="20" spans="1:15" x14ac:dyDescent="0.25">
      <c r="B20" s="62"/>
      <c r="D20" s="125" t="s">
        <v>4</v>
      </c>
      <c r="E20" s="126"/>
      <c r="F20" s="126"/>
      <c r="G20" s="126"/>
      <c r="H20" s="126"/>
      <c r="I20" s="126"/>
      <c r="J20" s="126"/>
      <c r="K20" s="126"/>
      <c r="L20" s="127"/>
      <c r="O20" s="62"/>
    </row>
    <row r="21" spans="1:15" x14ac:dyDescent="0.25">
      <c r="A21" s="71" t="s">
        <v>15</v>
      </c>
      <c r="B21" s="62"/>
      <c r="C21" s="72"/>
      <c r="D21" s="73">
        <v>40</v>
      </c>
      <c r="E21" s="73">
        <f>D21/2</f>
        <v>20</v>
      </c>
      <c r="F21" s="73">
        <f t="shared" ref="F21:L21" si="1">E21/2</f>
        <v>10</v>
      </c>
      <c r="G21" s="73">
        <f t="shared" si="1"/>
        <v>5</v>
      </c>
      <c r="H21" s="92">
        <f t="shared" si="1"/>
        <v>2.5</v>
      </c>
      <c r="I21" s="92">
        <f t="shared" si="1"/>
        <v>1.25</v>
      </c>
      <c r="J21" s="92">
        <f t="shared" si="1"/>
        <v>0.625</v>
      </c>
      <c r="K21" s="92">
        <f t="shared" si="1"/>
        <v>0.3125</v>
      </c>
      <c r="L21" s="92">
        <f t="shared" si="1"/>
        <v>0.15625</v>
      </c>
    </row>
    <row r="22" spans="1:15" x14ac:dyDescent="0.25">
      <c r="A22" s="124" t="s">
        <v>50</v>
      </c>
      <c r="B22" s="62"/>
      <c r="C22" s="131" t="s">
        <v>45</v>
      </c>
      <c r="D22" s="74">
        <f>D5-9024927.67</f>
        <v>28454064.329999998</v>
      </c>
      <c r="E22" s="74">
        <f t="shared" ref="E22:L22" si="2">E5-9024927.67</f>
        <v>55168252.329999998</v>
      </c>
      <c r="F22" s="74">
        <f t="shared" si="2"/>
        <v>66684992.329999998</v>
      </c>
      <c r="G22" s="74">
        <f t="shared" si="2"/>
        <v>89010592.329999998</v>
      </c>
      <c r="H22" s="74">
        <f t="shared" si="2"/>
        <v>146390048.33000001</v>
      </c>
      <c r="I22" s="74">
        <f t="shared" si="2"/>
        <v>167957872.33000001</v>
      </c>
      <c r="J22" s="74">
        <f t="shared" si="2"/>
        <v>217289856.33000001</v>
      </c>
      <c r="K22" s="74">
        <f t="shared" si="2"/>
        <v>146973856.33000001</v>
      </c>
      <c r="L22" s="74">
        <f t="shared" si="2"/>
        <v>163583744.33000001</v>
      </c>
    </row>
    <row r="23" spans="1:15" x14ac:dyDescent="0.25">
      <c r="A23" s="124"/>
      <c r="B23" s="62"/>
      <c r="C23" s="131"/>
      <c r="D23" s="74">
        <f t="shared" ref="D23:L27" si="3">D6-9024927.67</f>
        <v>58466928.329999998</v>
      </c>
      <c r="E23" s="74">
        <f t="shared" si="3"/>
        <v>52915208.329999998</v>
      </c>
      <c r="F23" s="74">
        <f t="shared" si="3"/>
        <v>65552128.329999998</v>
      </c>
      <c r="G23" s="74">
        <f t="shared" si="3"/>
        <v>85540760.329999998</v>
      </c>
      <c r="H23" s="74">
        <f t="shared" si="3"/>
        <v>138626160.33000001</v>
      </c>
      <c r="I23" s="74">
        <f t="shared" si="3"/>
        <v>157545200.33000001</v>
      </c>
      <c r="J23" s="74">
        <f t="shared" si="3"/>
        <v>142629888.33000001</v>
      </c>
      <c r="K23" s="74">
        <f t="shared" si="3"/>
        <v>152316096.33000001</v>
      </c>
      <c r="L23" s="74">
        <f t="shared" si="3"/>
        <v>163927376.33000001</v>
      </c>
    </row>
    <row r="24" spans="1:15" x14ac:dyDescent="0.25">
      <c r="A24" s="124"/>
      <c r="B24" s="62"/>
      <c r="C24" s="131"/>
      <c r="D24" s="74">
        <f t="shared" si="3"/>
        <v>60363264.329999998</v>
      </c>
      <c r="E24" s="74">
        <f t="shared" si="3"/>
        <v>61006376.329999998</v>
      </c>
      <c r="F24" s="74">
        <f t="shared" si="3"/>
        <v>74164824.329999998</v>
      </c>
      <c r="G24" s="74">
        <f t="shared" si="3"/>
        <v>91497272.329999998</v>
      </c>
      <c r="H24" s="74">
        <f t="shared" si="3"/>
        <v>139063840.33000001</v>
      </c>
      <c r="I24" s="74">
        <f t="shared" si="3"/>
        <v>187096384.33000001</v>
      </c>
      <c r="J24" s="74">
        <f t="shared" si="3"/>
        <v>168186800.33000001</v>
      </c>
      <c r="K24" s="74">
        <f t="shared" si="3"/>
        <v>162258224.33000001</v>
      </c>
      <c r="L24" s="74">
        <f t="shared" si="3"/>
        <v>145390432.33000001</v>
      </c>
    </row>
    <row r="25" spans="1:15" x14ac:dyDescent="0.25">
      <c r="A25" s="124"/>
      <c r="B25" s="62"/>
      <c r="C25" s="131" t="s">
        <v>0</v>
      </c>
      <c r="D25" s="74">
        <f t="shared" si="3"/>
        <v>7824312.3300000001</v>
      </c>
      <c r="E25" s="74">
        <f t="shared" si="3"/>
        <v>52257916.329999998</v>
      </c>
      <c r="F25" s="74">
        <f t="shared" si="3"/>
        <v>58391320.329999998</v>
      </c>
      <c r="G25" s="74">
        <f t="shared" si="3"/>
        <v>92885416.329999998</v>
      </c>
      <c r="H25" s="74">
        <f t="shared" si="3"/>
        <v>133771216.33</v>
      </c>
      <c r="I25" s="74">
        <f t="shared" si="3"/>
        <v>154626448.33000001</v>
      </c>
      <c r="J25" s="74">
        <f t="shared" si="3"/>
        <v>161674624.33000001</v>
      </c>
      <c r="K25" s="74">
        <f t="shared" si="3"/>
        <v>151747040.33000001</v>
      </c>
      <c r="L25" s="74">
        <f t="shared" si="3"/>
        <v>156624608.33000001</v>
      </c>
    </row>
    <row r="26" spans="1:15" x14ac:dyDescent="0.25">
      <c r="A26" s="124"/>
      <c r="B26" s="62"/>
      <c r="C26" s="131"/>
      <c r="D26" s="74">
        <f t="shared" si="3"/>
        <v>5900295.3300000001</v>
      </c>
      <c r="E26" s="74">
        <f t="shared" si="3"/>
        <v>64370968.329999998</v>
      </c>
      <c r="F26" s="74">
        <f t="shared" si="3"/>
        <v>61970504.329999998</v>
      </c>
      <c r="G26" s="74">
        <f t="shared" si="3"/>
        <v>101319776.33</v>
      </c>
      <c r="H26" s="74">
        <f t="shared" si="3"/>
        <v>145780816.33000001</v>
      </c>
      <c r="I26" s="74">
        <f t="shared" si="3"/>
        <v>148976992.33000001</v>
      </c>
      <c r="J26" s="74">
        <f t="shared" si="3"/>
        <v>157828448.33000001</v>
      </c>
      <c r="K26" s="74">
        <f t="shared" si="3"/>
        <v>187097808.33000001</v>
      </c>
      <c r="L26" s="74">
        <f t="shared" si="3"/>
        <v>133527696.33</v>
      </c>
    </row>
    <row r="27" spans="1:15" x14ac:dyDescent="0.25">
      <c r="A27" s="124"/>
      <c r="B27" s="62"/>
      <c r="C27" s="131"/>
      <c r="D27" s="74">
        <f t="shared" si="3"/>
        <v>5515505.3300000001</v>
      </c>
      <c r="E27" s="74">
        <f t="shared" si="3"/>
        <v>58497016.329999998</v>
      </c>
      <c r="F27" s="74">
        <f t="shared" si="3"/>
        <v>70442968.329999998</v>
      </c>
      <c r="G27" s="74">
        <f t="shared" si="3"/>
        <v>98790336.329999998</v>
      </c>
      <c r="H27" s="74">
        <f t="shared" si="3"/>
        <v>139364864.33000001</v>
      </c>
      <c r="I27" s="74">
        <f t="shared" si="3"/>
        <v>157232848.33000001</v>
      </c>
      <c r="J27" s="74">
        <f t="shared" si="3"/>
        <v>174015504.33000001</v>
      </c>
      <c r="K27" s="74">
        <f t="shared" si="3"/>
        <v>152102896.33000001</v>
      </c>
      <c r="L27" s="74">
        <f t="shared" si="3"/>
        <v>146993408.33000001</v>
      </c>
    </row>
    <row r="28" spans="1:15" x14ac:dyDescent="0.25">
      <c r="A28" s="124"/>
      <c r="B28" s="62"/>
      <c r="C28" s="131" t="s">
        <v>5</v>
      </c>
      <c r="D28" s="74">
        <f>D11-9539456.33</f>
        <v>14587305.67</v>
      </c>
      <c r="E28" s="74">
        <f t="shared" ref="E28:L28" si="4">E11-9539456.33</f>
        <v>50709215.670000002</v>
      </c>
      <c r="F28" s="74">
        <f t="shared" si="4"/>
        <v>64619799.670000002</v>
      </c>
      <c r="G28" s="74">
        <f t="shared" si="4"/>
        <v>64309951.670000002</v>
      </c>
      <c r="H28" s="74">
        <f t="shared" si="4"/>
        <v>124271439.67</v>
      </c>
      <c r="I28" s="74">
        <f t="shared" si="4"/>
        <v>132844399.67</v>
      </c>
      <c r="J28" s="74">
        <f t="shared" si="4"/>
        <v>156523327.66999999</v>
      </c>
      <c r="K28" s="74">
        <f t="shared" si="4"/>
        <v>153582559.66999999</v>
      </c>
      <c r="L28" s="74">
        <f t="shared" si="4"/>
        <v>141972111.66999999</v>
      </c>
    </row>
    <row r="29" spans="1:15" x14ac:dyDescent="0.25">
      <c r="A29" s="124"/>
      <c r="B29" s="62"/>
      <c r="C29" s="131"/>
      <c r="D29" s="74">
        <f t="shared" ref="D29:L30" si="5">D12-9539456.33</f>
        <v>51769819.670000002</v>
      </c>
      <c r="E29" s="74">
        <f t="shared" si="5"/>
        <v>51828167.670000002</v>
      </c>
      <c r="F29" s="74">
        <f t="shared" si="5"/>
        <v>82429543.670000002</v>
      </c>
      <c r="G29" s="74">
        <f t="shared" si="5"/>
        <v>63045327.670000002</v>
      </c>
      <c r="H29" s="74">
        <f t="shared" si="5"/>
        <v>106649807.67</v>
      </c>
      <c r="I29" s="74">
        <f t="shared" si="5"/>
        <v>126445951.67</v>
      </c>
      <c r="J29" s="74">
        <f t="shared" si="5"/>
        <v>138348639.66999999</v>
      </c>
      <c r="K29" s="74">
        <f t="shared" si="5"/>
        <v>165044207.66999999</v>
      </c>
      <c r="L29" s="74">
        <f t="shared" si="5"/>
        <v>161318495.66999999</v>
      </c>
    </row>
    <row r="30" spans="1:15" x14ac:dyDescent="0.25">
      <c r="A30" s="124"/>
      <c r="B30" s="62"/>
      <c r="C30" s="131"/>
      <c r="D30" s="74">
        <f t="shared" si="5"/>
        <v>48385735.670000002</v>
      </c>
      <c r="E30" s="74">
        <f t="shared" si="5"/>
        <v>67682591.670000002</v>
      </c>
      <c r="F30" s="74">
        <f t="shared" si="5"/>
        <v>96075295.670000002</v>
      </c>
      <c r="G30" s="74">
        <f t="shared" si="5"/>
        <v>97586815.670000002</v>
      </c>
      <c r="H30" s="74">
        <f t="shared" si="5"/>
        <v>121976719.67</v>
      </c>
      <c r="I30" s="74">
        <f t="shared" si="5"/>
        <v>133345519.67</v>
      </c>
      <c r="J30" s="74">
        <f t="shared" si="5"/>
        <v>159248271.66999999</v>
      </c>
      <c r="K30" s="74">
        <f t="shared" si="5"/>
        <v>143015647.66999999</v>
      </c>
      <c r="L30" s="74">
        <f t="shared" si="5"/>
        <v>158438623.66999999</v>
      </c>
    </row>
    <row r="31" spans="1:15" x14ac:dyDescent="0.25">
      <c r="A31" s="124"/>
      <c r="B31" s="62"/>
      <c r="C31" s="131" t="s">
        <v>65</v>
      </c>
      <c r="D31" s="74">
        <f>D14-953946.3</f>
        <v>68558989.700000003</v>
      </c>
      <c r="E31" s="74">
        <f t="shared" ref="E31:L31" si="6">E14-953946.3</f>
        <v>88252077.700000003</v>
      </c>
      <c r="F31" s="74">
        <f t="shared" si="6"/>
        <v>89608157.700000003</v>
      </c>
      <c r="G31" s="74">
        <f t="shared" si="6"/>
        <v>123485789.7</v>
      </c>
      <c r="H31" s="74">
        <f t="shared" si="6"/>
        <v>153806245.69999999</v>
      </c>
      <c r="I31" s="74">
        <f t="shared" si="6"/>
        <v>182421301.69999999</v>
      </c>
      <c r="J31" s="74">
        <f t="shared" si="6"/>
        <v>167024133.69999999</v>
      </c>
      <c r="K31" s="74">
        <f t="shared" si="6"/>
        <v>190110645.69999999</v>
      </c>
      <c r="L31" s="74">
        <f t="shared" si="6"/>
        <v>174043941.69999999</v>
      </c>
    </row>
    <row r="32" spans="1:15" x14ac:dyDescent="0.25">
      <c r="A32" s="124"/>
      <c r="B32" s="62"/>
      <c r="C32" s="131"/>
      <c r="D32" s="74">
        <f t="shared" ref="D32:L33" si="7">D15-953946.3</f>
        <v>23510643.699999999</v>
      </c>
      <c r="E32" s="74">
        <f t="shared" si="7"/>
        <v>76139957.700000003</v>
      </c>
      <c r="F32" s="74">
        <f t="shared" si="7"/>
        <v>87810213.700000003</v>
      </c>
      <c r="G32" s="74">
        <f t="shared" si="7"/>
        <v>90895565.700000003</v>
      </c>
      <c r="H32" s="74">
        <f t="shared" si="7"/>
        <v>143019621.69999999</v>
      </c>
      <c r="I32" s="74">
        <f t="shared" si="7"/>
        <v>167747221.69999999</v>
      </c>
      <c r="J32" s="74">
        <f t="shared" si="7"/>
        <v>169146229.69999999</v>
      </c>
      <c r="K32" s="74">
        <f t="shared" si="7"/>
        <v>189352117.69999999</v>
      </c>
      <c r="L32" s="74">
        <f t="shared" si="7"/>
        <v>249099813.69999999</v>
      </c>
    </row>
    <row r="33" spans="1:14" x14ac:dyDescent="0.25">
      <c r="A33" s="124"/>
      <c r="B33" s="62"/>
      <c r="C33" s="131"/>
      <c r="D33" s="74">
        <f t="shared" si="7"/>
        <v>22720333.699999999</v>
      </c>
      <c r="E33" s="74">
        <f t="shared" si="7"/>
        <v>91524493.700000003</v>
      </c>
      <c r="F33" s="74">
        <f t="shared" si="7"/>
        <v>98902581.700000003</v>
      </c>
      <c r="G33" s="74">
        <f t="shared" si="7"/>
        <v>91040781.700000003</v>
      </c>
      <c r="H33" s="74">
        <f t="shared" si="7"/>
        <v>127429341.7</v>
      </c>
      <c r="I33" s="74">
        <f t="shared" si="7"/>
        <v>181675013.69999999</v>
      </c>
      <c r="J33" s="74">
        <f t="shared" si="7"/>
        <v>185053973.69999999</v>
      </c>
      <c r="K33" s="74">
        <f t="shared" si="7"/>
        <v>188580565.69999999</v>
      </c>
      <c r="L33" s="74">
        <f t="shared" si="7"/>
        <v>206378117.69999999</v>
      </c>
      <c r="N33" s="62"/>
    </row>
    <row r="34" spans="1:14" x14ac:dyDescent="0.25">
      <c r="A34" s="5"/>
      <c r="B34" s="62"/>
    </row>
    <row r="35" spans="1:14" x14ac:dyDescent="0.25">
      <c r="A35" s="5"/>
      <c r="B35" s="62"/>
    </row>
    <row r="36" spans="1:14" x14ac:dyDescent="0.25">
      <c r="A36" s="75" t="s">
        <v>9</v>
      </c>
      <c r="B36" s="62"/>
      <c r="D36" s="125" t="s">
        <v>4</v>
      </c>
      <c r="E36" s="126"/>
      <c r="F36" s="126"/>
      <c r="G36" s="126"/>
      <c r="H36" s="126"/>
      <c r="I36" s="126"/>
      <c r="J36" s="126"/>
      <c r="K36" s="126"/>
      <c r="L36" s="127"/>
    </row>
    <row r="37" spans="1:14" x14ac:dyDescent="0.25">
      <c r="A37" s="5"/>
      <c r="B37" s="62"/>
      <c r="C37" s="72"/>
      <c r="D37" s="73">
        <v>40</v>
      </c>
      <c r="E37" s="73">
        <f>D37/2</f>
        <v>20</v>
      </c>
      <c r="F37" s="73">
        <f t="shared" ref="F37:L37" si="8">E37/2</f>
        <v>10</v>
      </c>
      <c r="G37" s="73">
        <f t="shared" si="8"/>
        <v>5</v>
      </c>
      <c r="H37" s="92">
        <f t="shared" si="8"/>
        <v>2.5</v>
      </c>
      <c r="I37" s="92">
        <f t="shared" si="8"/>
        <v>1.25</v>
      </c>
      <c r="J37" s="92">
        <f t="shared" si="8"/>
        <v>0.625</v>
      </c>
      <c r="K37" s="92">
        <f t="shared" si="8"/>
        <v>0.3125</v>
      </c>
      <c r="L37" s="92">
        <f t="shared" si="8"/>
        <v>0.15625</v>
      </c>
    </row>
    <row r="38" spans="1:14" x14ac:dyDescent="0.25">
      <c r="A38" s="124" t="s">
        <v>51</v>
      </c>
      <c r="B38" s="62"/>
      <c r="C38" s="131" t="s">
        <v>45</v>
      </c>
      <c r="D38" s="74">
        <f>D22*100/143409096</f>
        <v>19.841185199298657</v>
      </c>
      <c r="E38" s="74">
        <f t="shared" ref="E38:L38" si="9">E22*100/143409096</f>
        <v>38.469144474629417</v>
      </c>
      <c r="F38" s="74">
        <f t="shared" si="9"/>
        <v>46.499834522351357</v>
      </c>
      <c r="G38" s="74">
        <f t="shared" si="9"/>
        <v>62.067605760516052</v>
      </c>
      <c r="H38" s="74">
        <f t="shared" si="9"/>
        <v>102.07863546535431</v>
      </c>
      <c r="I38" s="74">
        <f t="shared" si="9"/>
        <v>117.11800507409936</v>
      </c>
      <c r="J38" s="74">
        <f t="shared" si="9"/>
        <v>151.51748556451398</v>
      </c>
      <c r="K38" s="74">
        <f t="shared" si="9"/>
        <v>102.48572819258273</v>
      </c>
      <c r="L38" s="74">
        <f t="shared" si="9"/>
        <v>114.06790007936458</v>
      </c>
    </row>
    <row r="39" spans="1:14" x14ac:dyDescent="0.25">
      <c r="A39" s="124"/>
      <c r="B39" s="62"/>
      <c r="C39" s="131"/>
      <c r="D39" s="74">
        <f t="shared" ref="D39:L43" si="10">D23*100/143409096</f>
        <v>40.769330510248807</v>
      </c>
      <c r="E39" s="74">
        <f t="shared" si="10"/>
        <v>36.898083738007806</v>
      </c>
      <c r="F39" s="74">
        <f t="shared" si="10"/>
        <v>45.709881840409899</v>
      </c>
      <c r="G39" s="74">
        <f t="shared" si="10"/>
        <v>59.64807164672456</v>
      </c>
      <c r="H39" s="74">
        <f t="shared" si="10"/>
        <v>96.664831029964802</v>
      </c>
      <c r="I39" s="74">
        <f t="shared" si="10"/>
        <v>109.85718808938034</v>
      </c>
      <c r="J39" s="74">
        <f t="shared" si="10"/>
        <v>99.456653941950805</v>
      </c>
      <c r="K39" s="74">
        <f t="shared" si="10"/>
        <v>106.21090333767951</v>
      </c>
      <c r="L39" s="74">
        <f t="shared" si="10"/>
        <v>114.30751667941622</v>
      </c>
    </row>
    <row r="40" spans="1:14" x14ac:dyDescent="0.25">
      <c r="A40" s="124"/>
      <c r="B40" s="62"/>
      <c r="C40" s="131"/>
      <c r="D40" s="74">
        <f t="shared" si="10"/>
        <v>42.091656675668609</v>
      </c>
      <c r="E40" s="74">
        <f t="shared" si="10"/>
        <v>42.540102428370375</v>
      </c>
      <c r="F40" s="74">
        <f t="shared" si="10"/>
        <v>51.715565050350783</v>
      </c>
      <c r="G40" s="74">
        <f t="shared" si="10"/>
        <v>63.801582244127665</v>
      </c>
      <c r="H40" s="74">
        <f t="shared" si="10"/>
        <v>96.970027849558448</v>
      </c>
      <c r="I40" s="74">
        <f t="shared" si="10"/>
        <v>130.46340124060191</v>
      </c>
      <c r="J40" s="74">
        <f t="shared" si="10"/>
        <v>117.27763790519955</v>
      </c>
      <c r="K40" s="74">
        <f t="shared" si="10"/>
        <v>113.14360724371348</v>
      </c>
      <c r="L40" s="74">
        <f t="shared" si="10"/>
        <v>101.38159739184188</v>
      </c>
    </row>
    <row r="41" spans="1:14" x14ac:dyDescent="0.25">
      <c r="A41" s="124"/>
      <c r="B41" s="62"/>
      <c r="C41" s="131" t="s">
        <v>0</v>
      </c>
      <c r="D41" s="74">
        <f t="shared" si="10"/>
        <v>5.4559386735134288</v>
      </c>
      <c r="E41" s="74">
        <f t="shared" si="10"/>
        <v>36.439750188509663</v>
      </c>
      <c r="F41" s="74">
        <f t="shared" si="10"/>
        <v>40.716608610377129</v>
      </c>
      <c r="G41" s="74">
        <f t="shared" si="10"/>
        <v>64.769543160637454</v>
      </c>
      <c r="H41" s="74">
        <f t="shared" si="10"/>
        <v>93.279450230967214</v>
      </c>
      <c r="I41" s="74">
        <f t="shared" si="10"/>
        <v>107.82192527731993</v>
      </c>
      <c r="J41" s="74">
        <f t="shared" si="10"/>
        <v>112.73665955609958</v>
      </c>
      <c r="K41" s="74">
        <f t="shared" si="10"/>
        <v>105.81409726618737</v>
      </c>
      <c r="L41" s="74">
        <f t="shared" si="10"/>
        <v>109.21525391248545</v>
      </c>
    </row>
    <row r="42" spans="1:14" x14ac:dyDescent="0.25">
      <c r="A42" s="124"/>
      <c r="B42" s="62"/>
      <c r="C42" s="131"/>
      <c r="D42" s="74">
        <f t="shared" si="10"/>
        <v>4.1143103851655267</v>
      </c>
      <c r="E42" s="74">
        <f t="shared" si="10"/>
        <v>44.886252075670292</v>
      </c>
      <c r="F42" s="74">
        <f t="shared" si="10"/>
        <v>43.212394512269988</v>
      </c>
      <c r="G42" s="74">
        <f t="shared" si="10"/>
        <v>70.650871636482535</v>
      </c>
      <c r="H42" s="74">
        <f t="shared" si="10"/>
        <v>101.65381443447633</v>
      </c>
      <c r="I42" s="74">
        <f t="shared" si="10"/>
        <v>103.88252662160288</v>
      </c>
      <c r="J42" s="74">
        <f t="shared" si="10"/>
        <v>110.05469857365256</v>
      </c>
      <c r="K42" s="74">
        <f t="shared" si="10"/>
        <v>130.46439420411659</v>
      </c>
      <c r="L42" s="74">
        <f t="shared" si="10"/>
        <v>93.109642313064995</v>
      </c>
    </row>
    <row r="43" spans="1:14" x14ac:dyDescent="0.25">
      <c r="A43" s="124"/>
      <c r="B43" s="62"/>
      <c r="C43" s="131"/>
      <c r="D43" s="74">
        <f t="shared" si="10"/>
        <v>3.8459940713941885</v>
      </c>
      <c r="E43" s="74">
        <f t="shared" si="10"/>
        <v>40.790311048331269</v>
      </c>
      <c r="F43" s="74">
        <f t="shared" si="10"/>
        <v>49.12029312980259</v>
      </c>
      <c r="G43" s="74">
        <f t="shared" si="10"/>
        <v>68.887078355197218</v>
      </c>
      <c r="H43" s="74">
        <f t="shared" si="10"/>
        <v>97.179933642423919</v>
      </c>
      <c r="I43" s="74">
        <f t="shared" si="10"/>
        <v>109.63938321597119</v>
      </c>
      <c r="J43" s="74">
        <f t="shared" si="10"/>
        <v>121.34202723793754</v>
      </c>
      <c r="K43" s="74">
        <f t="shared" si="10"/>
        <v>106.0622377328144</v>
      </c>
      <c r="L43" s="74">
        <f t="shared" si="10"/>
        <v>102.49936191634596</v>
      </c>
    </row>
    <row r="44" spans="1:14" x14ac:dyDescent="0.25">
      <c r="A44" s="124"/>
      <c r="B44" s="62"/>
      <c r="C44" s="131" t="s">
        <v>5</v>
      </c>
      <c r="D44" s="74">
        <f>D28*100/153730368</f>
        <v>9.4888901001004555</v>
      </c>
      <c r="E44" s="74">
        <f t="shared" ref="E44:L44" si="11">E28*100/153730368</f>
        <v>32.985815574187662</v>
      </c>
      <c r="F44" s="74">
        <f t="shared" si="11"/>
        <v>42.034505290457638</v>
      </c>
      <c r="G44" s="74">
        <f t="shared" si="11"/>
        <v>41.832952400139966</v>
      </c>
      <c r="H44" s="74">
        <f t="shared" si="11"/>
        <v>80.837274565035841</v>
      </c>
      <c r="I44" s="74">
        <f t="shared" si="11"/>
        <v>86.413895574620625</v>
      </c>
      <c r="J44" s="74">
        <f t="shared" si="11"/>
        <v>101.816791117029</v>
      </c>
      <c r="K44" s="74">
        <f t="shared" si="11"/>
        <v>99.903852223914527</v>
      </c>
      <c r="L44" s="74">
        <f t="shared" si="11"/>
        <v>92.351376970619086</v>
      </c>
    </row>
    <row r="45" spans="1:14" x14ac:dyDescent="0.25">
      <c r="A45" s="124"/>
      <c r="B45" s="62"/>
      <c r="C45" s="131"/>
      <c r="D45" s="74">
        <f t="shared" ref="D45:L46" si="12">D29*100/153730368</f>
        <v>33.675727407352596</v>
      </c>
      <c r="E45" s="74">
        <f t="shared" si="12"/>
        <v>33.713682172412412</v>
      </c>
      <c r="F45" s="74">
        <f t="shared" si="12"/>
        <v>53.619557893727283</v>
      </c>
      <c r="G45" s="74">
        <f t="shared" si="12"/>
        <v>41.010327686199254</v>
      </c>
      <c r="H45" s="74">
        <f t="shared" si="12"/>
        <v>69.374586854563432</v>
      </c>
      <c r="I45" s="74">
        <f t="shared" si="12"/>
        <v>82.251771927066486</v>
      </c>
      <c r="J45" s="74">
        <f t="shared" si="12"/>
        <v>89.994346250442845</v>
      </c>
      <c r="K45" s="74">
        <f t="shared" si="12"/>
        <v>107.35953463013891</v>
      </c>
      <c r="L45" s="74">
        <f t="shared" si="12"/>
        <v>104.93599785697513</v>
      </c>
    </row>
    <row r="46" spans="1:14" x14ac:dyDescent="0.25">
      <c r="A46" s="124"/>
      <c r="B46" s="62"/>
      <c r="C46" s="131"/>
      <c r="D46" s="74">
        <f t="shared" si="12"/>
        <v>31.474416082839273</v>
      </c>
      <c r="E46" s="74">
        <f t="shared" si="12"/>
        <v>44.026819522086882</v>
      </c>
      <c r="F46" s="74">
        <f t="shared" si="12"/>
        <v>62.495977157876837</v>
      </c>
      <c r="G46" s="74">
        <f t="shared" si="12"/>
        <v>63.479205143124354</v>
      </c>
      <c r="H46" s="74">
        <f t="shared" si="12"/>
        <v>79.344583153538025</v>
      </c>
      <c r="I46" s="74">
        <f t="shared" si="12"/>
        <v>86.739868904756676</v>
      </c>
      <c r="J46" s="74">
        <f t="shared" si="12"/>
        <v>103.58933875055837</v>
      </c>
      <c r="K46" s="74">
        <f t="shared" si="12"/>
        <v>93.030186247911658</v>
      </c>
      <c r="L46" s="74">
        <f t="shared" si="12"/>
        <v>103.06267117632866</v>
      </c>
    </row>
    <row r="47" spans="1:14" x14ac:dyDescent="0.25">
      <c r="A47" s="124"/>
      <c r="B47" s="62"/>
      <c r="C47" s="131" t="s">
        <v>65</v>
      </c>
      <c r="D47" s="74">
        <f>D31*100/153730368</f>
        <v>44.596907294204875</v>
      </c>
      <c r="E47" s="74">
        <f t="shared" ref="E47:L47" si="13">E31*100/153730368</f>
        <v>57.407055514236461</v>
      </c>
      <c r="F47" s="74">
        <f t="shared" si="13"/>
        <v>58.289171401710298</v>
      </c>
      <c r="G47" s="74">
        <f t="shared" si="13"/>
        <v>80.32621745886928</v>
      </c>
      <c r="H47" s="74">
        <f t="shared" si="13"/>
        <v>100.04935765196372</v>
      </c>
      <c r="I47" s="74">
        <f t="shared" si="13"/>
        <v>118.66315294321028</v>
      </c>
      <c r="J47" s="74">
        <f t="shared" si="13"/>
        <v>108.64745584945193</v>
      </c>
      <c r="K47" s="74">
        <f t="shared" si="13"/>
        <v>123.66499096652133</v>
      </c>
      <c r="L47" s="74">
        <f t="shared" si="13"/>
        <v>113.21376769227535</v>
      </c>
    </row>
    <row r="48" spans="1:14" x14ac:dyDescent="0.25">
      <c r="A48" s="124"/>
      <c r="B48" s="62"/>
      <c r="C48" s="131"/>
      <c r="D48" s="74">
        <f t="shared" ref="D48:L49" si="14">D32*100/153730368</f>
        <v>15.293428361532316</v>
      </c>
      <c r="E48" s="74">
        <f t="shared" si="14"/>
        <v>49.528247860565848</v>
      </c>
      <c r="F48" s="74">
        <f t="shared" si="14"/>
        <v>57.119627593684029</v>
      </c>
      <c r="G48" s="74">
        <f t="shared" si="14"/>
        <v>59.126616869869196</v>
      </c>
      <c r="H48" s="74">
        <f t="shared" si="14"/>
        <v>93.032771312952292</v>
      </c>
      <c r="I48" s="74">
        <f t="shared" si="14"/>
        <v>109.11781704705214</v>
      </c>
      <c r="J48" s="74">
        <f t="shared" si="14"/>
        <v>110.02785715051432</v>
      </c>
      <c r="K48" s="74">
        <f t="shared" si="14"/>
        <v>123.17157641878539</v>
      </c>
      <c r="L48" s="74">
        <f t="shared" si="14"/>
        <v>162.0368291188895</v>
      </c>
    </row>
    <row r="49" spans="1:12" x14ac:dyDescent="0.25">
      <c r="A49" s="124"/>
      <c r="B49" s="62"/>
      <c r="C49" s="131"/>
      <c r="D49" s="74">
        <f t="shared" si="14"/>
        <v>14.779339954484465</v>
      </c>
      <c r="E49" s="74">
        <f t="shared" si="14"/>
        <v>59.535727970156167</v>
      </c>
      <c r="F49" s="74">
        <f t="shared" si="14"/>
        <v>64.335097213843923</v>
      </c>
      <c r="G49" s="74">
        <f t="shared" si="14"/>
        <v>59.22107836234413</v>
      </c>
      <c r="H49" s="74">
        <f t="shared" si="14"/>
        <v>82.891456878578467</v>
      </c>
      <c r="I49" s="74">
        <f t="shared" si="14"/>
        <v>118.17770038773341</v>
      </c>
      <c r="J49" s="74">
        <f t="shared" si="14"/>
        <v>120.37567860372259</v>
      </c>
      <c r="K49" s="74">
        <f t="shared" si="14"/>
        <v>122.66968989497248</v>
      </c>
      <c r="L49" s="74">
        <f t="shared" si="14"/>
        <v>134.24681172948209</v>
      </c>
    </row>
    <row r="50" spans="1:12" x14ac:dyDescent="0.25">
      <c r="A50" s="5"/>
      <c r="B50" s="62"/>
    </row>
    <row r="51" spans="1:12" x14ac:dyDescent="0.25">
      <c r="B51" s="62"/>
    </row>
    <row r="52" spans="1:12" x14ac:dyDescent="0.25">
      <c r="B52" s="62"/>
    </row>
    <row r="53" spans="1:12" x14ac:dyDescent="0.25">
      <c r="A53" s="3" t="s">
        <v>10</v>
      </c>
      <c r="B53" s="62"/>
      <c r="D53" s="125" t="s">
        <v>4</v>
      </c>
      <c r="E53" s="126"/>
      <c r="F53" s="126"/>
      <c r="G53" s="126"/>
      <c r="H53" s="126"/>
      <c r="I53" s="126"/>
      <c r="J53" s="126"/>
      <c r="K53" s="126"/>
      <c r="L53" s="127"/>
    </row>
    <row r="54" spans="1:12" ht="15.75" thickBot="1" x14ac:dyDescent="0.3">
      <c r="B54" s="62"/>
      <c r="C54" s="72"/>
      <c r="D54" s="59">
        <v>40</v>
      </c>
      <c r="E54" s="73">
        <f>D54/2</f>
        <v>20</v>
      </c>
      <c r="F54" s="73">
        <f t="shared" ref="F54:L54" si="15">E54/2</f>
        <v>10</v>
      </c>
      <c r="G54" s="73">
        <f t="shared" si="15"/>
        <v>5</v>
      </c>
      <c r="H54" s="92">
        <f t="shared" si="15"/>
        <v>2.5</v>
      </c>
      <c r="I54" s="92">
        <f t="shared" si="15"/>
        <v>1.25</v>
      </c>
      <c r="J54" s="92">
        <f t="shared" si="15"/>
        <v>0.625</v>
      </c>
      <c r="K54" s="92">
        <f t="shared" si="15"/>
        <v>0.3125</v>
      </c>
      <c r="L54" s="92">
        <f t="shared" si="15"/>
        <v>0.15625</v>
      </c>
    </row>
    <row r="55" spans="1:12" x14ac:dyDescent="0.25">
      <c r="A55" s="124" t="s">
        <v>51</v>
      </c>
      <c r="B55" s="128" t="s">
        <v>45</v>
      </c>
      <c r="C55" s="41" t="s">
        <v>8</v>
      </c>
      <c r="D55" s="76">
        <f>AVERAGE(D38:D40)</f>
        <v>34.234057461738693</v>
      </c>
      <c r="E55" s="76">
        <f t="shared" ref="E55:L55" si="16">AVERAGE(E38:E40)</f>
        <v>39.302443547002532</v>
      </c>
      <c r="F55" s="76">
        <f t="shared" si="16"/>
        <v>47.97509380437068</v>
      </c>
      <c r="G55" s="76">
        <f t="shared" si="16"/>
        <v>61.839086550456095</v>
      </c>
      <c r="H55" s="76">
        <f t="shared" si="16"/>
        <v>98.571164781625853</v>
      </c>
      <c r="I55" s="76">
        <f t="shared" si="16"/>
        <v>119.14619813469388</v>
      </c>
      <c r="J55" s="76">
        <f t="shared" si="16"/>
        <v>122.75059247055476</v>
      </c>
      <c r="K55" s="76">
        <f t="shared" si="16"/>
        <v>107.28007959132525</v>
      </c>
      <c r="L55" s="76">
        <f t="shared" si="16"/>
        <v>109.91900471687423</v>
      </c>
    </row>
    <row r="56" spans="1:12" x14ac:dyDescent="0.25">
      <c r="A56" s="124"/>
      <c r="B56" s="129"/>
      <c r="C56" s="45" t="s">
        <v>3</v>
      </c>
      <c r="D56" s="74">
        <f>STDEV(D38:D40)</f>
        <v>12.482115830023572</v>
      </c>
      <c r="E56" s="74">
        <f t="shared" ref="E56:L56" si="17">STDEV(E38:E40)</f>
        <v>2.9118523715349238</v>
      </c>
      <c r="F56" s="74">
        <f t="shared" si="17"/>
        <v>3.2633342100418683</v>
      </c>
      <c r="G56" s="74">
        <f t="shared" si="17"/>
        <v>2.086163546491453</v>
      </c>
      <c r="H56" s="74">
        <f t="shared" si="17"/>
        <v>3.0413893572812154</v>
      </c>
      <c r="I56" s="74">
        <f t="shared" si="17"/>
        <v>10.451754896986294</v>
      </c>
      <c r="J56" s="74">
        <f t="shared" si="17"/>
        <v>26.458410214222091</v>
      </c>
      <c r="K56" s="74">
        <f t="shared" si="17"/>
        <v>5.4087845088478845</v>
      </c>
      <c r="L56" s="74">
        <f t="shared" si="17"/>
        <v>7.3945822670311854</v>
      </c>
    </row>
    <row r="57" spans="1:12" ht="15.75" thickBot="1" x14ac:dyDescent="0.3">
      <c r="A57" s="124"/>
      <c r="B57" s="130"/>
      <c r="C57" s="48" t="s">
        <v>11</v>
      </c>
      <c r="D57" s="77">
        <v>3</v>
      </c>
      <c r="E57" s="77">
        <v>3</v>
      </c>
      <c r="F57" s="77">
        <v>3</v>
      </c>
      <c r="G57" s="77">
        <v>3</v>
      </c>
      <c r="H57" s="77">
        <v>3</v>
      </c>
      <c r="I57" s="77">
        <v>3</v>
      </c>
      <c r="J57" s="77">
        <v>3</v>
      </c>
      <c r="K57" s="77">
        <v>3</v>
      </c>
      <c r="L57" s="77">
        <v>3</v>
      </c>
    </row>
    <row r="58" spans="1:12" x14ac:dyDescent="0.25">
      <c r="A58" s="124"/>
      <c r="B58" s="128" t="s">
        <v>0</v>
      </c>
      <c r="C58" s="41" t="s">
        <v>8</v>
      </c>
      <c r="D58" s="76">
        <f>AVERAGE(D41:D43)</f>
        <v>4.4720810433577149</v>
      </c>
      <c r="E58" s="76">
        <f t="shared" ref="E58:L58" si="18">AVERAGE(E41:E43)</f>
        <v>40.705437770837072</v>
      </c>
      <c r="F58" s="76">
        <f t="shared" si="18"/>
        <v>44.349765417483241</v>
      </c>
      <c r="G58" s="76">
        <f t="shared" si="18"/>
        <v>68.102497717439064</v>
      </c>
      <c r="H58" s="76">
        <f t="shared" si="18"/>
        <v>97.371066102622493</v>
      </c>
      <c r="I58" s="76">
        <f t="shared" si="18"/>
        <v>107.11461170496466</v>
      </c>
      <c r="J58" s="76">
        <f t="shared" si="18"/>
        <v>114.71112845589657</v>
      </c>
      <c r="K58" s="76">
        <f t="shared" si="18"/>
        <v>114.11357640103945</v>
      </c>
      <c r="L58" s="76">
        <f t="shared" si="18"/>
        <v>101.6080860472988</v>
      </c>
    </row>
    <row r="59" spans="1:12" x14ac:dyDescent="0.25">
      <c r="A59" s="124"/>
      <c r="B59" s="129"/>
      <c r="C59" s="45" t="s">
        <v>3</v>
      </c>
      <c r="D59" s="74">
        <f>STDEV(D41:D43)</f>
        <v>0.8625429197267066</v>
      </c>
      <c r="E59" s="74">
        <f t="shared" ref="E59:L59" si="19">STDEV(E41:E43)</f>
        <v>4.2238905214714642</v>
      </c>
      <c r="F59" s="74">
        <f t="shared" si="19"/>
        <v>4.3157488119128278</v>
      </c>
      <c r="G59" s="74">
        <f t="shared" si="19"/>
        <v>3.0181420183707877</v>
      </c>
      <c r="H59" s="74">
        <f t="shared" si="19"/>
        <v>4.1904525610320293</v>
      </c>
      <c r="I59" s="74">
        <f t="shared" si="19"/>
        <v>2.9428844403508214</v>
      </c>
      <c r="J59" s="74">
        <f t="shared" si="19"/>
        <v>5.8970198126762714</v>
      </c>
      <c r="K59" s="74">
        <f t="shared" si="19"/>
        <v>14.160767124166078</v>
      </c>
      <c r="L59" s="74">
        <f t="shared" si="19"/>
        <v>8.0897132677188264</v>
      </c>
    </row>
    <row r="60" spans="1:12" ht="15.75" thickBot="1" x14ac:dyDescent="0.3">
      <c r="A60" s="124"/>
      <c r="B60" s="130"/>
      <c r="C60" s="48" t="s">
        <v>11</v>
      </c>
      <c r="D60" s="77">
        <v>3</v>
      </c>
      <c r="E60" s="77">
        <v>3</v>
      </c>
      <c r="F60" s="77">
        <v>3</v>
      </c>
      <c r="G60" s="77">
        <v>3</v>
      </c>
      <c r="H60" s="77">
        <v>3</v>
      </c>
      <c r="I60" s="77">
        <v>3</v>
      </c>
      <c r="J60" s="77">
        <v>3</v>
      </c>
      <c r="K60" s="77">
        <v>3</v>
      </c>
      <c r="L60" s="77">
        <v>3</v>
      </c>
    </row>
    <row r="61" spans="1:12" x14ac:dyDescent="0.25">
      <c r="A61" s="124"/>
      <c r="B61" s="128" t="s">
        <v>5</v>
      </c>
      <c r="C61" s="41" t="s">
        <v>8</v>
      </c>
      <c r="D61" s="76">
        <f>AVERAGE(D44:D46)</f>
        <v>24.879677863430775</v>
      </c>
      <c r="E61" s="76">
        <f t="shared" ref="E61:L61" si="20">AVERAGE(E44:E46)</f>
        <v>36.908772422895652</v>
      </c>
      <c r="F61" s="76">
        <f t="shared" si="20"/>
        <v>52.716680114020583</v>
      </c>
      <c r="G61" s="76">
        <f t="shared" si="20"/>
        <v>48.774161743154529</v>
      </c>
      <c r="H61" s="76">
        <f t="shared" si="20"/>
        <v>76.518814857712428</v>
      </c>
      <c r="I61" s="76">
        <f t="shared" si="20"/>
        <v>85.135178802147934</v>
      </c>
      <c r="J61" s="76">
        <f t="shared" si="20"/>
        <v>98.466825372676738</v>
      </c>
      <c r="K61" s="76">
        <f t="shared" si="20"/>
        <v>100.09785770065503</v>
      </c>
      <c r="L61" s="76">
        <f t="shared" si="20"/>
        <v>100.11668200130764</v>
      </c>
    </row>
    <row r="62" spans="1:12" x14ac:dyDescent="0.25">
      <c r="A62" s="124"/>
      <c r="B62" s="129"/>
      <c r="C62" s="45" t="s">
        <v>3</v>
      </c>
      <c r="D62" s="74">
        <f>STDEV(D44:D46)</f>
        <v>13.374180493352341</v>
      </c>
      <c r="E62" s="74">
        <f t="shared" ref="E62:L62" si="21">STDEV(E44:E46)</f>
        <v>6.1751431826259395</v>
      </c>
      <c r="F62" s="74">
        <f t="shared" si="21"/>
        <v>10.26057254538523</v>
      </c>
      <c r="G62" s="74">
        <f t="shared" si="21"/>
        <v>12.74158168757879</v>
      </c>
      <c r="H62" s="74">
        <f t="shared" si="21"/>
        <v>6.2319360742247349</v>
      </c>
      <c r="I62" s="74">
        <f t="shared" si="21"/>
        <v>2.502417043268407</v>
      </c>
      <c r="J62" s="74">
        <f t="shared" si="21"/>
        <v>7.3907143183727193</v>
      </c>
      <c r="K62" s="74">
        <f t="shared" si="21"/>
        <v>7.1666439048248849</v>
      </c>
      <c r="L62" s="74">
        <f t="shared" si="21"/>
        <v>6.7898681782368255</v>
      </c>
    </row>
    <row r="63" spans="1:12" ht="15.75" thickBot="1" x14ac:dyDescent="0.3">
      <c r="A63" s="124"/>
      <c r="B63" s="130"/>
      <c r="C63" s="48" t="s">
        <v>11</v>
      </c>
      <c r="D63" s="77">
        <v>9</v>
      </c>
      <c r="E63" s="77">
        <v>9</v>
      </c>
      <c r="F63" s="77">
        <v>9</v>
      </c>
      <c r="G63" s="77">
        <v>9</v>
      </c>
      <c r="H63" s="77">
        <v>9</v>
      </c>
      <c r="I63" s="77">
        <v>9</v>
      </c>
      <c r="J63" s="77">
        <v>9</v>
      </c>
      <c r="K63" s="77">
        <v>9</v>
      </c>
      <c r="L63" s="77">
        <v>9</v>
      </c>
    </row>
    <row r="64" spans="1:12" x14ac:dyDescent="0.25">
      <c r="A64" s="124"/>
      <c r="B64" s="138" t="s">
        <v>65</v>
      </c>
      <c r="C64" s="41" t="s">
        <v>8</v>
      </c>
      <c r="D64" s="76">
        <f>AVERAGE(D47:D49)</f>
        <v>24.889891870073885</v>
      </c>
      <c r="E64" s="76">
        <f t="shared" ref="E64:L64" si="22">AVERAGE(E47:E49)</f>
        <v>55.490343781652825</v>
      </c>
      <c r="F64" s="76">
        <f t="shared" si="22"/>
        <v>59.914632069746084</v>
      </c>
      <c r="G64" s="76">
        <f t="shared" si="22"/>
        <v>66.224637563694202</v>
      </c>
      <c r="H64" s="76">
        <f t="shared" si="22"/>
        <v>91.991195281164835</v>
      </c>
      <c r="I64" s="76">
        <f t="shared" si="22"/>
        <v>115.31955679266527</v>
      </c>
      <c r="J64" s="76">
        <f t="shared" si="22"/>
        <v>113.01699720122961</v>
      </c>
      <c r="K64" s="76">
        <f t="shared" si="22"/>
        <v>123.16875242675974</v>
      </c>
      <c r="L64" s="76">
        <f t="shared" si="22"/>
        <v>136.49913618021566</v>
      </c>
    </row>
    <row r="65" spans="1:12" x14ac:dyDescent="0.25">
      <c r="A65" s="124"/>
      <c r="B65" s="138"/>
      <c r="C65" s="45" t="s">
        <v>3</v>
      </c>
      <c r="D65" s="74">
        <f>STDEV(D47:D49)</f>
        <v>17.068711562908547</v>
      </c>
      <c r="E65" s="74">
        <f t="shared" ref="E65:L65" si="23">STDEV(E47:E49)</f>
        <v>5.2718831962904193</v>
      </c>
      <c r="F65" s="74">
        <f t="shared" si="23"/>
        <v>3.8726402166172238</v>
      </c>
      <c r="G65" s="74">
        <f t="shared" si="23"/>
        <v>12.212417754007424</v>
      </c>
      <c r="H65" s="74">
        <f t="shared" si="23"/>
        <v>8.6262419517324656</v>
      </c>
      <c r="I65" s="74">
        <f t="shared" si="23"/>
        <v>5.3763461523736549</v>
      </c>
      <c r="J65" s="74">
        <f t="shared" si="23"/>
        <v>6.4100718346630634</v>
      </c>
      <c r="K65" s="74">
        <f t="shared" si="23"/>
        <v>0.49765654517427366</v>
      </c>
      <c r="L65" s="74">
        <f t="shared" si="23"/>
        <v>24.489335553262062</v>
      </c>
    </row>
    <row r="66" spans="1:12" ht="15.75" thickBot="1" x14ac:dyDescent="0.3">
      <c r="A66" s="124"/>
      <c r="B66" s="138"/>
      <c r="C66" s="48" t="s">
        <v>11</v>
      </c>
      <c r="D66" s="77">
        <v>3</v>
      </c>
      <c r="E66" s="77">
        <v>3</v>
      </c>
      <c r="F66" s="77">
        <v>3</v>
      </c>
      <c r="G66" s="77">
        <v>3</v>
      </c>
      <c r="H66" s="77">
        <v>3</v>
      </c>
      <c r="I66" s="77">
        <v>3</v>
      </c>
      <c r="J66" s="77">
        <v>3</v>
      </c>
      <c r="K66" s="77">
        <v>3</v>
      </c>
      <c r="L66" s="77">
        <v>3</v>
      </c>
    </row>
  </sheetData>
  <mergeCells count="24">
    <mergeCell ref="B58:B60"/>
    <mergeCell ref="B55:B57"/>
    <mergeCell ref="D36:L36"/>
    <mergeCell ref="C38:C40"/>
    <mergeCell ref="C41:C43"/>
    <mergeCell ref="C44:C46"/>
    <mergeCell ref="C47:C49"/>
    <mergeCell ref="D53:L53"/>
    <mergeCell ref="A5:A15"/>
    <mergeCell ref="A22:A33"/>
    <mergeCell ref="A38:A49"/>
    <mergeCell ref="A55:A66"/>
    <mergeCell ref="D3:L3"/>
    <mergeCell ref="C5:C7"/>
    <mergeCell ref="C8:C10"/>
    <mergeCell ref="C11:C13"/>
    <mergeCell ref="C14:C16"/>
    <mergeCell ref="C22:C24"/>
    <mergeCell ref="C25:C27"/>
    <mergeCell ref="C28:C30"/>
    <mergeCell ref="C31:C33"/>
    <mergeCell ref="D20:L20"/>
    <mergeCell ref="B64:B66"/>
    <mergeCell ref="B61:B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workbookViewId="0">
      <selection activeCell="H54" sqref="H54:L54"/>
    </sheetView>
  </sheetViews>
  <sheetFormatPr defaultColWidth="11.42578125" defaultRowHeight="15" x14ac:dyDescent="0.25"/>
  <cols>
    <col min="1" max="1" width="27.7109375" style="3" customWidth="1"/>
    <col min="2" max="2" width="11.42578125" style="2"/>
    <col min="3" max="3" width="16" style="2" customWidth="1"/>
    <col min="4" max="16384" width="11.42578125" style="2"/>
  </cols>
  <sheetData>
    <row r="1" spans="1:15" x14ac:dyDescent="0.25">
      <c r="A1" s="2" t="s">
        <v>18</v>
      </c>
    </row>
    <row r="2" spans="1:15" x14ac:dyDescent="0.25">
      <c r="A2" s="2" t="s">
        <v>44</v>
      </c>
    </row>
    <row r="3" spans="1:15" x14ac:dyDescent="0.25">
      <c r="A3" s="3" t="s">
        <v>52</v>
      </c>
      <c r="D3" s="134" t="s">
        <v>4</v>
      </c>
      <c r="E3" s="135"/>
      <c r="F3" s="135"/>
      <c r="G3" s="135"/>
      <c r="H3" s="135"/>
      <c r="I3" s="135"/>
      <c r="J3" s="135"/>
      <c r="K3" s="135"/>
      <c r="L3" s="136"/>
    </row>
    <row r="4" spans="1:15" x14ac:dyDescent="0.25">
      <c r="A4" s="5"/>
      <c r="B4" s="56"/>
      <c r="C4" s="57"/>
      <c r="D4" s="58">
        <v>40</v>
      </c>
      <c r="E4" s="59">
        <f>D4/2</f>
        <v>20</v>
      </c>
      <c r="F4" s="59">
        <f t="shared" ref="F4:L4" si="0">E4/2</f>
        <v>10</v>
      </c>
      <c r="G4" s="59">
        <f t="shared" si="0"/>
        <v>5</v>
      </c>
      <c r="H4" s="92">
        <f t="shared" si="0"/>
        <v>2.5</v>
      </c>
      <c r="I4" s="92">
        <f t="shared" si="0"/>
        <v>1.25</v>
      </c>
      <c r="J4" s="92">
        <f t="shared" si="0"/>
        <v>0.625</v>
      </c>
      <c r="K4" s="92">
        <f t="shared" si="0"/>
        <v>0.3125</v>
      </c>
      <c r="L4" s="92">
        <f t="shared" si="0"/>
        <v>0.15625</v>
      </c>
      <c r="M4" s="60" t="s">
        <v>1</v>
      </c>
      <c r="N4" s="61" t="s">
        <v>2</v>
      </c>
      <c r="O4" s="62"/>
    </row>
    <row r="5" spans="1:15" x14ac:dyDescent="0.25">
      <c r="A5" s="124" t="s">
        <v>50</v>
      </c>
      <c r="B5" s="56"/>
      <c r="C5" s="131" t="s">
        <v>25</v>
      </c>
      <c r="D5" s="63"/>
      <c r="E5" s="63">
        <v>8468322</v>
      </c>
      <c r="F5" s="63">
        <v>12253024</v>
      </c>
      <c r="G5" s="63">
        <v>23058222</v>
      </c>
      <c r="H5" s="63">
        <v>90666984</v>
      </c>
      <c r="I5" s="63">
        <v>67116552</v>
      </c>
      <c r="J5" s="63">
        <v>67524960</v>
      </c>
      <c r="K5" s="63">
        <v>70653152</v>
      </c>
      <c r="L5" s="63">
        <v>68816488</v>
      </c>
      <c r="M5" s="64">
        <v>89500744</v>
      </c>
      <c r="N5" s="31">
        <v>60870</v>
      </c>
      <c r="O5" s="62"/>
    </row>
    <row r="6" spans="1:15" x14ac:dyDescent="0.25">
      <c r="A6" s="124"/>
      <c r="B6" s="56"/>
      <c r="C6" s="131"/>
      <c r="D6" s="63"/>
      <c r="E6" s="63">
        <v>6787175</v>
      </c>
      <c r="F6" s="63">
        <v>9170535</v>
      </c>
      <c r="G6" s="63">
        <v>19039706</v>
      </c>
      <c r="H6" s="63">
        <v>21631374</v>
      </c>
      <c r="I6" s="63">
        <v>64390220</v>
      </c>
      <c r="J6" s="63">
        <v>105614320</v>
      </c>
      <c r="K6" s="63">
        <v>79085808</v>
      </c>
      <c r="L6" s="63">
        <v>72058504</v>
      </c>
      <c r="M6" s="64">
        <v>76182280</v>
      </c>
      <c r="N6" s="31">
        <v>61951</v>
      </c>
      <c r="O6" s="62"/>
    </row>
    <row r="7" spans="1:15" x14ac:dyDescent="0.25">
      <c r="A7" s="124"/>
      <c r="B7" s="56"/>
      <c r="C7" s="131"/>
      <c r="D7" s="63"/>
      <c r="E7" s="63">
        <v>5812183</v>
      </c>
      <c r="F7" s="63">
        <v>12051489</v>
      </c>
      <c r="G7" s="63">
        <v>12152166</v>
      </c>
      <c r="H7" s="63">
        <v>39015128</v>
      </c>
      <c r="I7" s="63">
        <v>56676488</v>
      </c>
      <c r="J7" s="63">
        <v>91318808</v>
      </c>
      <c r="K7" s="63">
        <v>90430656</v>
      </c>
      <c r="L7" s="63">
        <v>78708712</v>
      </c>
      <c r="M7" s="64">
        <v>90523192</v>
      </c>
      <c r="N7" s="31">
        <v>52301</v>
      </c>
    </row>
    <row r="8" spans="1:15" x14ac:dyDescent="0.25">
      <c r="A8" s="124"/>
      <c r="B8" s="56"/>
      <c r="C8" s="139" t="s">
        <v>45</v>
      </c>
      <c r="D8" s="63"/>
      <c r="E8" s="63">
        <v>84454952</v>
      </c>
      <c r="F8" s="63">
        <v>122773624</v>
      </c>
      <c r="G8" s="63">
        <v>76526448</v>
      </c>
      <c r="H8" s="63">
        <v>75359232</v>
      </c>
      <c r="I8" s="63">
        <v>63981544</v>
      </c>
      <c r="J8" s="63">
        <v>111620256</v>
      </c>
      <c r="K8" s="63">
        <v>82841496</v>
      </c>
      <c r="L8" s="63">
        <v>80391112</v>
      </c>
      <c r="M8" s="64">
        <v>68835136</v>
      </c>
      <c r="N8" s="65">
        <f>AVERAGE(N5:N7)</f>
        <v>58374</v>
      </c>
      <c r="O8" s="66" t="s">
        <v>26</v>
      </c>
    </row>
    <row r="9" spans="1:15" x14ac:dyDescent="0.25">
      <c r="A9" s="124"/>
      <c r="B9" s="56"/>
      <c r="C9" s="140"/>
      <c r="D9" s="63"/>
      <c r="E9" s="63">
        <v>84975568</v>
      </c>
      <c r="F9" s="63">
        <v>92300112</v>
      </c>
      <c r="G9" s="63">
        <v>80226584</v>
      </c>
      <c r="H9" s="63">
        <v>100229248</v>
      </c>
      <c r="I9" s="63">
        <v>71483520</v>
      </c>
      <c r="J9" s="63">
        <v>110507872</v>
      </c>
      <c r="K9" s="63">
        <v>85154168</v>
      </c>
      <c r="L9" s="63">
        <v>72917112</v>
      </c>
      <c r="M9" s="64">
        <v>81869440</v>
      </c>
    </row>
    <row r="10" spans="1:15" x14ac:dyDescent="0.25">
      <c r="A10" s="124"/>
      <c r="B10" s="56"/>
      <c r="C10" s="141"/>
      <c r="D10" s="63"/>
      <c r="E10" s="63">
        <v>85008448</v>
      </c>
      <c r="F10" s="63">
        <v>96271592</v>
      </c>
      <c r="G10" s="63">
        <v>86220752</v>
      </c>
      <c r="H10" s="63">
        <v>75502144</v>
      </c>
      <c r="I10" s="63">
        <v>74319072</v>
      </c>
      <c r="J10" s="63">
        <v>74188120</v>
      </c>
      <c r="K10" s="63">
        <v>103321424</v>
      </c>
      <c r="L10" s="63">
        <v>75766392</v>
      </c>
      <c r="M10" s="64">
        <v>84097752</v>
      </c>
      <c r="N10" s="67">
        <f>AVERAGE(M5:M10)</f>
        <v>81834757.333333328</v>
      </c>
      <c r="O10" s="64" t="s">
        <v>27</v>
      </c>
    </row>
    <row r="11" spans="1:15" ht="15.75" x14ac:dyDescent="0.3">
      <c r="A11" s="124"/>
      <c r="B11" s="56"/>
      <c r="C11" s="139" t="s">
        <v>0</v>
      </c>
      <c r="D11" s="68"/>
      <c r="E11" s="63">
        <v>46189172</v>
      </c>
      <c r="F11" s="63">
        <v>105484032</v>
      </c>
      <c r="G11" s="63">
        <v>93174360</v>
      </c>
      <c r="H11" s="63">
        <v>161289904</v>
      </c>
      <c r="I11" s="63">
        <v>104559984</v>
      </c>
      <c r="J11" s="63">
        <v>124462680</v>
      </c>
      <c r="K11" s="63">
        <v>105668920</v>
      </c>
      <c r="L11" s="63">
        <v>82952688</v>
      </c>
      <c r="M11" s="64">
        <v>82179504</v>
      </c>
      <c r="N11" s="69">
        <v>5867714</v>
      </c>
      <c r="O11" s="62"/>
    </row>
    <row r="12" spans="1:15" ht="15.75" x14ac:dyDescent="0.3">
      <c r="A12" s="124"/>
      <c r="B12" s="56"/>
      <c r="C12" s="140"/>
      <c r="D12" s="68"/>
      <c r="E12" s="70">
        <v>65863532</v>
      </c>
      <c r="F12" s="63">
        <v>84846824</v>
      </c>
      <c r="G12" s="63">
        <v>92189496</v>
      </c>
      <c r="H12" s="63">
        <v>78213752</v>
      </c>
      <c r="I12" s="63">
        <v>89039544</v>
      </c>
      <c r="J12" s="63">
        <v>91880536</v>
      </c>
      <c r="K12" s="63">
        <v>98857640</v>
      </c>
      <c r="L12" s="63">
        <v>106189504</v>
      </c>
      <c r="M12" s="64">
        <v>74094040</v>
      </c>
      <c r="N12" s="31">
        <v>6003202</v>
      </c>
      <c r="O12" s="62"/>
    </row>
    <row r="13" spans="1:15" ht="15.75" x14ac:dyDescent="0.3">
      <c r="A13" s="124"/>
      <c r="B13" s="56"/>
      <c r="C13" s="141"/>
      <c r="D13" s="68"/>
      <c r="E13" s="70">
        <v>44003720</v>
      </c>
      <c r="F13" s="63">
        <v>82406528</v>
      </c>
      <c r="G13" s="63">
        <v>83433048</v>
      </c>
      <c r="H13" s="63">
        <v>75483824</v>
      </c>
      <c r="I13" s="63">
        <v>77477112</v>
      </c>
      <c r="J13" s="63">
        <v>84659336</v>
      </c>
      <c r="K13" s="63">
        <v>88486440</v>
      </c>
      <c r="L13" s="63">
        <v>82310928</v>
      </c>
      <c r="M13" s="64">
        <v>78775640</v>
      </c>
      <c r="N13" s="31">
        <v>6463302</v>
      </c>
    </row>
    <row r="14" spans="1:15" ht="15.75" x14ac:dyDescent="0.3">
      <c r="A14" s="124"/>
      <c r="B14" s="56"/>
      <c r="C14" s="139" t="s">
        <v>5</v>
      </c>
      <c r="D14" s="68"/>
      <c r="E14" s="70">
        <v>11171250</v>
      </c>
      <c r="F14" s="63">
        <v>71132096</v>
      </c>
      <c r="G14" s="63">
        <v>104171024</v>
      </c>
      <c r="H14" s="63">
        <v>117669680</v>
      </c>
      <c r="I14" s="63">
        <v>111658864</v>
      </c>
      <c r="J14" s="63">
        <v>108669504</v>
      </c>
      <c r="K14" s="63">
        <v>98144064</v>
      </c>
      <c r="L14" s="63">
        <v>100707248</v>
      </c>
      <c r="M14" s="64">
        <v>83095856</v>
      </c>
      <c r="N14" s="65">
        <f>AVERAGE(N2:N11)</f>
        <v>14655994.555555554</v>
      </c>
      <c r="O14" s="66" t="s">
        <v>26</v>
      </c>
    </row>
    <row r="15" spans="1:15" ht="15.75" x14ac:dyDescent="0.3">
      <c r="A15" s="124"/>
      <c r="B15" s="56"/>
      <c r="C15" s="140"/>
      <c r="D15" s="68"/>
      <c r="E15" s="63">
        <v>46160796</v>
      </c>
      <c r="F15" s="63">
        <v>87270080</v>
      </c>
      <c r="G15" s="63">
        <v>104711080</v>
      </c>
      <c r="H15" s="63">
        <v>97963216</v>
      </c>
      <c r="I15" s="63">
        <v>77709840</v>
      </c>
      <c r="J15" s="63">
        <v>90069352</v>
      </c>
      <c r="K15" s="63">
        <v>112310800</v>
      </c>
      <c r="L15" s="63">
        <v>85684944</v>
      </c>
      <c r="M15" s="64">
        <v>78911840</v>
      </c>
      <c r="N15" s="56"/>
    </row>
    <row r="16" spans="1:15" ht="15.75" x14ac:dyDescent="0.3">
      <c r="A16" s="5"/>
      <c r="B16" s="56"/>
      <c r="C16" s="141"/>
      <c r="D16" s="68"/>
      <c r="E16" s="63">
        <v>45958020</v>
      </c>
      <c r="F16" s="63">
        <v>10369771</v>
      </c>
      <c r="G16" s="63">
        <v>97985400</v>
      </c>
      <c r="H16" s="63">
        <v>97446256</v>
      </c>
      <c r="I16" s="63">
        <v>93592600</v>
      </c>
      <c r="J16" s="63">
        <v>114738392</v>
      </c>
      <c r="K16" s="63">
        <v>92022272</v>
      </c>
      <c r="L16" s="63">
        <v>83805960</v>
      </c>
      <c r="M16" s="64">
        <v>76948080</v>
      </c>
      <c r="N16" s="67">
        <f>AVERAGE(M11:M16)</f>
        <v>79000826.666666672</v>
      </c>
      <c r="O16" s="64" t="s">
        <v>27</v>
      </c>
    </row>
    <row r="17" spans="1:17" x14ac:dyDescent="0.25">
      <c r="B17" s="56"/>
    </row>
    <row r="18" spans="1:17" x14ac:dyDescent="0.25">
      <c r="B18" s="56"/>
    </row>
    <row r="19" spans="1:17" x14ac:dyDescent="0.25">
      <c r="B19" s="56"/>
    </row>
    <row r="20" spans="1:17" x14ac:dyDescent="0.25">
      <c r="B20" s="62"/>
      <c r="C20" s="3"/>
      <c r="D20" s="125" t="s">
        <v>4</v>
      </c>
      <c r="E20" s="126"/>
      <c r="F20" s="126"/>
      <c r="G20" s="126"/>
      <c r="H20" s="126"/>
      <c r="I20" s="126"/>
      <c r="J20" s="126"/>
      <c r="K20" s="126"/>
      <c r="L20" s="127"/>
    </row>
    <row r="21" spans="1:17" x14ac:dyDescent="0.25">
      <c r="A21" s="71" t="s">
        <v>15</v>
      </c>
      <c r="B21" s="62"/>
      <c r="C21" s="72"/>
      <c r="D21" s="73">
        <v>40</v>
      </c>
      <c r="E21" s="73">
        <f>D21/2</f>
        <v>20</v>
      </c>
      <c r="F21" s="73">
        <f t="shared" ref="F21:L21" si="1">E21/2</f>
        <v>10</v>
      </c>
      <c r="G21" s="73">
        <f t="shared" si="1"/>
        <v>5</v>
      </c>
      <c r="H21" s="92">
        <f t="shared" si="1"/>
        <v>2.5</v>
      </c>
      <c r="I21" s="92">
        <f t="shared" si="1"/>
        <v>1.25</v>
      </c>
      <c r="J21" s="92">
        <f t="shared" si="1"/>
        <v>0.625</v>
      </c>
      <c r="K21" s="92">
        <f t="shared" si="1"/>
        <v>0.3125</v>
      </c>
      <c r="L21" s="92">
        <f t="shared" si="1"/>
        <v>0.15625</v>
      </c>
    </row>
    <row r="22" spans="1:17" x14ac:dyDescent="0.25">
      <c r="A22" s="124" t="s">
        <v>50</v>
      </c>
      <c r="B22" s="62"/>
      <c r="C22" s="131" t="s">
        <v>25</v>
      </c>
      <c r="D22" s="74"/>
      <c r="E22" s="74">
        <f>E5-58374</f>
        <v>8409948</v>
      </c>
      <c r="F22" s="74">
        <f t="shared" ref="F22:L22" si="2">F5-58374</f>
        <v>12194650</v>
      </c>
      <c r="G22" s="74">
        <f t="shared" si="2"/>
        <v>22999848</v>
      </c>
      <c r="H22" s="74">
        <f t="shared" si="2"/>
        <v>90608610</v>
      </c>
      <c r="I22" s="74">
        <f t="shared" si="2"/>
        <v>67058178</v>
      </c>
      <c r="J22" s="74">
        <f t="shared" si="2"/>
        <v>67466586</v>
      </c>
      <c r="K22" s="74">
        <f t="shared" si="2"/>
        <v>70594778</v>
      </c>
      <c r="L22" s="74">
        <f t="shared" si="2"/>
        <v>68758114</v>
      </c>
    </row>
    <row r="23" spans="1:17" x14ac:dyDescent="0.25">
      <c r="A23" s="124"/>
      <c r="B23" s="62"/>
      <c r="C23" s="131"/>
      <c r="D23" s="74"/>
      <c r="E23" s="74">
        <f t="shared" ref="E23:L27" si="3">E6-58374</f>
        <v>6728801</v>
      </c>
      <c r="F23" s="74">
        <f t="shared" si="3"/>
        <v>9112161</v>
      </c>
      <c r="G23" s="74">
        <f t="shared" si="3"/>
        <v>18981332</v>
      </c>
      <c r="H23" s="74">
        <f t="shared" si="3"/>
        <v>21573000</v>
      </c>
      <c r="I23" s="74">
        <f t="shared" si="3"/>
        <v>64331846</v>
      </c>
      <c r="J23" s="74">
        <f t="shared" si="3"/>
        <v>105555946</v>
      </c>
      <c r="K23" s="74">
        <f t="shared" si="3"/>
        <v>79027434</v>
      </c>
      <c r="L23" s="74">
        <f t="shared" si="3"/>
        <v>72000130</v>
      </c>
    </row>
    <row r="24" spans="1:17" x14ac:dyDescent="0.25">
      <c r="A24" s="124"/>
      <c r="B24" s="62"/>
      <c r="C24" s="131"/>
      <c r="D24" s="74"/>
      <c r="E24" s="74">
        <f t="shared" si="3"/>
        <v>5753809</v>
      </c>
      <c r="F24" s="74">
        <f t="shared" si="3"/>
        <v>11993115</v>
      </c>
      <c r="G24" s="74">
        <f t="shared" si="3"/>
        <v>12093792</v>
      </c>
      <c r="H24" s="74">
        <f t="shared" si="3"/>
        <v>38956754</v>
      </c>
      <c r="I24" s="74">
        <f t="shared" si="3"/>
        <v>56618114</v>
      </c>
      <c r="J24" s="74">
        <f t="shared" si="3"/>
        <v>91260434</v>
      </c>
      <c r="K24" s="74">
        <f t="shared" si="3"/>
        <v>90372282</v>
      </c>
      <c r="L24" s="74">
        <f t="shared" si="3"/>
        <v>78650338</v>
      </c>
    </row>
    <row r="25" spans="1:17" x14ac:dyDescent="0.25">
      <c r="A25" s="124"/>
      <c r="B25" s="62"/>
      <c r="C25" s="139" t="s">
        <v>45</v>
      </c>
      <c r="D25" s="74"/>
      <c r="E25" s="74">
        <f t="shared" si="3"/>
        <v>84396578</v>
      </c>
      <c r="F25" s="74">
        <f t="shared" si="3"/>
        <v>122715250</v>
      </c>
      <c r="G25" s="74">
        <f t="shared" si="3"/>
        <v>76468074</v>
      </c>
      <c r="H25" s="74">
        <f t="shared" si="3"/>
        <v>75300858</v>
      </c>
      <c r="I25" s="74">
        <f t="shared" si="3"/>
        <v>63923170</v>
      </c>
      <c r="J25" s="74">
        <f t="shared" si="3"/>
        <v>111561882</v>
      </c>
      <c r="K25" s="74">
        <f t="shared" si="3"/>
        <v>82783122</v>
      </c>
      <c r="L25" s="74">
        <f t="shared" si="3"/>
        <v>80332738</v>
      </c>
    </row>
    <row r="26" spans="1:17" x14ac:dyDescent="0.25">
      <c r="A26" s="124"/>
      <c r="B26" s="62"/>
      <c r="C26" s="140"/>
      <c r="D26" s="74"/>
      <c r="E26" s="74">
        <f t="shared" si="3"/>
        <v>84917194</v>
      </c>
      <c r="F26" s="74">
        <f t="shared" si="3"/>
        <v>92241738</v>
      </c>
      <c r="G26" s="74">
        <f t="shared" si="3"/>
        <v>80168210</v>
      </c>
      <c r="H26" s="74">
        <f t="shared" si="3"/>
        <v>100170874</v>
      </c>
      <c r="I26" s="74">
        <f t="shared" si="3"/>
        <v>71425146</v>
      </c>
      <c r="J26" s="74">
        <f t="shared" si="3"/>
        <v>110449498</v>
      </c>
      <c r="K26" s="74">
        <f t="shared" si="3"/>
        <v>85095794</v>
      </c>
      <c r="L26" s="74">
        <f t="shared" si="3"/>
        <v>72858738</v>
      </c>
    </row>
    <row r="27" spans="1:17" x14ac:dyDescent="0.25">
      <c r="A27" s="124"/>
      <c r="B27" s="62"/>
      <c r="C27" s="141"/>
      <c r="D27" s="74"/>
      <c r="E27" s="74">
        <f t="shared" si="3"/>
        <v>84950074</v>
      </c>
      <c r="F27" s="74">
        <f t="shared" si="3"/>
        <v>96213218</v>
      </c>
      <c r="G27" s="74">
        <f t="shared" si="3"/>
        <v>86162378</v>
      </c>
      <c r="H27" s="74">
        <f t="shared" si="3"/>
        <v>75443770</v>
      </c>
      <c r="I27" s="74">
        <f t="shared" si="3"/>
        <v>74260698</v>
      </c>
      <c r="J27" s="74">
        <f t="shared" si="3"/>
        <v>74129746</v>
      </c>
      <c r="K27" s="74">
        <f t="shared" si="3"/>
        <v>103263050</v>
      </c>
      <c r="L27" s="74">
        <f t="shared" si="3"/>
        <v>75708018</v>
      </c>
    </row>
    <row r="28" spans="1:17" x14ac:dyDescent="0.25">
      <c r="A28" s="124"/>
      <c r="B28" s="62"/>
      <c r="C28" s="139" t="s">
        <v>0</v>
      </c>
      <c r="D28" s="74"/>
      <c r="E28" s="74">
        <f>E11-583-14655994.674</f>
        <v>31532594.325999998</v>
      </c>
      <c r="F28" s="74">
        <f t="shared" ref="F28:L28" si="4">F11-583-14655994.674</f>
        <v>90827454.326000005</v>
      </c>
      <c r="G28" s="74">
        <f t="shared" si="4"/>
        <v>78517782.326000005</v>
      </c>
      <c r="H28" s="74">
        <f t="shared" si="4"/>
        <v>146633326.32600001</v>
      </c>
      <c r="I28" s="74">
        <f t="shared" si="4"/>
        <v>89903406.326000005</v>
      </c>
      <c r="J28" s="74">
        <f t="shared" si="4"/>
        <v>109806102.32600001</v>
      </c>
      <c r="K28" s="74">
        <f t="shared" si="4"/>
        <v>91012342.326000005</v>
      </c>
      <c r="L28" s="74">
        <f t="shared" si="4"/>
        <v>68296110.326000005</v>
      </c>
      <c r="M28" s="56"/>
      <c r="N28" s="56"/>
      <c r="O28" s="56"/>
      <c r="P28" s="56"/>
      <c r="Q28" s="56"/>
    </row>
    <row r="29" spans="1:17" x14ac:dyDescent="0.25">
      <c r="A29" s="124"/>
      <c r="B29" s="62"/>
      <c r="C29" s="140"/>
      <c r="D29" s="74"/>
      <c r="E29" s="74">
        <f t="shared" ref="E29:L33" si="5">E12-583-14655994.674</f>
        <v>51206954.325999998</v>
      </c>
      <c r="F29" s="74">
        <f t="shared" si="5"/>
        <v>70190246.326000005</v>
      </c>
      <c r="G29" s="74">
        <f t="shared" si="5"/>
        <v>77532918.326000005</v>
      </c>
      <c r="H29" s="74">
        <f t="shared" si="5"/>
        <v>63557174.325999998</v>
      </c>
      <c r="I29" s="74">
        <f t="shared" si="5"/>
        <v>74382966.326000005</v>
      </c>
      <c r="J29" s="74">
        <f t="shared" si="5"/>
        <v>77223958.326000005</v>
      </c>
      <c r="K29" s="74">
        <f t="shared" si="5"/>
        <v>84201062.326000005</v>
      </c>
      <c r="L29" s="74">
        <f t="shared" si="5"/>
        <v>91532926.326000005</v>
      </c>
      <c r="M29" s="56"/>
      <c r="N29" s="56"/>
      <c r="O29" s="56"/>
      <c r="P29" s="56"/>
      <c r="Q29" s="56"/>
    </row>
    <row r="30" spans="1:17" x14ac:dyDescent="0.25">
      <c r="A30" s="124"/>
      <c r="B30" s="62"/>
      <c r="C30" s="141"/>
      <c r="D30" s="74"/>
      <c r="E30" s="74">
        <f t="shared" si="5"/>
        <v>29347142.325999998</v>
      </c>
      <c r="F30" s="74">
        <f t="shared" si="5"/>
        <v>67749950.326000005</v>
      </c>
      <c r="G30" s="74">
        <f t="shared" si="5"/>
        <v>68776470.326000005</v>
      </c>
      <c r="H30" s="74">
        <f t="shared" si="5"/>
        <v>60827246.325999998</v>
      </c>
      <c r="I30" s="74">
        <f t="shared" si="5"/>
        <v>62820534.325999998</v>
      </c>
      <c r="J30" s="74">
        <f t="shared" si="5"/>
        <v>70002758.326000005</v>
      </c>
      <c r="K30" s="74">
        <f t="shared" si="5"/>
        <v>73829862.326000005</v>
      </c>
      <c r="L30" s="74">
        <f t="shared" si="5"/>
        <v>67654350.326000005</v>
      </c>
      <c r="M30" s="56"/>
      <c r="N30" s="56"/>
      <c r="O30" s="56"/>
      <c r="P30" s="56"/>
      <c r="Q30" s="56"/>
    </row>
    <row r="31" spans="1:17" x14ac:dyDescent="0.25">
      <c r="A31" s="124"/>
      <c r="B31" s="62"/>
      <c r="C31" s="139" t="s">
        <v>5</v>
      </c>
      <c r="D31" s="74"/>
      <c r="E31" s="74">
        <f t="shared" si="5"/>
        <v>-3485327.6740000006</v>
      </c>
      <c r="F31" s="74">
        <f t="shared" si="5"/>
        <v>56475518.325999998</v>
      </c>
      <c r="G31" s="74">
        <f t="shared" si="5"/>
        <v>89514446.326000005</v>
      </c>
      <c r="H31" s="74">
        <f t="shared" si="5"/>
        <v>103013102.32600001</v>
      </c>
      <c r="I31" s="74">
        <f t="shared" si="5"/>
        <v>97002286.326000005</v>
      </c>
      <c r="J31" s="74">
        <f t="shared" si="5"/>
        <v>94012926.326000005</v>
      </c>
      <c r="K31" s="74">
        <f t="shared" si="5"/>
        <v>83487486.326000005</v>
      </c>
      <c r="L31" s="74">
        <f t="shared" si="5"/>
        <v>86050670.326000005</v>
      </c>
    </row>
    <row r="32" spans="1:17" x14ac:dyDescent="0.25">
      <c r="A32" s="124"/>
      <c r="B32" s="62"/>
      <c r="C32" s="140"/>
      <c r="D32" s="74"/>
      <c r="E32" s="74">
        <f t="shared" si="5"/>
        <v>31504218.325999998</v>
      </c>
      <c r="F32" s="74">
        <f t="shared" si="5"/>
        <v>72613502.326000005</v>
      </c>
      <c r="G32" s="74">
        <f t="shared" si="5"/>
        <v>90054502.326000005</v>
      </c>
      <c r="H32" s="74">
        <f t="shared" si="5"/>
        <v>83306638.326000005</v>
      </c>
      <c r="I32" s="74">
        <f t="shared" si="5"/>
        <v>63053262.325999998</v>
      </c>
      <c r="J32" s="74">
        <f t="shared" si="5"/>
        <v>75412774.326000005</v>
      </c>
      <c r="K32" s="74">
        <f t="shared" si="5"/>
        <v>97654222.326000005</v>
      </c>
      <c r="L32" s="74">
        <f t="shared" si="5"/>
        <v>71028366.326000005</v>
      </c>
    </row>
    <row r="33" spans="1:12" x14ac:dyDescent="0.25">
      <c r="A33" s="124"/>
      <c r="B33" s="62"/>
      <c r="C33" s="141"/>
      <c r="D33" s="74"/>
      <c r="E33" s="74">
        <f t="shared" si="5"/>
        <v>31301442.325999998</v>
      </c>
      <c r="F33" s="74">
        <f t="shared" si="5"/>
        <v>-4286806.6740000006</v>
      </c>
      <c r="G33" s="74">
        <f t="shared" si="5"/>
        <v>83328822.326000005</v>
      </c>
      <c r="H33" s="74">
        <f t="shared" si="5"/>
        <v>82789678.326000005</v>
      </c>
      <c r="I33" s="74">
        <f t="shared" si="5"/>
        <v>78936022.326000005</v>
      </c>
      <c r="J33" s="74">
        <f t="shared" si="5"/>
        <v>100081814.32600001</v>
      </c>
      <c r="K33" s="74">
        <f t="shared" si="5"/>
        <v>77365694.326000005</v>
      </c>
      <c r="L33" s="74">
        <f t="shared" si="5"/>
        <v>69149382.326000005</v>
      </c>
    </row>
    <row r="34" spans="1:12" x14ac:dyDescent="0.25">
      <c r="A34" s="5"/>
      <c r="B34" s="62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5"/>
      <c r="B35" s="62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75" t="s">
        <v>9</v>
      </c>
      <c r="B36" s="62"/>
      <c r="C36" s="3"/>
      <c r="D36" s="125" t="s">
        <v>4</v>
      </c>
      <c r="E36" s="126"/>
      <c r="F36" s="126"/>
      <c r="G36" s="126"/>
      <c r="H36" s="126"/>
      <c r="I36" s="126"/>
      <c r="J36" s="126"/>
      <c r="K36" s="126"/>
      <c r="L36" s="127"/>
    </row>
    <row r="37" spans="1:12" x14ac:dyDescent="0.25">
      <c r="A37" s="5"/>
      <c r="B37" s="62"/>
      <c r="C37" s="72"/>
      <c r="D37" s="73">
        <v>40</v>
      </c>
      <c r="E37" s="73">
        <f>D37/2</f>
        <v>20</v>
      </c>
      <c r="F37" s="73">
        <f t="shared" ref="F37:L37" si="6">E37/2</f>
        <v>10</v>
      </c>
      <c r="G37" s="73">
        <f t="shared" si="6"/>
        <v>5</v>
      </c>
      <c r="H37" s="92">
        <f t="shared" si="6"/>
        <v>2.5</v>
      </c>
      <c r="I37" s="92">
        <f t="shared" si="6"/>
        <v>1.25</v>
      </c>
      <c r="J37" s="92">
        <f t="shared" si="6"/>
        <v>0.625</v>
      </c>
      <c r="K37" s="92">
        <f t="shared" si="6"/>
        <v>0.3125</v>
      </c>
      <c r="L37" s="92">
        <f t="shared" si="6"/>
        <v>0.15625</v>
      </c>
    </row>
    <row r="38" spans="1:12" x14ac:dyDescent="0.25">
      <c r="A38" s="124" t="s">
        <v>51</v>
      </c>
      <c r="B38" s="62"/>
      <c r="C38" s="131" t="s">
        <v>25</v>
      </c>
      <c r="D38" s="74"/>
      <c r="E38" s="74">
        <f>E22*100/81834757.3</f>
        <v>10.276743375885836</v>
      </c>
      <c r="F38" s="74">
        <f t="shared" ref="F38:L38" si="7">F22*100/81834757.3</f>
        <v>14.901553328123574</v>
      </c>
      <c r="G38" s="74">
        <f t="shared" si="7"/>
        <v>28.105231516340062</v>
      </c>
      <c r="H38" s="74">
        <f t="shared" si="7"/>
        <v>110.72142569915094</v>
      </c>
      <c r="I38" s="74">
        <f t="shared" si="7"/>
        <v>81.943394484778423</v>
      </c>
      <c r="J38" s="74">
        <f t="shared" si="7"/>
        <v>82.442458713077897</v>
      </c>
      <c r="K38" s="74">
        <f t="shared" si="7"/>
        <v>86.265030079095752</v>
      </c>
      <c r="L38" s="74">
        <f t="shared" si="7"/>
        <v>84.020673206053488</v>
      </c>
    </row>
    <row r="39" spans="1:12" x14ac:dyDescent="0.25">
      <c r="A39" s="124"/>
      <c r="B39" s="62"/>
      <c r="C39" s="131"/>
      <c r="D39" s="74"/>
      <c r="E39" s="74">
        <f t="shared" ref="E39:L43" si="8">E23*100/81834757.3</f>
        <v>8.2224243365599872</v>
      </c>
      <c r="F39" s="74">
        <f t="shared" si="8"/>
        <v>11.134829870143697</v>
      </c>
      <c r="G39" s="74">
        <f t="shared" si="8"/>
        <v>23.194706780171511</v>
      </c>
      <c r="H39" s="74">
        <f t="shared" si="8"/>
        <v>26.361659411923252</v>
      </c>
      <c r="I39" s="74">
        <f t="shared" si="8"/>
        <v>78.611885856964591</v>
      </c>
      <c r="J39" s="74">
        <f t="shared" si="8"/>
        <v>128.98669157536563</v>
      </c>
      <c r="K39" s="74">
        <f t="shared" si="8"/>
        <v>96.569522055636384</v>
      </c>
      <c r="L39" s="74">
        <f t="shared" si="8"/>
        <v>87.982334616149714</v>
      </c>
    </row>
    <row r="40" spans="1:12" x14ac:dyDescent="0.25">
      <c r="A40" s="124"/>
      <c r="B40" s="62"/>
      <c r="C40" s="131"/>
      <c r="D40" s="74"/>
      <c r="E40" s="74">
        <f t="shared" si="8"/>
        <v>7.0310088156148298</v>
      </c>
      <c r="F40" s="74">
        <f t="shared" si="8"/>
        <v>14.655282664350249</v>
      </c>
      <c r="G40" s="74">
        <f t="shared" si="8"/>
        <v>14.778307407529882</v>
      </c>
      <c r="H40" s="74">
        <f t="shared" si="8"/>
        <v>47.604166353408374</v>
      </c>
      <c r="I40" s="74">
        <f t="shared" si="8"/>
        <v>69.185900793280652</v>
      </c>
      <c r="J40" s="74">
        <f t="shared" si="8"/>
        <v>111.51793811209849</v>
      </c>
      <c r="K40" s="74">
        <f t="shared" si="8"/>
        <v>110.43263887091653</v>
      </c>
      <c r="L40" s="74">
        <f t="shared" si="8"/>
        <v>96.10872029799495</v>
      </c>
    </row>
    <row r="41" spans="1:12" x14ac:dyDescent="0.25">
      <c r="A41" s="124"/>
      <c r="B41" s="62"/>
      <c r="C41" s="139" t="s">
        <v>45</v>
      </c>
      <c r="D41" s="74"/>
      <c r="E41" s="74">
        <f t="shared" si="8"/>
        <v>103.13047998738307</v>
      </c>
      <c r="F41" s="74">
        <f t="shared" si="8"/>
        <v>149.95492630366732</v>
      </c>
      <c r="G41" s="74">
        <f t="shared" si="8"/>
        <v>93.442048981307366</v>
      </c>
      <c r="H41" s="74">
        <f t="shared" si="8"/>
        <v>92.015740602679102</v>
      </c>
      <c r="I41" s="74">
        <f t="shared" si="8"/>
        <v>78.112494139455336</v>
      </c>
      <c r="J41" s="74">
        <f t="shared" si="8"/>
        <v>136.32579319692076</v>
      </c>
      <c r="K41" s="74">
        <f t="shared" si="8"/>
        <v>101.15887763499239</v>
      </c>
      <c r="L41" s="74">
        <f t="shared" si="8"/>
        <v>98.164570471573938</v>
      </c>
    </row>
    <row r="42" spans="1:12" x14ac:dyDescent="0.25">
      <c r="A42" s="124"/>
      <c r="B42" s="62"/>
      <c r="C42" s="140"/>
      <c r="D42" s="74"/>
      <c r="E42" s="74">
        <f t="shared" si="8"/>
        <v>103.76665954870499</v>
      </c>
      <c r="F42" s="74">
        <f t="shared" si="8"/>
        <v>112.71706673711856</v>
      </c>
      <c r="G42" s="74">
        <f t="shared" si="8"/>
        <v>97.963521424166316</v>
      </c>
      <c r="H42" s="74">
        <f t="shared" si="8"/>
        <v>122.40627003118149</v>
      </c>
      <c r="I42" s="74">
        <f t="shared" si="8"/>
        <v>87.2797187363321</v>
      </c>
      <c r="J42" s="74">
        <f t="shared" si="8"/>
        <v>134.96648813303196</v>
      </c>
      <c r="K42" s="74">
        <f t="shared" si="8"/>
        <v>103.98490422357494</v>
      </c>
      <c r="L42" s="74">
        <f t="shared" si="8"/>
        <v>89.031531837878376</v>
      </c>
    </row>
    <row r="43" spans="1:12" x14ac:dyDescent="0.25">
      <c r="A43" s="124"/>
      <c r="B43" s="62"/>
      <c r="C43" s="141"/>
      <c r="D43" s="74"/>
      <c r="E43" s="74">
        <f t="shared" si="8"/>
        <v>103.80683807563514</v>
      </c>
      <c r="F43" s="74">
        <f t="shared" si="8"/>
        <v>117.57011467302293</v>
      </c>
      <c r="G43" s="74">
        <f t="shared" si="8"/>
        <v>105.28824284788342</v>
      </c>
      <c r="H43" s="74">
        <f t="shared" si="8"/>
        <v>92.190375445764289</v>
      </c>
      <c r="I43" s="74">
        <f t="shared" si="8"/>
        <v>90.744691436874348</v>
      </c>
      <c r="J43" s="74">
        <f t="shared" si="8"/>
        <v>90.584671410762525</v>
      </c>
      <c r="K43" s="74">
        <f t="shared" si="8"/>
        <v>126.184830757725</v>
      </c>
      <c r="L43" s="74">
        <f t="shared" si="8"/>
        <v>92.51327980659876</v>
      </c>
    </row>
    <row r="44" spans="1:12" x14ac:dyDescent="0.25">
      <c r="A44" s="124"/>
      <c r="B44" s="62"/>
      <c r="C44" s="139" t="s">
        <v>0</v>
      </c>
      <c r="D44" s="74"/>
      <c r="E44" s="74">
        <f>E28*100/79000826.7</f>
        <v>39.914258676991793</v>
      </c>
      <c r="F44" s="74">
        <f t="shared" ref="F44:L44" si="9">F28*100/79000826.7</f>
        <v>114.9702580593375</v>
      </c>
      <c r="G44" s="74">
        <f t="shared" si="9"/>
        <v>99.388557823787934</v>
      </c>
      <c r="H44" s="74">
        <f t="shared" si="9"/>
        <v>185.60986315096372</v>
      </c>
      <c r="I44" s="74">
        <f t="shared" si="9"/>
        <v>113.80058928674477</v>
      </c>
      <c r="J44" s="74">
        <f t="shared" si="9"/>
        <v>138.99361172887575</v>
      </c>
      <c r="K44" s="74">
        <f t="shared" si="9"/>
        <v>115.20429105332387</v>
      </c>
      <c r="L44" s="74">
        <f t="shared" si="9"/>
        <v>86.449867904989915</v>
      </c>
    </row>
    <row r="45" spans="1:12" x14ac:dyDescent="0.25">
      <c r="A45" s="124"/>
      <c r="B45" s="62"/>
      <c r="C45" s="140"/>
      <c r="D45" s="74"/>
      <c r="E45" s="74">
        <f t="shared" ref="E45:L49" si="10">E29*100/79000826.7</f>
        <v>64.818251232300071</v>
      </c>
      <c r="F45" s="74">
        <f t="shared" si="10"/>
        <v>88.847483321335929</v>
      </c>
      <c r="G45" s="74">
        <f t="shared" si="10"/>
        <v>98.14190757829121</v>
      </c>
      <c r="H45" s="74">
        <f t="shared" si="10"/>
        <v>80.451277513023783</v>
      </c>
      <c r="I45" s="74">
        <f t="shared" si="10"/>
        <v>94.154668290325631</v>
      </c>
      <c r="J45" s="74">
        <f t="shared" si="10"/>
        <v>97.750823063222455</v>
      </c>
      <c r="K45" s="74">
        <f t="shared" si="10"/>
        <v>106.58250785874371</v>
      </c>
      <c r="L45" s="74">
        <f t="shared" si="10"/>
        <v>115.863251246205</v>
      </c>
    </row>
    <row r="46" spans="1:12" x14ac:dyDescent="0.25">
      <c r="A46" s="124"/>
      <c r="B46" s="62"/>
      <c r="C46" s="141"/>
      <c r="D46" s="74"/>
      <c r="E46" s="74">
        <f t="shared" si="10"/>
        <v>37.147892689077388</v>
      </c>
      <c r="F46" s="74">
        <f t="shared" si="10"/>
        <v>85.758533367347667</v>
      </c>
      <c r="G46" s="74">
        <f t="shared" si="10"/>
        <v>87.057912174987408</v>
      </c>
      <c r="H46" s="74">
        <f t="shared" si="10"/>
        <v>76.995708610730262</v>
      </c>
      <c r="I46" s="74">
        <f t="shared" si="10"/>
        <v>79.518831574454893</v>
      </c>
      <c r="J46" s="74">
        <f t="shared" si="10"/>
        <v>88.610159222549001</v>
      </c>
      <c r="K46" s="74">
        <f t="shared" si="10"/>
        <v>93.454543971246821</v>
      </c>
      <c r="L46" s="74">
        <f t="shared" si="10"/>
        <v>85.637521975450412</v>
      </c>
    </row>
    <row r="47" spans="1:12" x14ac:dyDescent="0.25">
      <c r="A47" s="124"/>
      <c r="B47" s="62"/>
      <c r="C47" s="139" t="s">
        <v>5</v>
      </c>
      <c r="D47" s="74"/>
      <c r="E47" s="74">
        <f t="shared" si="10"/>
        <v>-4.4117610151540356</v>
      </c>
      <c r="F47" s="74">
        <f t="shared" si="10"/>
        <v>71.487249798615068</v>
      </c>
      <c r="G47" s="74">
        <f t="shared" si="10"/>
        <v>113.30824000858209</v>
      </c>
      <c r="H47" s="74">
        <f t="shared" si="10"/>
        <v>130.39496753266255</v>
      </c>
      <c r="I47" s="74">
        <f t="shared" si="10"/>
        <v>122.78641930464761</v>
      </c>
      <c r="J47" s="74">
        <f t="shared" si="10"/>
        <v>119.00245890211679</v>
      </c>
      <c r="K47" s="74">
        <f t="shared" si="10"/>
        <v>105.67925655137479</v>
      </c>
      <c r="L47" s="74">
        <f t="shared" si="10"/>
        <v>108.92375930795164</v>
      </c>
    </row>
    <row r="48" spans="1:12" x14ac:dyDescent="0.25">
      <c r="A48" s="124"/>
      <c r="B48" s="62"/>
      <c r="C48" s="140"/>
      <c r="D48" s="74"/>
      <c r="E48" s="74">
        <f t="shared" si="10"/>
        <v>39.878340065522373</v>
      </c>
      <c r="F48" s="74">
        <f t="shared" si="10"/>
        <v>91.914863880785191</v>
      </c>
      <c r="G48" s="74">
        <f t="shared" si="10"/>
        <v>113.99184804480026</v>
      </c>
      <c r="H48" s="74">
        <f t="shared" si="10"/>
        <v>105.45033742792467</v>
      </c>
      <c r="I48" s="74">
        <f t="shared" si="10"/>
        <v>79.813420896771447</v>
      </c>
      <c r="J48" s="74">
        <f t="shared" si="10"/>
        <v>95.458209079728533</v>
      </c>
      <c r="K48" s="74">
        <f t="shared" si="10"/>
        <v>123.61164611205265</v>
      </c>
      <c r="L48" s="74">
        <f t="shared" si="10"/>
        <v>89.908383611889477</v>
      </c>
    </row>
    <row r="49" spans="1:12" x14ac:dyDescent="0.25">
      <c r="A49" s="124"/>
      <c r="B49" s="62"/>
      <c r="C49" s="141"/>
      <c r="D49" s="74"/>
      <c r="E49" s="74">
        <f t="shared" si="10"/>
        <v>39.621664270508191</v>
      </c>
      <c r="F49" s="74">
        <f t="shared" si="10"/>
        <v>-5.4262807784010194</v>
      </c>
      <c r="G49" s="74">
        <f t="shared" si="10"/>
        <v>105.4784181467306</v>
      </c>
      <c r="H49" s="74">
        <f t="shared" si="10"/>
        <v>104.79596452881169</v>
      </c>
      <c r="I49" s="74">
        <f t="shared" si="10"/>
        <v>99.917970005242992</v>
      </c>
      <c r="J49" s="74">
        <f t="shared" si="10"/>
        <v>126.6845152216616</v>
      </c>
      <c r="K49" s="74">
        <f t="shared" si="10"/>
        <v>97.930233843995964</v>
      </c>
      <c r="L49" s="74">
        <f t="shared" si="10"/>
        <v>87.529947741673439</v>
      </c>
    </row>
    <row r="50" spans="1:12" x14ac:dyDescent="0.25">
      <c r="A50" s="5"/>
      <c r="B50" s="62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B51" s="62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B52" s="62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 t="s">
        <v>10</v>
      </c>
      <c r="B53" s="62"/>
      <c r="C53" s="3"/>
      <c r="D53" s="125" t="s">
        <v>4</v>
      </c>
      <c r="E53" s="126"/>
      <c r="F53" s="126"/>
      <c r="G53" s="126"/>
      <c r="H53" s="126"/>
      <c r="I53" s="126"/>
      <c r="J53" s="126"/>
      <c r="K53" s="126"/>
      <c r="L53" s="127"/>
    </row>
    <row r="54" spans="1:12" ht="15.75" thickBot="1" x14ac:dyDescent="0.3">
      <c r="B54" s="62"/>
      <c r="C54" s="72"/>
      <c r="D54" s="59">
        <v>40</v>
      </c>
      <c r="E54" s="73">
        <f>D54/2</f>
        <v>20</v>
      </c>
      <c r="F54" s="73">
        <f t="shared" ref="F54:L54" si="11">E54/2</f>
        <v>10</v>
      </c>
      <c r="G54" s="73">
        <f t="shared" si="11"/>
        <v>5</v>
      </c>
      <c r="H54" s="92">
        <f t="shared" si="11"/>
        <v>2.5</v>
      </c>
      <c r="I54" s="92">
        <f t="shared" si="11"/>
        <v>1.25</v>
      </c>
      <c r="J54" s="92">
        <f t="shared" si="11"/>
        <v>0.625</v>
      </c>
      <c r="K54" s="92">
        <f t="shared" si="11"/>
        <v>0.3125</v>
      </c>
      <c r="L54" s="92">
        <f t="shared" si="11"/>
        <v>0.15625</v>
      </c>
    </row>
    <row r="55" spans="1:12" x14ac:dyDescent="0.25">
      <c r="A55" s="124" t="s">
        <v>51</v>
      </c>
      <c r="B55" s="131" t="s">
        <v>25</v>
      </c>
      <c r="C55" s="41" t="s">
        <v>8</v>
      </c>
      <c r="D55" s="76"/>
      <c r="E55" s="76">
        <f>AVERAGE(E38:E40)</f>
        <v>8.5100588426868846</v>
      </c>
      <c r="F55" s="76">
        <f t="shared" ref="F55:L55" si="12">AVERAGE(F38:F40)</f>
        <v>13.563888620872509</v>
      </c>
      <c r="G55" s="76">
        <f t="shared" si="12"/>
        <v>22.026081901347151</v>
      </c>
      <c r="H55" s="76">
        <f t="shared" si="12"/>
        <v>61.562417154827521</v>
      </c>
      <c r="I55" s="76">
        <f t="shared" si="12"/>
        <v>76.58039371167456</v>
      </c>
      <c r="J55" s="76">
        <f t="shared" si="12"/>
        <v>107.64902946684732</v>
      </c>
      <c r="K55" s="76">
        <f t="shared" si="12"/>
        <v>97.755730335216228</v>
      </c>
      <c r="L55" s="76">
        <f t="shared" si="12"/>
        <v>89.370576040066041</v>
      </c>
    </row>
    <row r="56" spans="1:12" x14ac:dyDescent="0.25">
      <c r="A56" s="124"/>
      <c r="B56" s="131"/>
      <c r="C56" s="45" t="s">
        <v>3</v>
      </c>
      <c r="D56" s="74"/>
      <c r="E56" s="74">
        <f t="shared" ref="E56:L56" si="13">STDEV(E38:E40)</f>
        <v>1.641873446941188</v>
      </c>
      <c r="F56" s="74">
        <f t="shared" si="13"/>
        <v>2.1072273538533755</v>
      </c>
      <c r="G56" s="74">
        <f t="shared" si="13"/>
        <v>6.7398805353694557</v>
      </c>
      <c r="H56" s="74">
        <f t="shared" si="13"/>
        <v>43.877865901675399</v>
      </c>
      <c r="I56" s="74">
        <f t="shared" si="13"/>
        <v>6.6169200973287179</v>
      </c>
      <c r="J56" s="74">
        <f t="shared" si="13"/>
        <v>23.512076551502027</v>
      </c>
      <c r="K56" s="74">
        <f t="shared" si="13"/>
        <v>12.127392392453176</v>
      </c>
      <c r="L56" s="74">
        <f t="shared" si="13"/>
        <v>6.1624371244302809</v>
      </c>
    </row>
    <row r="57" spans="1:12" ht="15.75" thickBot="1" x14ac:dyDescent="0.3">
      <c r="A57" s="124"/>
      <c r="B57" s="131"/>
      <c r="C57" s="48" t="s">
        <v>11</v>
      </c>
      <c r="D57" s="77"/>
      <c r="E57" s="77">
        <v>3</v>
      </c>
      <c r="F57" s="77">
        <v>3</v>
      </c>
      <c r="G57" s="77">
        <v>3</v>
      </c>
      <c r="H57" s="77">
        <v>3</v>
      </c>
      <c r="I57" s="77">
        <v>3</v>
      </c>
      <c r="J57" s="77">
        <v>3</v>
      </c>
      <c r="K57" s="77">
        <v>3</v>
      </c>
      <c r="L57" s="77">
        <v>3</v>
      </c>
    </row>
    <row r="58" spans="1:12" x14ac:dyDescent="0.25">
      <c r="A58" s="124"/>
      <c r="B58" s="139" t="s">
        <v>45</v>
      </c>
      <c r="C58" s="41" t="s">
        <v>8</v>
      </c>
      <c r="D58" s="76"/>
      <c r="E58" s="76">
        <f t="shared" ref="E58:L58" si="14">AVERAGE(E41:E43)</f>
        <v>103.56799253724107</v>
      </c>
      <c r="F58" s="76">
        <f t="shared" si="14"/>
        <v>126.74736923793627</v>
      </c>
      <c r="G58" s="76">
        <f t="shared" si="14"/>
        <v>98.897937751119045</v>
      </c>
      <c r="H58" s="76">
        <f t="shared" si="14"/>
        <v>102.2041286932083</v>
      </c>
      <c r="I58" s="76">
        <f t="shared" si="14"/>
        <v>85.37896810422059</v>
      </c>
      <c r="J58" s="76">
        <f t="shared" si="14"/>
        <v>120.62565091357176</v>
      </c>
      <c r="K58" s="76">
        <f t="shared" si="14"/>
        <v>110.44287087209744</v>
      </c>
      <c r="L58" s="76">
        <f t="shared" si="14"/>
        <v>93.236460705350353</v>
      </c>
    </row>
    <row r="59" spans="1:12" x14ac:dyDescent="0.25">
      <c r="A59" s="124"/>
      <c r="B59" s="140"/>
      <c r="C59" s="45" t="s">
        <v>3</v>
      </c>
      <c r="D59" s="74"/>
      <c r="E59" s="74">
        <f t="shared" ref="E59:L59" si="15">STDEV(E41:E43)</f>
        <v>0.37942917912175023</v>
      </c>
      <c r="F59" s="74">
        <f t="shared" si="15"/>
        <v>20.244284311538845</v>
      </c>
      <c r="G59" s="74">
        <f t="shared" si="15"/>
        <v>5.9781207486285286</v>
      </c>
      <c r="H59" s="74">
        <f t="shared" si="15"/>
        <v>17.495785501419604</v>
      </c>
      <c r="I59" s="74">
        <f t="shared" si="15"/>
        <v>6.527077589881574</v>
      </c>
      <c r="J59" s="74">
        <f t="shared" si="15"/>
        <v>26.025127563190285</v>
      </c>
      <c r="K59" s="74">
        <f t="shared" si="15"/>
        <v>13.705968858507489</v>
      </c>
      <c r="L59" s="74">
        <f t="shared" si="15"/>
        <v>4.6092669298255338</v>
      </c>
    </row>
    <row r="60" spans="1:12" ht="15.75" thickBot="1" x14ac:dyDescent="0.3">
      <c r="A60" s="124"/>
      <c r="B60" s="141"/>
      <c r="C60" s="48" t="s">
        <v>11</v>
      </c>
      <c r="D60" s="77"/>
      <c r="E60" s="77">
        <v>3</v>
      </c>
      <c r="F60" s="77">
        <v>3</v>
      </c>
      <c r="G60" s="77">
        <v>3</v>
      </c>
      <c r="H60" s="77">
        <v>3</v>
      </c>
      <c r="I60" s="77">
        <v>3</v>
      </c>
      <c r="J60" s="77">
        <v>3</v>
      </c>
      <c r="K60" s="77">
        <v>3</v>
      </c>
      <c r="L60" s="77">
        <v>3</v>
      </c>
    </row>
    <row r="61" spans="1:12" x14ac:dyDescent="0.25">
      <c r="A61" s="124"/>
      <c r="B61" s="139" t="s">
        <v>0</v>
      </c>
      <c r="C61" s="41" t="s">
        <v>8</v>
      </c>
      <c r="D61" s="76"/>
      <c r="E61" s="76">
        <f t="shared" ref="E61:L61" si="16">AVERAGE(E44:E46)</f>
        <v>47.293467532789748</v>
      </c>
      <c r="F61" s="76">
        <f t="shared" si="16"/>
        <v>96.525424916007026</v>
      </c>
      <c r="G61" s="76">
        <f t="shared" si="16"/>
        <v>94.862792525688846</v>
      </c>
      <c r="H61" s="76">
        <f t="shared" si="16"/>
        <v>114.35228309157259</v>
      </c>
      <c r="I61" s="76">
        <f t="shared" si="16"/>
        <v>95.824696383841754</v>
      </c>
      <c r="J61" s="76">
        <f t="shared" si="16"/>
        <v>108.45153133821573</v>
      </c>
      <c r="K61" s="76">
        <f t="shared" si="16"/>
        <v>105.08044762777148</v>
      </c>
      <c r="L61" s="76">
        <f t="shared" si="16"/>
        <v>95.983547042215108</v>
      </c>
    </row>
    <row r="62" spans="1:12" x14ac:dyDescent="0.25">
      <c r="A62" s="124"/>
      <c r="B62" s="140"/>
      <c r="C62" s="45" t="s">
        <v>3</v>
      </c>
      <c r="D62" s="74"/>
      <c r="E62" s="74">
        <f t="shared" ref="E62:L62" si="17">STDEV(E44:E46)</f>
        <v>15.239807347231782</v>
      </c>
      <c r="F62" s="74">
        <f t="shared" si="17"/>
        <v>16.048186976058645</v>
      </c>
      <c r="G62" s="74">
        <f t="shared" si="17"/>
        <v>6.7879048442964613</v>
      </c>
      <c r="H62" s="74">
        <f t="shared" si="17"/>
        <v>61.735057107368299</v>
      </c>
      <c r="I62" s="74">
        <f t="shared" si="17"/>
        <v>17.201786922755648</v>
      </c>
      <c r="J62" s="74">
        <f t="shared" si="17"/>
        <v>26.842167196487736</v>
      </c>
      <c r="K62" s="74">
        <f t="shared" si="17"/>
        <v>10.952397602200218</v>
      </c>
      <c r="L62" s="74">
        <f t="shared" si="17"/>
        <v>17.221119473074616</v>
      </c>
    </row>
    <row r="63" spans="1:12" ht="15.75" thickBot="1" x14ac:dyDescent="0.3">
      <c r="A63" s="124"/>
      <c r="B63" s="141"/>
      <c r="C63" s="48" t="s">
        <v>11</v>
      </c>
      <c r="D63" s="77"/>
      <c r="E63" s="77">
        <v>9</v>
      </c>
      <c r="F63" s="77">
        <v>9</v>
      </c>
      <c r="G63" s="77">
        <v>9</v>
      </c>
      <c r="H63" s="77">
        <v>9</v>
      </c>
      <c r="I63" s="77">
        <v>9</v>
      </c>
      <c r="J63" s="77">
        <v>9</v>
      </c>
      <c r="K63" s="77">
        <v>9</v>
      </c>
      <c r="L63" s="77">
        <v>9</v>
      </c>
    </row>
    <row r="64" spans="1:12" x14ac:dyDescent="0.25">
      <c r="A64" s="124"/>
      <c r="B64" s="139" t="s">
        <v>5</v>
      </c>
      <c r="C64" s="41" t="s">
        <v>8</v>
      </c>
      <c r="D64" s="76"/>
      <c r="E64" s="76">
        <f t="shared" ref="E64:K64" si="18">AVERAGE(E47:E49)</f>
        <v>25.029414440292175</v>
      </c>
      <c r="F64" s="76">
        <f t="shared" si="18"/>
        <v>52.658610966999753</v>
      </c>
      <c r="G64" s="76">
        <f t="shared" si="18"/>
        <v>110.92616873337097</v>
      </c>
      <c r="H64" s="76">
        <f t="shared" si="18"/>
        <v>113.54708982979963</v>
      </c>
      <c r="I64" s="76">
        <f t="shared" si="18"/>
        <v>100.83927006888734</v>
      </c>
      <c r="J64" s="76">
        <f t="shared" si="18"/>
        <v>113.71506106783563</v>
      </c>
      <c r="K64" s="76">
        <f t="shared" si="18"/>
        <v>109.07371216914113</v>
      </c>
      <c r="L64" s="76">
        <f>AVERAGE(L47:L49)</f>
        <v>95.454030220504862</v>
      </c>
    </row>
    <row r="65" spans="1:12" x14ac:dyDescent="0.25">
      <c r="A65" s="124"/>
      <c r="B65" s="140"/>
      <c r="C65" s="45" t="s">
        <v>3</v>
      </c>
      <c r="D65" s="74"/>
      <c r="E65" s="74">
        <f t="shared" ref="E65:L65" si="19">STDEV(E47:E49)</f>
        <v>25.497128853357452</v>
      </c>
      <c r="F65" s="74">
        <f t="shared" si="19"/>
        <v>51.32945393318257</v>
      </c>
      <c r="G65" s="74">
        <f t="shared" si="19"/>
        <v>4.7302557888000081</v>
      </c>
      <c r="H65" s="74">
        <f t="shared" si="19"/>
        <v>14.594358097934348</v>
      </c>
      <c r="I65" s="74">
        <f t="shared" si="19"/>
        <v>21.501307946175878</v>
      </c>
      <c r="J65" s="74">
        <f t="shared" si="19"/>
        <v>16.270770747291181</v>
      </c>
      <c r="K65" s="74">
        <f t="shared" si="19"/>
        <v>13.172907071949314</v>
      </c>
      <c r="L65" s="74">
        <f t="shared" si="19"/>
        <v>11.725589135053733</v>
      </c>
    </row>
    <row r="66" spans="1:12" ht="15.75" thickBot="1" x14ac:dyDescent="0.3">
      <c r="A66" s="124"/>
      <c r="B66" s="141"/>
      <c r="C66" s="48" t="s">
        <v>11</v>
      </c>
      <c r="D66" s="77"/>
      <c r="E66" s="77">
        <v>3</v>
      </c>
      <c r="F66" s="77">
        <v>3</v>
      </c>
      <c r="G66" s="77">
        <v>3</v>
      </c>
      <c r="H66" s="77">
        <v>3</v>
      </c>
      <c r="I66" s="77">
        <v>3</v>
      </c>
      <c r="J66" s="77">
        <v>3</v>
      </c>
      <c r="K66" s="77">
        <v>3</v>
      </c>
      <c r="L66" s="77">
        <v>3</v>
      </c>
    </row>
  </sheetData>
  <mergeCells count="24">
    <mergeCell ref="C41:C43"/>
    <mergeCell ref="C44:C46"/>
    <mergeCell ref="C47:C49"/>
    <mergeCell ref="D3:L3"/>
    <mergeCell ref="C5:C7"/>
    <mergeCell ref="C8:C10"/>
    <mergeCell ref="C11:C13"/>
    <mergeCell ref="C14:C16"/>
    <mergeCell ref="A5:A15"/>
    <mergeCell ref="A22:A33"/>
    <mergeCell ref="A38:A49"/>
    <mergeCell ref="A55:A66"/>
    <mergeCell ref="D20:L20"/>
    <mergeCell ref="D53:L53"/>
    <mergeCell ref="B55:B57"/>
    <mergeCell ref="B58:B60"/>
    <mergeCell ref="C22:C24"/>
    <mergeCell ref="C25:C27"/>
    <mergeCell ref="C28:C30"/>
    <mergeCell ref="C31:C33"/>
    <mergeCell ref="D36:L36"/>
    <mergeCell ref="C38:C40"/>
    <mergeCell ref="B61:B63"/>
    <mergeCell ref="B64:B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activeCell="E72" sqref="E72"/>
    </sheetView>
  </sheetViews>
  <sheetFormatPr defaultColWidth="11.42578125" defaultRowHeight="15" x14ac:dyDescent="0.25"/>
  <cols>
    <col min="1" max="16384" width="11.42578125" style="2"/>
  </cols>
  <sheetData>
    <row r="1" spans="1:10" ht="15" customHeight="1" x14ac:dyDescent="0.25">
      <c r="A1" s="124" t="s">
        <v>51</v>
      </c>
      <c r="B1" s="124"/>
      <c r="C1" s="124"/>
      <c r="D1" s="124"/>
      <c r="E1" s="124"/>
      <c r="F1" s="124"/>
      <c r="G1" s="124"/>
      <c r="H1" s="124"/>
      <c r="I1" s="124"/>
    </row>
    <row r="2" spans="1:10" x14ac:dyDescent="0.25">
      <c r="A2" s="5"/>
    </row>
    <row r="3" spans="1:10" x14ac:dyDescent="0.25">
      <c r="A3" s="5"/>
    </row>
    <row r="4" spans="1:10" x14ac:dyDescent="0.25">
      <c r="A4" s="5"/>
    </row>
    <row r="5" spans="1:10" x14ac:dyDescent="0.25">
      <c r="A5" s="5"/>
      <c r="D5" s="51" t="s">
        <v>25</v>
      </c>
      <c r="E5" s="51"/>
      <c r="F5" s="51"/>
      <c r="J5" s="93"/>
    </row>
    <row r="6" spans="1:10" x14ac:dyDescent="0.25">
      <c r="A6" s="5"/>
      <c r="D6" s="51" t="s">
        <v>37</v>
      </c>
      <c r="E6" s="51" t="s">
        <v>38</v>
      </c>
      <c r="F6" s="51" t="s">
        <v>39</v>
      </c>
      <c r="J6" s="93"/>
    </row>
    <row r="7" spans="1:10" x14ac:dyDescent="0.25">
      <c r="A7" s="5"/>
      <c r="B7" s="142" t="s">
        <v>4</v>
      </c>
      <c r="C7" s="51">
        <v>40</v>
      </c>
      <c r="D7" s="51"/>
      <c r="E7" s="51"/>
      <c r="F7" s="51"/>
      <c r="J7" s="93"/>
    </row>
    <row r="8" spans="1:10" x14ac:dyDescent="0.25">
      <c r="A8" s="5"/>
      <c r="B8" s="142"/>
      <c r="C8" s="51">
        <v>20</v>
      </c>
      <c r="D8" s="51">
        <v>8.5100588426868846</v>
      </c>
      <c r="E8" s="51">
        <v>1.641873446941188</v>
      </c>
      <c r="F8" s="51">
        <v>3</v>
      </c>
      <c r="J8" s="93"/>
    </row>
    <row r="9" spans="1:10" x14ac:dyDescent="0.25">
      <c r="A9" s="5"/>
      <c r="B9" s="142"/>
      <c r="C9" s="51">
        <v>10</v>
      </c>
      <c r="D9" s="51">
        <v>13.563888620872509</v>
      </c>
      <c r="E9" s="51">
        <v>2.1072273538533755</v>
      </c>
      <c r="F9" s="51">
        <v>3</v>
      </c>
      <c r="J9" s="93"/>
    </row>
    <row r="10" spans="1:10" x14ac:dyDescent="0.25">
      <c r="A10" s="5"/>
      <c r="B10" s="142"/>
      <c r="C10" s="51">
        <v>5</v>
      </c>
      <c r="D10" s="51">
        <v>22.026081901347151</v>
      </c>
      <c r="E10" s="51">
        <v>6.7398805353694557</v>
      </c>
      <c r="F10" s="51">
        <v>3</v>
      </c>
    </row>
    <row r="11" spans="1:10" x14ac:dyDescent="0.25">
      <c r="A11" s="5"/>
      <c r="B11" s="142"/>
      <c r="C11" s="94">
        <v>2.5</v>
      </c>
      <c r="D11" s="51">
        <v>61.562417154827521</v>
      </c>
      <c r="E11" s="51">
        <v>43.877865901675399</v>
      </c>
      <c r="F11" s="51">
        <v>3</v>
      </c>
    </row>
    <row r="12" spans="1:10" x14ac:dyDescent="0.25">
      <c r="A12" s="5"/>
      <c r="B12" s="142"/>
      <c r="C12" s="94">
        <v>1.25</v>
      </c>
      <c r="D12" s="51">
        <v>76.58039371167456</v>
      </c>
      <c r="E12" s="51">
        <v>6.6169200973287179</v>
      </c>
      <c r="F12" s="51">
        <v>3</v>
      </c>
    </row>
    <row r="13" spans="1:10" x14ac:dyDescent="0.25">
      <c r="B13" s="142"/>
      <c r="C13" s="94">
        <v>0.625</v>
      </c>
      <c r="D13" s="51">
        <v>107.64902946684732</v>
      </c>
      <c r="E13" s="51">
        <v>23.512076551502027</v>
      </c>
      <c r="F13" s="51">
        <v>3</v>
      </c>
    </row>
    <row r="14" spans="1:10" x14ac:dyDescent="0.25">
      <c r="B14" s="142"/>
      <c r="C14" s="94">
        <v>0.3125</v>
      </c>
      <c r="D14" s="51">
        <v>97.755730335216228</v>
      </c>
      <c r="E14" s="51">
        <v>12.127392392453176</v>
      </c>
      <c r="F14" s="51">
        <v>3</v>
      </c>
    </row>
    <row r="15" spans="1:10" x14ac:dyDescent="0.25">
      <c r="B15" s="142"/>
      <c r="C15" s="94">
        <v>0.15625</v>
      </c>
      <c r="D15" s="51">
        <v>89.370576040066041</v>
      </c>
      <c r="E15" s="51">
        <v>6.1624371244302809</v>
      </c>
      <c r="F15" s="51">
        <v>3</v>
      </c>
    </row>
    <row r="18" spans="3:24" x14ac:dyDescent="0.25">
      <c r="C18" s="52"/>
      <c r="D18" s="2" t="s">
        <v>45</v>
      </c>
      <c r="E18" s="52"/>
      <c r="F18" s="52"/>
      <c r="G18" s="2" t="s">
        <v>45</v>
      </c>
      <c r="H18" s="7"/>
      <c r="I18" s="7"/>
      <c r="J18" s="2" t="s">
        <v>45</v>
      </c>
      <c r="K18" s="53"/>
      <c r="L18" s="53"/>
      <c r="M18" s="2" t="s">
        <v>45</v>
      </c>
      <c r="N18" s="51"/>
      <c r="O18" s="51"/>
      <c r="P18" s="2" t="s">
        <v>45</v>
      </c>
      <c r="Q18" s="54"/>
      <c r="R18" s="54"/>
    </row>
    <row r="19" spans="3:24" x14ac:dyDescent="0.25">
      <c r="C19" s="52"/>
      <c r="D19" s="52" t="s">
        <v>28</v>
      </c>
      <c r="E19" s="52" t="s">
        <v>29</v>
      </c>
      <c r="F19" s="52" t="s">
        <v>30</v>
      </c>
      <c r="G19" s="7" t="s">
        <v>31</v>
      </c>
      <c r="H19" s="7" t="s">
        <v>32</v>
      </c>
      <c r="I19" s="7" t="s">
        <v>33</v>
      </c>
      <c r="J19" s="53" t="s">
        <v>34</v>
      </c>
      <c r="K19" s="53" t="s">
        <v>35</v>
      </c>
      <c r="L19" s="53" t="s">
        <v>36</v>
      </c>
      <c r="M19" s="51" t="s">
        <v>37</v>
      </c>
      <c r="N19" s="51" t="s">
        <v>38</v>
      </c>
      <c r="O19" s="51" t="s">
        <v>39</v>
      </c>
      <c r="P19" s="54" t="s">
        <v>40</v>
      </c>
      <c r="Q19" s="54" t="s">
        <v>41</v>
      </c>
      <c r="R19" s="54" t="s">
        <v>42</v>
      </c>
    </row>
    <row r="20" spans="3:24" x14ac:dyDescent="0.25">
      <c r="C20" s="52">
        <v>40</v>
      </c>
      <c r="D20" s="52">
        <v>41.32450616137163</v>
      </c>
      <c r="E20" s="52">
        <v>11.222561559988128</v>
      </c>
      <c r="F20" s="52">
        <v>3</v>
      </c>
      <c r="G20" s="7">
        <v>45.869460381649951</v>
      </c>
      <c r="H20" s="7">
        <v>4.7195703773952546</v>
      </c>
      <c r="I20" s="7">
        <v>3</v>
      </c>
      <c r="J20" s="53">
        <v>34.234057461738693</v>
      </c>
      <c r="K20" s="53">
        <v>12.482115830023572</v>
      </c>
      <c r="L20" s="53">
        <v>3</v>
      </c>
      <c r="M20" s="51"/>
      <c r="N20" s="51"/>
      <c r="O20" s="51"/>
      <c r="P20" s="54">
        <v>40.476008001586763</v>
      </c>
      <c r="Q20" s="54">
        <v>10.089354346000651</v>
      </c>
      <c r="R20" s="54">
        <v>9</v>
      </c>
    </row>
    <row r="21" spans="3:24" x14ac:dyDescent="0.25">
      <c r="C21" s="52">
        <v>20</v>
      </c>
      <c r="D21" s="52">
        <v>43.611003027964422</v>
      </c>
      <c r="E21" s="52">
        <v>14.31160861174247</v>
      </c>
      <c r="F21" s="52">
        <v>3</v>
      </c>
      <c r="G21" s="7">
        <v>53.146691372700474</v>
      </c>
      <c r="H21" s="7">
        <v>8.3273909502743333</v>
      </c>
      <c r="I21" s="7">
        <v>3</v>
      </c>
      <c r="J21" s="53">
        <v>39.302443547002532</v>
      </c>
      <c r="K21" s="53">
        <v>2.9118523715349238</v>
      </c>
      <c r="L21" s="53">
        <v>3</v>
      </c>
      <c r="M21" s="51">
        <v>103.56799253724107</v>
      </c>
      <c r="N21" s="51">
        <v>0.37942917912175023</v>
      </c>
      <c r="O21" s="51">
        <v>3</v>
      </c>
      <c r="P21" s="54">
        <v>59.925514968307056</v>
      </c>
      <c r="Q21" s="54">
        <v>27.816336695532041</v>
      </c>
      <c r="R21" s="54">
        <v>12</v>
      </c>
    </row>
    <row r="22" spans="3:24" x14ac:dyDescent="0.25">
      <c r="C22" s="52">
        <v>10</v>
      </c>
      <c r="D22" s="52">
        <v>79.624700836068044</v>
      </c>
      <c r="E22" s="52">
        <v>5.0719560787609614</v>
      </c>
      <c r="F22" s="52">
        <v>3</v>
      </c>
      <c r="G22" s="7">
        <v>58.072384107738138</v>
      </c>
      <c r="H22" s="7">
        <v>1.0680202312769644</v>
      </c>
      <c r="I22" s="7">
        <v>3</v>
      </c>
      <c r="J22" s="53">
        <v>47.97509380437068</v>
      </c>
      <c r="K22" s="53">
        <v>3.2633342100418683</v>
      </c>
      <c r="L22" s="53">
        <v>3</v>
      </c>
      <c r="M22" s="51">
        <v>126.74736923793627</v>
      </c>
      <c r="N22" s="51">
        <v>20.244284311538845</v>
      </c>
      <c r="O22" s="51">
        <v>3</v>
      </c>
      <c r="P22" s="54">
        <v>78.127505846351809</v>
      </c>
      <c r="Q22" s="54">
        <v>32.966657932398803</v>
      </c>
      <c r="R22" s="54">
        <v>12</v>
      </c>
    </row>
    <row r="23" spans="3:24" x14ac:dyDescent="0.25">
      <c r="C23" s="52">
        <v>5</v>
      </c>
      <c r="D23" s="52">
        <v>72.81547467159163</v>
      </c>
      <c r="E23" s="52">
        <v>1.3988567677012682</v>
      </c>
      <c r="F23" s="52">
        <v>3</v>
      </c>
      <c r="G23" s="7">
        <v>86.275100260764475</v>
      </c>
      <c r="H23" s="7">
        <v>6.4087211478459301</v>
      </c>
      <c r="I23" s="7">
        <v>3</v>
      </c>
      <c r="J23" s="53">
        <v>61.839086550456095</v>
      </c>
      <c r="K23" s="53">
        <v>2.086163546491453</v>
      </c>
      <c r="L23" s="53">
        <v>3</v>
      </c>
      <c r="M23" s="51">
        <v>98.897937751119045</v>
      </c>
      <c r="N23" s="51">
        <v>5.9781207486285286</v>
      </c>
      <c r="O23" s="51">
        <v>3</v>
      </c>
      <c r="P23" s="54">
        <v>79.974548755481052</v>
      </c>
      <c r="Q23" s="54">
        <v>15.100229739459357</v>
      </c>
      <c r="R23" s="54">
        <v>12</v>
      </c>
    </row>
    <row r="24" spans="3:24" x14ac:dyDescent="0.25">
      <c r="C24" s="95">
        <v>2.5</v>
      </c>
      <c r="D24" s="52">
        <v>82.200910501378885</v>
      </c>
      <c r="E24" s="52">
        <v>3.1859173464581172</v>
      </c>
      <c r="F24" s="52">
        <v>3</v>
      </c>
      <c r="G24" s="7">
        <v>88.273631880815643</v>
      </c>
      <c r="H24" s="7">
        <v>8.2185730746992576</v>
      </c>
      <c r="I24" s="7">
        <v>3</v>
      </c>
      <c r="J24" s="53">
        <v>98.571164781625853</v>
      </c>
      <c r="K24" s="53">
        <v>3.0413893572812154</v>
      </c>
      <c r="L24" s="53">
        <v>3</v>
      </c>
      <c r="M24" s="51">
        <v>102.2041286932083</v>
      </c>
      <c r="N24" s="51">
        <v>17.495785501419604</v>
      </c>
      <c r="O24" s="51">
        <v>3</v>
      </c>
      <c r="P24" s="54">
        <v>92.830697921421759</v>
      </c>
      <c r="Q24" s="54">
        <v>11.888912725622895</v>
      </c>
      <c r="R24" s="54">
        <v>12</v>
      </c>
    </row>
    <row r="25" spans="3:24" x14ac:dyDescent="0.25">
      <c r="C25" s="95">
        <v>1.25</v>
      </c>
      <c r="D25" s="52">
        <v>94.405397283869164</v>
      </c>
      <c r="E25" s="52">
        <v>5.2874400848029772</v>
      </c>
      <c r="F25" s="52">
        <v>3</v>
      </c>
      <c r="G25" s="7">
        <v>109.69735615420613</v>
      </c>
      <c r="H25" s="7">
        <v>4.5819164650346291</v>
      </c>
      <c r="I25" s="7">
        <v>3</v>
      </c>
      <c r="J25" s="53">
        <v>119.14619813469388</v>
      </c>
      <c r="K25" s="53">
        <v>10.451754896986294</v>
      </c>
      <c r="L25" s="53">
        <v>3</v>
      </c>
      <c r="M25" s="51">
        <v>85.37896810422059</v>
      </c>
      <c r="N25" s="51">
        <v>6.527077589881574</v>
      </c>
      <c r="O25" s="51">
        <v>3</v>
      </c>
      <c r="P25" s="54">
        <v>102.17221632272664</v>
      </c>
      <c r="Q25" s="54">
        <v>14.944804944886023</v>
      </c>
      <c r="R25" s="54">
        <v>12</v>
      </c>
    </row>
    <row r="26" spans="3:24" x14ac:dyDescent="0.25">
      <c r="C26" s="95">
        <v>0.625</v>
      </c>
      <c r="D26" s="52">
        <v>96.323851410872763</v>
      </c>
      <c r="E26" s="52">
        <v>4.9692448581201534</v>
      </c>
      <c r="F26" s="52">
        <v>3</v>
      </c>
      <c r="G26" s="7">
        <v>98.948557260948533</v>
      </c>
      <c r="H26" s="7">
        <v>5.6129343220934436</v>
      </c>
      <c r="I26" s="7">
        <v>3</v>
      </c>
      <c r="J26" s="53">
        <v>122.75059247055476</v>
      </c>
      <c r="K26" s="53">
        <v>26.458410214222091</v>
      </c>
      <c r="L26" s="53">
        <v>3</v>
      </c>
      <c r="M26" s="51">
        <v>120.62565091357176</v>
      </c>
      <c r="N26" s="51">
        <v>26.025127563190285</v>
      </c>
      <c r="O26" s="51">
        <v>3</v>
      </c>
      <c r="P26" s="54">
        <v>109.68368940541649</v>
      </c>
      <c r="Q26" s="54">
        <v>20.510114103882881</v>
      </c>
      <c r="R26" s="54">
        <v>12</v>
      </c>
    </row>
    <row r="27" spans="3:24" x14ac:dyDescent="0.25">
      <c r="C27" s="95">
        <v>0.3125</v>
      </c>
      <c r="D27" s="52">
        <v>99.412915459225133</v>
      </c>
      <c r="E27" s="52">
        <v>6.3226765055456831</v>
      </c>
      <c r="F27" s="52">
        <v>3</v>
      </c>
      <c r="G27" s="7">
        <v>113.87247836578918</v>
      </c>
      <c r="H27" s="7">
        <v>3.8230425185687098</v>
      </c>
      <c r="I27" s="7">
        <v>3</v>
      </c>
      <c r="J27" s="53">
        <v>107.28007959132525</v>
      </c>
      <c r="K27" s="53">
        <v>5.4087845088478845</v>
      </c>
      <c r="L27" s="53">
        <v>3</v>
      </c>
      <c r="M27" s="51">
        <v>110.44287087209744</v>
      </c>
      <c r="N27" s="51">
        <v>13.705968858507489</v>
      </c>
      <c r="O27" s="51">
        <v>3</v>
      </c>
      <c r="P27" s="54">
        <v>107.77179528363257</v>
      </c>
      <c r="Q27" s="54">
        <v>8.9879537799832789</v>
      </c>
      <c r="R27" s="54">
        <v>12</v>
      </c>
    </row>
    <row r="28" spans="3:24" x14ac:dyDescent="0.25">
      <c r="C28" s="95">
        <v>0.15625</v>
      </c>
      <c r="D28" s="52">
        <v>97.691748210685489</v>
      </c>
      <c r="E28" s="52">
        <v>3.7340981702136919</v>
      </c>
      <c r="F28" s="52">
        <v>3</v>
      </c>
      <c r="G28" s="7">
        <v>98.529863299012831</v>
      </c>
      <c r="H28" s="7">
        <v>9.5000924091864043</v>
      </c>
      <c r="I28" s="7">
        <v>3</v>
      </c>
      <c r="J28" s="53">
        <v>109.91900471687423</v>
      </c>
      <c r="K28" s="53">
        <v>7.3945822670311854</v>
      </c>
      <c r="L28" s="53">
        <v>3</v>
      </c>
      <c r="M28" s="51">
        <v>93.236460705350353</v>
      </c>
      <c r="N28" s="51">
        <v>4.6092669298255338</v>
      </c>
      <c r="O28" s="51">
        <v>3</v>
      </c>
      <c r="P28" s="54">
        <v>99.860907854479933</v>
      </c>
      <c r="Q28" s="54">
        <v>8.5930529864191776</v>
      </c>
      <c r="R28" s="54">
        <v>12</v>
      </c>
      <c r="X28" s="55" t="s">
        <v>25</v>
      </c>
    </row>
    <row r="32" spans="3:24" x14ac:dyDescent="0.25">
      <c r="D32" s="52" t="s">
        <v>0</v>
      </c>
      <c r="E32" s="52"/>
      <c r="F32" s="52"/>
      <c r="G32" s="7" t="s">
        <v>0</v>
      </c>
      <c r="H32" s="7"/>
      <c r="I32" s="7"/>
      <c r="J32" s="53" t="s">
        <v>0</v>
      </c>
      <c r="K32" s="53"/>
      <c r="L32" s="53"/>
      <c r="M32" s="51" t="s">
        <v>0</v>
      </c>
      <c r="N32" s="51"/>
      <c r="O32" s="51"/>
      <c r="P32" s="54" t="s">
        <v>0</v>
      </c>
      <c r="Q32" s="54"/>
      <c r="R32" s="54"/>
    </row>
    <row r="33" spans="3:18" x14ac:dyDescent="0.25">
      <c r="C33" s="52"/>
      <c r="D33" s="52" t="s">
        <v>28</v>
      </c>
      <c r="E33" s="52" t="s">
        <v>29</v>
      </c>
      <c r="F33" s="52" t="s">
        <v>30</v>
      </c>
      <c r="G33" s="7" t="s">
        <v>31</v>
      </c>
      <c r="H33" s="7" t="s">
        <v>32</v>
      </c>
      <c r="I33" s="7" t="s">
        <v>33</v>
      </c>
      <c r="J33" s="53" t="s">
        <v>34</v>
      </c>
      <c r="K33" s="53" t="s">
        <v>35</v>
      </c>
      <c r="L33" s="53" t="s">
        <v>36</v>
      </c>
      <c r="M33" s="51" t="s">
        <v>37</v>
      </c>
      <c r="N33" s="51" t="s">
        <v>38</v>
      </c>
      <c r="O33" s="51" t="s">
        <v>39</v>
      </c>
      <c r="P33" s="54" t="s">
        <v>40</v>
      </c>
      <c r="Q33" s="54" t="s">
        <v>41</v>
      </c>
      <c r="R33" s="54" t="s">
        <v>42</v>
      </c>
    </row>
    <row r="34" spans="3:18" x14ac:dyDescent="0.25">
      <c r="C34" s="52">
        <v>40</v>
      </c>
      <c r="D34" s="52">
        <v>11.859256767926054</v>
      </c>
      <c r="E34" s="52">
        <v>5.8122236453167115</v>
      </c>
      <c r="F34" s="52">
        <v>3</v>
      </c>
      <c r="G34" s="7">
        <v>50.503116980271045</v>
      </c>
      <c r="H34" s="7">
        <v>6.7912011903648359</v>
      </c>
      <c r="I34" s="7">
        <v>3</v>
      </c>
      <c r="J34" s="53">
        <v>4.4720810433577149</v>
      </c>
      <c r="K34" s="53">
        <v>0.8625429197267066</v>
      </c>
      <c r="L34" s="53">
        <v>3</v>
      </c>
      <c r="M34" s="51"/>
      <c r="N34" s="51"/>
      <c r="O34" s="51"/>
      <c r="P34" s="54">
        <v>20.050336437466445</v>
      </c>
      <c r="Q34" s="54">
        <v>21.874834976295944</v>
      </c>
      <c r="R34" s="54">
        <v>9</v>
      </c>
    </row>
    <row r="35" spans="3:18" x14ac:dyDescent="0.25">
      <c r="C35" s="52">
        <v>20</v>
      </c>
      <c r="D35" s="52">
        <v>55.385995790117335</v>
      </c>
      <c r="E35" s="52">
        <v>4.0513107613873691</v>
      </c>
      <c r="F35" s="52">
        <v>3</v>
      </c>
      <c r="G35" s="7">
        <v>49.404181439652596</v>
      </c>
      <c r="H35" s="7">
        <v>5.6556048172148383</v>
      </c>
      <c r="I35" s="7">
        <v>3</v>
      </c>
      <c r="J35" s="53">
        <v>40.705437770837072</v>
      </c>
      <c r="K35" s="53">
        <v>4.2238905214714642</v>
      </c>
      <c r="L35" s="53">
        <v>3</v>
      </c>
      <c r="M35" s="51">
        <v>47.293467532789748</v>
      </c>
      <c r="N35" s="51">
        <v>15.239807347231782</v>
      </c>
      <c r="O35" s="51">
        <v>3</v>
      </c>
      <c r="P35" s="54">
        <v>52.119467907173508</v>
      </c>
      <c r="Q35" s="54">
        <v>11.588048718308281</v>
      </c>
      <c r="R35" s="54">
        <v>12</v>
      </c>
    </row>
    <row r="36" spans="3:18" x14ac:dyDescent="0.25">
      <c r="C36" s="52">
        <v>10</v>
      </c>
      <c r="D36" s="52">
        <v>69.807953043637156</v>
      </c>
      <c r="E36" s="52">
        <v>3.8551128435280755</v>
      </c>
      <c r="F36" s="52">
        <v>3</v>
      </c>
      <c r="G36" s="7">
        <v>56.126510909046736</v>
      </c>
      <c r="H36" s="7">
        <v>1.7071975375554986</v>
      </c>
      <c r="I36" s="7">
        <v>3</v>
      </c>
      <c r="J36" s="53">
        <v>44.349765417483241</v>
      </c>
      <c r="K36" s="53">
        <v>4.3157488119128278</v>
      </c>
      <c r="L36" s="53">
        <v>3</v>
      </c>
      <c r="M36" s="51">
        <v>96.525424916007026</v>
      </c>
      <c r="N36" s="51">
        <v>16.048186976058645</v>
      </c>
      <c r="O36" s="51">
        <v>3</v>
      </c>
      <c r="P36" s="54">
        <v>51.085268811050142</v>
      </c>
      <c r="Q36" s="54">
        <v>11.438952765746642</v>
      </c>
      <c r="R36" s="54">
        <v>12</v>
      </c>
    </row>
    <row r="37" spans="3:18" x14ac:dyDescent="0.25">
      <c r="C37" s="52">
        <v>5</v>
      </c>
      <c r="D37" s="52">
        <v>74.496711126402943</v>
      </c>
      <c r="E37" s="52">
        <v>3.2866031061731418</v>
      </c>
      <c r="F37" s="52">
        <v>3</v>
      </c>
      <c r="G37" s="7">
        <v>58.60214829617275</v>
      </c>
      <c r="H37" s="7">
        <v>7.3365157731555239</v>
      </c>
      <c r="I37" s="7">
        <v>3</v>
      </c>
      <c r="J37" s="53">
        <v>68.102497717439064</v>
      </c>
      <c r="K37" s="53">
        <v>3.0181420183707877</v>
      </c>
      <c r="L37" s="53">
        <v>3</v>
      </c>
      <c r="M37" s="51">
        <v>94.862792525688846</v>
      </c>
      <c r="N37" s="51">
        <v>6.7879048442964613</v>
      </c>
      <c r="O37" s="51">
        <v>3</v>
      </c>
      <c r="P37" s="54">
        <v>60.360407142004433</v>
      </c>
      <c r="Q37" s="54">
        <v>8.1490071606171561</v>
      </c>
      <c r="R37" s="54">
        <v>12</v>
      </c>
    </row>
    <row r="38" spans="3:18" x14ac:dyDescent="0.25">
      <c r="C38" s="95">
        <v>2.5</v>
      </c>
      <c r="D38" s="52">
        <v>79.130308619753919</v>
      </c>
      <c r="E38" s="52">
        <v>1.9178575408327125</v>
      </c>
      <c r="F38" s="52">
        <v>3</v>
      </c>
      <c r="G38" s="7">
        <v>81.425295295406258</v>
      </c>
      <c r="H38" s="7">
        <v>11.812350484371718</v>
      </c>
      <c r="I38" s="7">
        <v>3</v>
      </c>
      <c r="J38" s="53">
        <v>97.371066102622493</v>
      </c>
      <c r="K38" s="53">
        <v>4.1904525610320293</v>
      </c>
      <c r="L38" s="53">
        <v>3</v>
      </c>
      <c r="M38" s="51">
        <v>114.35228309157259</v>
      </c>
      <c r="N38" s="51">
        <v>61.735057107368299</v>
      </c>
      <c r="O38" s="51">
        <v>3</v>
      </c>
      <c r="P38" s="54">
        <v>77.378001005334795</v>
      </c>
      <c r="Q38" s="54">
        <v>10.687604925708195</v>
      </c>
      <c r="R38" s="54">
        <v>12</v>
      </c>
    </row>
    <row r="39" spans="3:18" x14ac:dyDescent="0.25">
      <c r="C39" s="52">
        <v>1.25</v>
      </c>
      <c r="D39" s="52">
        <v>94.320039955231877</v>
      </c>
      <c r="E39" s="52">
        <v>5.8750586388348811</v>
      </c>
      <c r="F39" s="52">
        <v>3</v>
      </c>
      <c r="G39" s="7">
        <v>98.931370682293121</v>
      </c>
      <c r="H39" s="7">
        <v>7.0198578465345793</v>
      </c>
      <c r="I39" s="7">
        <v>3</v>
      </c>
      <c r="J39" s="53">
        <v>107.11461170496466</v>
      </c>
      <c r="K39" s="53">
        <v>2.9428844403508214</v>
      </c>
      <c r="L39" s="53">
        <v>3</v>
      </c>
      <c r="M39" s="51">
        <v>95.824696383841754</v>
      </c>
      <c r="N39" s="51">
        <v>17.201786922755648</v>
      </c>
      <c r="O39" s="51">
        <v>3</v>
      </c>
      <c r="P39" s="54">
        <v>90.109806702746894</v>
      </c>
      <c r="Q39" s="54">
        <v>7.3895318273356727</v>
      </c>
      <c r="R39" s="54">
        <v>12</v>
      </c>
    </row>
    <row r="40" spans="3:18" x14ac:dyDescent="0.25">
      <c r="C40" s="52">
        <v>0.625</v>
      </c>
      <c r="D40" s="52">
        <v>96.614989294493668</v>
      </c>
      <c r="E40" s="52">
        <v>4.741967939924586</v>
      </c>
      <c r="F40" s="52">
        <v>3</v>
      </c>
      <c r="G40" s="7">
        <v>93.660770846173804</v>
      </c>
      <c r="H40" s="7">
        <v>4.6076828460943604</v>
      </c>
      <c r="I40" s="7">
        <v>3</v>
      </c>
      <c r="J40" s="53">
        <v>114.71112845589657</v>
      </c>
      <c r="K40" s="53">
        <v>5.8970198126762714</v>
      </c>
      <c r="L40" s="53">
        <v>3</v>
      </c>
      <c r="M40" s="51">
        <v>108.45153133821573</v>
      </c>
      <c r="N40" s="51">
        <v>26.842167196487736</v>
      </c>
      <c r="O40" s="51">
        <v>3</v>
      </c>
      <c r="P40" s="54">
        <v>91.496066578969206</v>
      </c>
      <c r="Q40" s="54">
        <v>10.818380784200031</v>
      </c>
      <c r="R40" s="54">
        <v>12</v>
      </c>
    </row>
    <row r="41" spans="3:18" x14ac:dyDescent="0.25">
      <c r="C41" s="52">
        <v>0.3125</v>
      </c>
      <c r="D41" s="52">
        <v>95.708328398639409</v>
      </c>
      <c r="E41" s="52">
        <v>0.53965987346689148</v>
      </c>
      <c r="F41" s="52">
        <v>3</v>
      </c>
      <c r="G41" s="7">
        <v>116.3939646137632</v>
      </c>
      <c r="H41" s="7">
        <v>3.7683893261776191</v>
      </c>
      <c r="I41" s="7">
        <v>3</v>
      </c>
      <c r="J41" s="53">
        <v>114.11357640103945</v>
      </c>
      <c r="K41" s="53">
        <v>14.160767124166078</v>
      </c>
      <c r="L41" s="53">
        <v>3</v>
      </c>
      <c r="M41" s="51">
        <v>105.08044762777148</v>
      </c>
      <c r="N41" s="51">
        <v>10.952397602200218</v>
      </c>
      <c r="O41" s="51">
        <v>3</v>
      </c>
      <c r="P41" s="54">
        <v>97.864760824032629</v>
      </c>
      <c r="Q41" s="54">
        <v>12.257077052309912</v>
      </c>
      <c r="R41" s="54">
        <v>12</v>
      </c>
    </row>
    <row r="42" spans="3:18" x14ac:dyDescent="0.25">
      <c r="C42" s="52">
        <v>0.15625</v>
      </c>
      <c r="D42" s="52">
        <v>102.17781034397522</v>
      </c>
      <c r="E42" s="52">
        <v>3.9397013126695302</v>
      </c>
      <c r="F42" s="52">
        <v>3</v>
      </c>
      <c r="G42" s="7">
        <v>107.42570965675465</v>
      </c>
      <c r="H42" s="7">
        <v>9.7112096463378421</v>
      </c>
      <c r="I42" s="7">
        <v>3</v>
      </c>
      <c r="J42" s="53">
        <v>101.6080860472988</v>
      </c>
      <c r="K42" s="53">
        <v>8.0897132677188264</v>
      </c>
      <c r="L42" s="53">
        <v>3</v>
      </c>
      <c r="M42" s="51">
        <v>95.983547042215108</v>
      </c>
      <c r="N42" s="51">
        <v>17.221119473074616</v>
      </c>
      <c r="O42" s="51">
        <v>3</v>
      </c>
      <c r="P42" s="54">
        <v>93.363481814408601</v>
      </c>
      <c r="Q42" s="54">
        <v>7.1785651194785691</v>
      </c>
      <c r="R42" s="54">
        <v>12</v>
      </c>
    </row>
    <row r="45" spans="3:18" x14ac:dyDescent="0.25">
      <c r="C45" s="52"/>
      <c r="D45" s="52" t="s">
        <v>5</v>
      </c>
      <c r="E45" s="52"/>
      <c r="F45" s="52"/>
      <c r="G45" s="7" t="s">
        <v>5</v>
      </c>
      <c r="H45" s="7"/>
      <c r="I45" s="7"/>
      <c r="J45" s="53" t="s">
        <v>5</v>
      </c>
      <c r="K45" s="53"/>
      <c r="L45" s="53"/>
      <c r="M45" s="51" t="s">
        <v>5</v>
      </c>
      <c r="N45" s="51"/>
      <c r="O45" s="51"/>
      <c r="P45" s="54" t="s">
        <v>5</v>
      </c>
      <c r="Q45" s="54"/>
      <c r="R45" s="54"/>
    </row>
    <row r="46" spans="3:18" x14ac:dyDescent="0.25">
      <c r="C46" s="52"/>
      <c r="D46" s="52" t="s">
        <v>28</v>
      </c>
      <c r="E46" s="52" t="s">
        <v>29</v>
      </c>
      <c r="F46" s="52" t="s">
        <v>30</v>
      </c>
      <c r="G46" s="7" t="s">
        <v>31</v>
      </c>
      <c r="H46" s="7" t="s">
        <v>32</v>
      </c>
      <c r="I46" s="7" t="s">
        <v>33</v>
      </c>
      <c r="J46" s="53" t="s">
        <v>34</v>
      </c>
      <c r="K46" s="53" t="s">
        <v>35</v>
      </c>
      <c r="L46" s="53" t="s">
        <v>36</v>
      </c>
      <c r="M46" s="51" t="s">
        <v>37</v>
      </c>
      <c r="N46" s="51" t="s">
        <v>38</v>
      </c>
      <c r="O46" s="51" t="s">
        <v>39</v>
      </c>
      <c r="P46" s="54" t="s">
        <v>40</v>
      </c>
      <c r="Q46" s="54" t="s">
        <v>41</v>
      </c>
      <c r="R46" s="54" t="s">
        <v>42</v>
      </c>
    </row>
    <row r="47" spans="3:18" x14ac:dyDescent="0.25">
      <c r="C47" s="52">
        <v>40</v>
      </c>
      <c r="D47" s="52">
        <v>53.744757751658881</v>
      </c>
      <c r="E47" s="52">
        <v>4.685474320277506</v>
      </c>
      <c r="F47" s="52">
        <v>3</v>
      </c>
      <c r="G47" s="7">
        <v>85.07683495475969</v>
      </c>
      <c r="H47" s="7">
        <v>3.0331693998466154</v>
      </c>
      <c r="I47" s="7">
        <v>3</v>
      </c>
      <c r="J47" s="53">
        <v>24.879677863430775</v>
      </c>
      <c r="K47" s="53">
        <v>13.374180493352341</v>
      </c>
      <c r="L47" s="53">
        <v>3</v>
      </c>
      <c r="M47" s="51"/>
      <c r="N47" s="51"/>
      <c r="O47" s="51"/>
      <c r="P47" s="54">
        <v>33.696186692181278</v>
      </c>
      <c r="Q47" s="54">
        <v>18.173794333491184</v>
      </c>
      <c r="R47" s="54">
        <v>6</v>
      </c>
    </row>
    <row r="48" spans="3:18" x14ac:dyDescent="0.25">
      <c r="C48" s="52">
        <v>20</v>
      </c>
      <c r="D48" s="52">
        <v>68.773423695659801</v>
      </c>
      <c r="E48" s="52">
        <v>0.85856434950237148</v>
      </c>
      <c r="F48" s="52">
        <v>3</v>
      </c>
      <c r="G48" s="7">
        <v>80.097815119387704</v>
      </c>
      <c r="H48" s="7">
        <v>8.5362873751542701</v>
      </c>
      <c r="I48" s="7">
        <v>3</v>
      </c>
      <c r="J48" s="53">
        <v>36.908772422895652</v>
      </c>
      <c r="K48" s="53">
        <v>6.1751431826259395</v>
      </c>
      <c r="L48" s="53">
        <v>3</v>
      </c>
      <c r="M48" s="51">
        <v>25.029414440292175</v>
      </c>
      <c r="N48" s="51">
        <v>25.497128853357452</v>
      </c>
      <c r="O48" s="51">
        <v>3</v>
      </c>
      <c r="P48" s="54">
        <v>48.17789080231271</v>
      </c>
      <c r="Q48" s="54">
        <v>20.97489908294493</v>
      </c>
      <c r="R48" s="54">
        <v>9</v>
      </c>
    </row>
    <row r="49" spans="3:18" x14ac:dyDescent="0.25">
      <c r="C49" s="52">
        <v>10</v>
      </c>
      <c r="D49" s="52">
        <v>84.995067026444204</v>
      </c>
      <c r="E49" s="52">
        <v>4.5152689085247335</v>
      </c>
      <c r="F49" s="52">
        <v>3</v>
      </c>
      <c r="G49" s="7">
        <v>73.658615839599307</v>
      </c>
      <c r="H49" s="7">
        <v>9.4384782032245198</v>
      </c>
      <c r="I49" s="7">
        <v>3</v>
      </c>
      <c r="J49" s="53">
        <v>52.716680114020583</v>
      </c>
      <c r="K49" s="53">
        <v>10.26057254538523</v>
      </c>
      <c r="L49" s="53">
        <v>3</v>
      </c>
      <c r="M49" s="51">
        <v>52.658610966999753</v>
      </c>
      <c r="N49" s="51">
        <v>51.32945393318257</v>
      </c>
      <c r="O49" s="51">
        <v>3</v>
      </c>
      <c r="P49" s="54">
        <v>68.836329034509788</v>
      </c>
      <c r="Q49" s="54">
        <v>19.048230348528371</v>
      </c>
      <c r="R49" s="54">
        <v>9</v>
      </c>
    </row>
    <row r="50" spans="3:18" x14ac:dyDescent="0.25">
      <c r="C50" s="52">
        <v>5</v>
      </c>
      <c r="D50" s="52">
        <v>89.51704344644395</v>
      </c>
      <c r="E50" s="52">
        <v>8.0936121101058323</v>
      </c>
      <c r="F50" s="52">
        <v>3</v>
      </c>
      <c r="G50" s="7">
        <v>94.907393089992539</v>
      </c>
      <c r="H50" s="7">
        <v>10.998802239684085</v>
      </c>
      <c r="I50" s="7">
        <v>3</v>
      </c>
      <c r="J50" s="53">
        <v>48.774161743154529</v>
      </c>
      <c r="K50" s="53">
        <v>12.74158168757879</v>
      </c>
      <c r="L50" s="53">
        <v>3</v>
      </c>
      <c r="M50" s="51">
        <v>110.92616873337097</v>
      </c>
      <c r="N50" s="51">
        <v>4.7302557888000081</v>
      </c>
      <c r="O50" s="51">
        <v>3</v>
      </c>
      <c r="P50" s="54">
        <v>90.080480107198269</v>
      </c>
      <c r="Q50" s="54">
        <v>24.272134376739665</v>
      </c>
      <c r="R50" s="54">
        <v>9</v>
      </c>
    </row>
    <row r="51" spans="3:18" x14ac:dyDescent="0.25">
      <c r="C51" s="95">
        <v>2.5</v>
      </c>
      <c r="D51" s="52">
        <v>78.380768210979127</v>
      </c>
      <c r="E51" s="52">
        <v>7.2263379229458389</v>
      </c>
      <c r="F51" s="52">
        <v>3</v>
      </c>
      <c r="G51" s="7">
        <v>107.97360973772898</v>
      </c>
      <c r="H51" s="7">
        <v>12.435858584781533</v>
      </c>
      <c r="I51" s="7">
        <v>3</v>
      </c>
      <c r="J51" s="53">
        <v>76.518814857712428</v>
      </c>
      <c r="K51" s="53">
        <v>6.2319360742247349</v>
      </c>
      <c r="L51" s="53">
        <v>3</v>
      </c>
      <c r="M51" s="51">
        <v>113.54708982979963</v>
      </c>
      <c r="N51" s="51">
        <v>14.594358097934348</v>
      </c>
      <c r="O51" s="51">
        <v>3</v>
      </c>
      <c r="P51" s="54">
        <v>96.563496719178374</v>
      </c>
      <c r="Q51" s="54">
        <v>6.1206908017685251</v>
      </c>
      <c r="R51" s="54">
        <v>9</v>
      </c>
    </row>
    <row r="52" spans="3:18" x14ac:dyDescent="0.25">
      <c r="C52" s="95">
        <v>1.25</v>
      </c>
      <c r="D52" s="52">
        <v>89.91023243691761</v>
      </c>
      <c r="E52" s="52">
        <v>5.5172141587497556</v>
      </c>
      <c r="F52" s="52">
        <v>3</v>
      </c>
      <c r="G52" s="7">
        <v>112.95287366534937</v>
      </c>
      <c r="H52" s="7">
        <v>12.71527748560786</v>
      </c>
      <c r="I52" s="7">
        <v>3</v>
      </c>
      <c r="J52" s="53">
        <v>85.135178802147934</v>
      </c>
      <c r="K52" s="53">
        <v>2.502417043268407</v>
      </c>
      <c r="L52" s="53">
        <v>3</v>
      </c>
      <c r="M52" s="51">
        <v>100.83927006888734</v>
      </c>
      <c r="N52" s="51">
        <v>21.501307946175878</v>
      </c>
      <c r="O52" s="51">
        <v>3</v>
      </c>
      <c r="P52" s="54">
        <v>98.687670907663104</v>
      </c>
      <c r="Q52" s="54">
        <v>4.6390773239145018</v>
      </c>
      <c r="R52" s="54">
        <v>9</v>
      </c>
    </row>
    <row r="53" spans="3:18" x14ac:dyDescent="0.25">
      <c r="C53" s="95">
        <v>0.625</v>
      </c>
      <c r="D53" s="52">
        <v>88.442528892184342</v>
      </c>
      <c r="E53" s="52">
        <v>10.051410880179672</v>
      </c>
      <c r="F53" s="52">
        <v>3</v>
      </c>
      <c r="G53" s="7">
        <v>117.80922406953562</v>
      </c>
      <c r="H53" s="7">
        <v>7.8627352619372743</v>
      </c>
      <c r="I53" s="7">
        <v>3</v>
      </c>
      <c r="J53" s="53">
        <v>98.466825372676738</v>
      </c>
      <c r="K53" s="53">
        <v>7.3907143183727193</v>
      </c>
      <c r="L53" s="53">
        <v>3</v>
      </c>
      <c r="M53" s="51">
        <v>113.71506106783563</v>
      </c>
      <c r="N53" s="51">
        <v>16.270770747291181</v>
      </c>
      <c r="O53" s="51">
        <v>3</v>
      </c>
      <c r="P53" s="54">
        <v>107.29410537431988</v>
      </c>
      <c r="Q53" s="54">
        <v>9.612874882460563</v>
      </c>
      <c r="R53" s="54">
        <v>9</v>
      </c>
    </row>
    <row r="54" spans="3:18" x14ac:dyDescent="0.25">
      <c r="C54" s="95">
        <v>0.3125</v>
      </c>
      <c r="D54" s="52">
        <v>88.717464672727871</v>
      </c>
      <c r="E54" s="52">
        <v>4.9694322463845282</v>
      </c>
      <c r="F54" s="52">
        <v>3</v>
      </c>
      <c r="G54" s="7">
        <v>111.42609408683911</v>
      </c>
      <c r="H54" s="7">
        <v>10.777393544773728</v>
      </c>
      <c r="I54" s="7">
        <v>3</v>
      </c>
      <c r="J54" s="53">
        <v>100.09785770065503</v>
      </c>
      <c r="K54" s="53">
        <v>7.1666439048248849</v>
      </c>
      <c r="L54" s="53">
        <v>3</v>
      </c>
      <c r="M54" s="51">
        <v>109.07371216914113</v>
      </c>
      <c r="N54" s="51">
        <v>13.172907071949314</v>
      </c>
      <c r="O54" s="51">
        <v>3</v>
      </c>
      <c r="P54" s="54">
        <v>106.25259397019568</v>
      </c>
      <c r="Q54" s="54">
        <v>8.3232457806444717</v>
      </c>
      <c r="R54" s="54">
        <v>9</v>
      </c>
    </row>
    <row r="55" spans="3:18" x14ac:dyDescent="0.25">
      <c r="C55" s="95">
        <v>0.15625</v>
      </c>
      <c r="D55" s="52">
        <v>90.433059425029342</v>
      </c>
      <c r="E55" s="52">
        <v>7.349896232158371</v>
      </c>
      <c r="F55" s="52">
        <v>3</v>
      </c>
      <c r="G55" s="7">
        <v>124.18062018914883</v>
      </c>
      <c r="H55" s="7">
        <v>9.4302617645413189</v>
      </c>
      <c r="I55" s="7">
        <v>3</v>
      </c>
      <c r="J55" s="53">
        <v>100.11668200130764</v>
      </c>
      <c r="K55" s="53">
        <v>6.7898681782368255</v>
      </c>
      <c r="L55" s="53">
        <v>3</v>
      </c>
      <c r="M55" s="51">
        <v>95.454030220504862</v>
      </c>
      <c r="N55" s="51">
        <v>11.725589135053733</v>
      </c>
      <c r="O55" s="51">
        <v>3</v>
      </c>
      <c r="P55" s="54">
        <v>101.91019272644212</v>
      </c>
      <c r="Q55" s="54">
        <v>8.2571833975317208</v>
      </c>
      <c r="R55" s="54">
        <v>9</v>
      </c>
    </row>
    <row r="58" spans="3:18" x14ac:dyDescent="0.25">
      <c r="D58" s="52" t="s">
        <v>65</v>
      </c>
      <c r="E58" s="52"/>
      <c r="F58" s="52"/>
      <c r="G58" s="7" t="s">
        <v>65</v>
      </c>
      <c r="H58" s="7"/>
      <c r="I58" s="7"/>
      <c r="J58" s="53" t="s">
        <v>65</v>
      </c>
      <c r="K58" s="53"/>
      <c r="L58" s="53"/>
      <c r="M58" s="54" t="s">
        <v>66</v>
      </c>
      <c r="N58" s="54"/>
      <c r="O58" s="54"/>
    </row>
    <row r="59" spans="3:18" x14ac:dyDescent="0.25">
      <c r="D59" s="52" t="s">
        <v>28</v>
      </c>
      <c r="E59" s="52" t="s">
        <v>29</v>
      </c>
      <c r="F59" s="52" t="s">
        <v>30</v>
      </c>
      <c r="G59" s="7" t="s">
        <v>31</v>
      </c>
      <c r="H59" s="7" t="s">
        <v>32</v>
      </c>
      <c r="I59" s="7" t="s">
        <v>36</v>
      </c>
      <c r="J59" s="53" t="s">
        <v>34</v>
      </c>
      <c r="K59" s="53" t="s">
        <v>35</v>
      </c>
      <c r="L59" s="53" t="s">
        <v>36</v>
      </c>
      <c r="M59" s="54" t="s">
        <v>8</v>
      </c>
      <c r="N59" s="54" t="s">
        <v>3</v>
      </c>
      <c r="O59" s="54" t="s">
        <v>47</v>
      </c>
    </row>
    <row r="60" spans="3:18" x14ac:dyDescent="0.25">
      <c r="C60" s="52">
        <v>40</v>
      </c>
      <c r="D60" s="52">
        <v>64.956563374644844</v>
      </c>
      <c r="E60" s="52">
        <v>4.0755220235110272</v>
      </c>
      <c r="F60" s="52">
        <v>3</v>
      </c>
      <c r="G60" s="7">
        <v>50.083346333424949</v>
      </c>
      <c r="H60" s="7">
        <v>9.4050459499418633</v>
      </c>
      <c r="I60" s="7">
        <v>3</v>
      </c>
      <c r="J60" s="53">
        <v>24.889891870073885</v>
      </c>
      <c r="K60" s="53">
        <v>17.068711562908547</v>
      </c>
      <c r="L60" s="53">
        <v>3</v>
      </c>
      <c r="M60" s="54">
        <v>41.978940473443103</v>
      </c>
      <c r="N60" s="54">
        <v>20.168267976614267</v>
      </c>
      <c r="O60" s="54">
        <v>9</v>
      </c>
    </row>
    <row r="61" spans="3:18" x14ac:dyDescent="0.25">
      <c r="C61" s="52">
        <v>20</v>
      </c>
      <c r="D61" s="52">
        <v>81.985851061431063</v>
      </c>
      <c r="E61" s="52">
        <v>9.217510318554913</v>
      </c>
      <c r="F61" s="52">
        <v>3</v>
      </c>
      <c r="G61" s="7">
        <v>52.577667265738789</v>
      </c>
      <c r="H61" s="7">
        <v>5.89812353149527</v>
      </c>
      <c r="I61" s="7">
        <v>3</v>
      </c>
      <c r="J61" s="53">
        <v>55.490343781652825</v>
      </c>
      <c r="K61" s="53">
        <v>5.2718831962904193</v>
      </c>
      <c r="L61" s="53">
        <v>3</v>
      </c>
      <c r="M61" s="54">
        <v>57.016158632646793</v>
      </c>
      <c r="N61" s="54">
        <v>15.290614297919429</v>
      </c>
      <c r="O61" s="54">
        <v>9</v>
      </c>
    </row>
    <row r="62" spans="3:18" x14ac:dyDescent="0.25">
      <c r="C62" s="52">
        <v>10</v>
      </c>
      <c r="D62" s="52">
        <v>98.41134313254878</v>
      </c>
      <c r="E62" s="52">
        <v>1.9462666238152513</v>
      </c>
      <c r="F62" s="52">
        <v>3</v>
      </c>
      <c r="G62" s="7">
        <v>42.046599247951782</v>
      </c>
      <c r="H62" s="7">
        <v>4.4424863190506629</v>
      </c>
      <c r="I62" s="7">
        <v>3</v>
      </c>
      <c r="J62" s="53">
        <v>59.914632069746084</v>
      </c>
      <c r="K62" s="53">
        <v>3.8726402166172238</v>
      </c>
      <c r="L62" s="53">
        <v>3</v>
      </c>
      <c r="M62" s="54">
        <v>60.111772335073987</v>
      </c>
      <c r="N62" s="54">
        <v>25.137844165163727</v>
      </c>
      <c r="O62" s="54">
        <v>9</v>
      </c>
    </row>
    <row r="63" spans="3:18" x14ac:dyDescent="0.25">
      <c r="C63" s="52">
        <v>5</v>
      </c>
      <c r="D63" s="52">
        <v>102.64091015393164</v>
      </c>
      <c r="E63" s="52">
        <v>5.6366230110756881</v>
      </c>
      <c r="F63" s="52">
        <v>3</v>
      </c>
      <c r="G63" s="7">
        <v>59.819160716264292</v>
      </c>
      <c r="H63" s="7">
        <v>8.5348167650017555</v>
      </c>
      <c r="I63" s="7">
        <v>3</v>
      </c>
      <c r="J63" s="53">
        <v>66.224637563694202</v>
      </c>
      <c r="K63" s="53">
        <v>12.212417754007424</v>
      </c>
      <c r="L63" s="53">
        <v>3</v>
      </c>
      <c r="M63" s="54">
        <v>68.605412530167044</v>
      </c>
      <c r="N63" s="54">
        <v>21.530190416804434</v>
      </c>
      <c r="O63" s="54">
        <v>9</v>
      </c>
    </row>
    <row r="64" spans="3:18" x14ac:dyDescent="0.25">
      <c r="C64" s="95">
        <v>2.5</v>
      </c>
      <c r="D64" s="52">
        <v>80.259399379352033</v>
      </c>
      <c r="E64" s="52">
        <v>3.2045431013871108</v>
      </c>
      <c r="F64" s="52">
        <v>3</v>
      </c>
      <c r="G64" s="7">
        <v>72.245480817269666</v>
      </c>
      <c r="H64" s="7">
        <v>9.2021433050054089</v>
      </c>
      <c r="I64" s="7">
        <v>3</v>
      </c>
      <c r="J64" s="53">
        <v>91.991195281164835</v>
      </c>
      <c r="K64" s="53">
        <v>8.6262419517324656</v>
      </c>
      <c r="L64" s="53">
        <v>3</v>
      </c>
      <c r="M64" s="54">
        <v>73.34882264333595</v>
      </c>
      <c r="N64" s="54">
        <v>10.784667019082223</v>
      </c>
      <c r="O64" s="54">
        <v>9</v>
      </c>
    </row>
    <row r="65" spans="3:15" x14ac:dyDescent="0.25">
      <c r="C65" s="95">
        <v>1.25</v>
      </c>
      <c r="D65" s="52">
        <v>99.397926982433447</v>
      </c>
      <c r="E65" s="52">
        <v>9.9595414059166085</v>
      </c>
      <c r="F65" s="52">
        <v>3</v>
      </c>
      <c r="G65" s="7">
        <v>64.974953465556368</v>
      </c>
      <c r="H65" s="7">
        <v>7.7014890556599491</v>
      </c>
      <c r="I65" s="7">
        <v>3</v>
      </c>
      <c r="J65" s="53">
        <v>115.31955679266527</v>
      </c>
      <c r="K65" s="53">
        <v>5.3763461523736549</v>
      </c>
      <c r="L65" s="53">
        <v>3</v>
      </c>
      <c r="M65" s="54">
        <v>83.907731172196534</v>
      </c>
      <c r="N65" s="54">
        <v>23.312656109405321</v>
      </c>
      <c r="O65" s="54">
        <v>9</v>
      </c>
    </row>
    <row r="66" spans="3:15" x14ac:dyDescent="0.25">
      <c r="C66" s="95">
        <v>0.625</v>
      </c>
      <c r="D66" s="52">
        <v>103.29599922354923</v>
      </c>
      <c r="E66" s="52">
        <v>3.5306595307466284</v>
      </c>
      <c r="F66" s="52">
        <v>3</v>
      </c>
      <c r="G66" s="7">
        <v>60.132943480962943</v>
      </c>
      <c r="H66" s="7">
        <v>5.4048570544887733</v>
      </c>
      <c r="I66" s="7">
        <v>3</v>
      </c>
      <c r="J66" s="53">
        <v>113.01699720122961</v>
      </c>
      <c r="K66" s="53">
        <v>6.4100718346630634</v>
      </c>
      <c r="L66" s="53">
        <v>3</v>
      </c>
      <c r="M66" s="54">
        <v>82.933781971722539</v>
      </c>
      <c r="N66" s="54">
        <v>24.798700660170262</v>
      </c>
      <c r="O66" s="54">
        <v>9</v>
      </c>
    </row>
    <row r="67" spans="3:15" x14ac:dyDescent="0.25">
      <c r="C67" s="95">
        <v>0.3125</v>
      </c>
      <c r="D67" s="52">
        <v>113.12137078665647</v>
      </c>
      <c r="E67" s="52">
        <v>6.9880877977966298</v>
      </c>
      <c r="F67" s="52">
        <v>3</v>
      </c>
      <c r="G67" s="7">
        <v>60.346094857473226</v>
      </c>
      <c r="H67" s="7">
        <v>7.381346298869385</v>
      </c>
      <c r="I67" s="7">
        <v>3</v>
      </c>
      <c r="J67" s="53">
        <v>123.16875242675974</v>
      </c>
      <c r="K67" s="53">
        <v>0.49765654517427366</v>
      </c>
      <c r="L67" s="53">
        <v>3</v>
      </c>
      <c r="M67" s="54">
        <v>88.990865421266847</v>
      </c>
      <c r="N67" s="54">
        <v>29.66478666675377</v>
      </c>
      <c r="O67" s="54">
        <v>9</v>
      </c>
    </row>
    <row r="68" spans="3:15" x14ac:dyDescent="0.25">
      <c r="C68" s="95">
        <v>0.15625</v>
      </c>
      <c r="D68" s="52">
        <v>100.62341976605076</v>
      </c>
      <c r="E68" s="52">
        <v>10.74742758378442</v>
      </c>
      <c r="F68" s="52">
        <v>3</v>
      </c>
      <c r="G68" s="7">
        <v>68.782151798266824</v>
      </c>
      <c r="H68" s="7">
        <v>21.26632647356535</v>
      </c>
      <c r="I68" s="7">
        <v>3</v>
      </c>
      <c r="J68" s="53">
        <v>136.49913618021566</v>
      </c>
      <c r="K68" s="53">
        <v>24.489335553262062</v>
      </c>
      <c r="L68" s="53">
        <v>3</v>
      </c>
      <c r="M68" s="54">
        <v>91.771412323359982</v>
      </c>
      <c r="N68" s="54">
        <v>33.95126312486277</v>
      </c>
      <c r="O68" s="54">
        <v>9</v>
      </c>
    </row>
  </sheetData>
  <mergeCells count="2">
    <mergeCell ref="B7:B15"/>
    <mergeCell ref="A1:I1"/>
  </mergeCells>
  <hyperlinks>
    <hyperlink ref="X28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opLeftCell="A4" zoomScaleNormal="100" workbookViewId="0">
      <selection activeCell="C23" sqref="C23"/>
    </sheetView>
  </sheetViews>
  <sheetFormatPr defaultColWidth="11.42578125" defaultRowHeight="15" x14ac:dyDescent="0.25"/>
  <cols>
    <col min="1" max="16384" width="11.42578125" style="3"/>
  </cols>
  <sheetData>
    <row r="1" spans="1:48" x14ac:dyDescent="0.25">
      <c r="A1" s="124" t="s">
        <v>51</v>
      </c>
      <c r="B1" s="124"/>
      <c r="C1" s="124"/>
      <c r="D1" s="124"/>
      <c r="E1" s="124"/>
      <c r="F1" s="124"/>
      <c r="G1" s="124"/>
      <c r="H1" s="124"/>
      <c r="I1" s="124"/>
    </row>
    <row r="2" spans="1:48" ht="15.75" thickBot="1" x14ac:dyDescent="0.3">
      <c r="A2" s="12"/>
      <c r="B2" s="12"/>
      <c r="C2" s="12"/>
      <c r="D2" s="12"/>
      <c r="E2" s="12"/>
      <c r="F2" s="12"/>
      <c r="G2" s="12"/>
      <c r="H2" s="12"/>
      <c r="I2" s="12"/>
    </row>
    <row r="3" spans="1:48" ht="15.75" thickBot="1" x14ac:dyDescent="0.3">
      <c r="D3" s="149" t="s">
        <v>6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1"/>
      <c r="P3" s="163" t="s">
        <v>7</v>
      </c>
      <c r="Q3" s="164"/>
      <c r="R3" s="164"/>
      <c r="S3" s="164"/>
      <c r="T3" s="164"/>
      <c r="U3" s="164"/>
      <c r="V3" s="164"/>
      <c r="W3" s="164"/>
      <c r="X3" s="165"/>
      <c r="Y3" s="162" t="s">
        <v>12</v>
      </c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1" t="s">
        <v>23</v>
      </c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</row>
    <row r="4" spans="1:48" ht="15.75" thickBot="1" x14ac:dyDescent="0.3">
      <c r="D4" s="153" t="s">
        <v>45</v>
      </c>
      <c r="E4" s="154"/>
      <c r="F4" s="155"/>
      <c r="G4" s="156" t="s">
        <v>0</v>
      </c>
      <c r="H4" s="154"/>
      <c r="I4" s="155"/>
      <c r="J4" s="157" t="s">
        <v>5</v>
      </c>
      <c r="K4" s="158"/>
      <c r="L4" s="159"/>
      <c r="M4" s="157" t="s">
        <v>65</v>
      </c>
      <c r="N4" s="158"/>
      <c r="O4" s="160"/>
      <c r="P4" s="152" t="s">
        <v>45</v>
      </c>
      <c r="Q4" s="152"/>
      <c r="R4" s="152"/>
      <c r="S4" s="152" t="s">
        <v>0</v>
      </c>
      <c r="T4" s="152"/>
      <c r="U4" s="152"/>
      <c r="V4" s="152" t="s">
        <v>65</v>
      </c>
      <c r="W4" s="152"/>
      <c r="X4" s="152"/>
      <c r="Y4" s="166" t="s">
        <v>45</v>
      </c>
      <c r="Z4" s="167"/>
      <c r="AA4" s="168"/>
      <c r="AB4" s="162" t="s">
        <v>0</v>
      </c>
      <c r="AC4" s="162"/>
      <c r="AD4" s="162"/>
      <c r="AE4" s="162" t="s">
        <v>5</v>
      </c>
      <c r="AF4" s="162"/>
      <c r="AG4" s="162"/>
      <c r="AH4" s="162" t="s">
        <v>65</v>
      </c>
      <c r="AI4" s="162"/>
      <c r="AJ4" s="162"/>
      <c r="AK4" s="13" t="s">
        <v>19</v>
      </c>
      <c r="AL4" s="13"/>
      <c r="AM4" s="13"/>
      <c r="AN4" s="13" t="s">
        <v>20</v>
      </c>
      <c r="AO4" s="13"/>
      <c r="AP4" s="13"/>
      <c r="AQ4" s="13" t="s">
        <v>21</v>
      </c>
      <c r="AR4" s="13"/>
      <c r="AS4" s="13"/>
      <c r="AT4" s="13" t="s">
        <v>22</v>
      </c>
      <c r="AU4" s="14"/>
      <c r="AV4" s="14"/>
    </row>
    <row r="5" spans="1:48" x14ac:dyDescent="0.25">
      <c r="B5" s="143" t="s">
        <v>4</v>
      </c>
      <c r="C5" s="15">
        <v>40</v>
      </c>
      <c r="D5" s="16">
        <v>49.855791140465968</v>
      </c>
      <c r="E5" s="17">
        <v>28.61145161712788</v>
      </c>
      <c r="F5" s="18">
        <v>45.506275726521032</v>
      </c>
      <c r="G5" s="19">
        <v>18.268231569022102</v>
      </c>
      <c r="H5" s="20">
        <v>6.9297403234586099</v>
      </c>
      <c r="I5" s="18">
        <v>10.379798411297449</v>
      </c>
      <c r="J5" s="21">
        <v>58.910196247151688</v>
      </c>
      <c r="K5" s="22">
        <v>49.768355086510702</v>
      </c>
      <c r="L5" s="23">
        <v>52.555721921314237</v>
      </c>
      <c r="M5" s="24">
        <v>65.559896300028711</v>
      </c>
      <c r="N5" s="22">
        <v>60.613007279617037</v>
      </c>
      <c r="O5" s="25">
        <v>68.696786544288784</v>
      </c>
      <c r="P5" s="26">
        <v>41.241380592369964</v>
      </c>
      <c r="Q5" s="26">
        <v>50.675487965912502</v>
      </c>
      <c r="R5" s="26">
        <v>45.691512586667393</v>
      </c>
      <c r="S5" s="26">
        <v>42.710906640091558</v>
      </c>
      <c r="T5" s="26">
        <v>53.636656009745337</v>
      </c>
      <c r="U5" s="26">
        <v>55.161788290976233</v>
      </c>
      <c r="V5" s="26">
        <v>60.867308086610556</v>
      </c>
      <c r="W5" s="26">
        <v>45.802453212092715</v>
      </c>
      <c r="X5" s="26">
        <v>43.580277701571596</v>
      </c>
      <c r="Y5" s="27">
        <v>19.841185199298657</v>
      </c>
      <c r="Z5" s="27">
        <v>40.769330510248807</v>
      </c>
      <c r="AA5" s="27">
        <v>42.091656675668609</v>
      </c>
      <c r="AB5" s="27">
        <v>5.4559386735134288</v>
      </c>
      <c r="AC5" s="27">
        <v>4.1143103851655267</v>
      </c>
      <c r="AD5" s="27">
        <v>3.8459940713941885</v>
      </c>
      <c r="AE5" s="27">
        <v>9.4888901001004555</v>
      </c>
      <c r="AF5" s="27">
        <v>33.675727407352596</v>
      </c>
      <c r="AG5" s="27">
        <v>31.474416082839273</v>
      </c>
      <c r="AH5" s="27">
        <v>44.596907294204875</v>
      </c>
      <c r="AI5" s="27">
        <v>15.293428361532316</v>
      </c>
      <c r="AJ5" s="27">
        <v>14.779339954484465</v>
      </c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</row>
    <row r="6" spans="1:48" x14ac:dyDescent="0.25">
      <c r="B6" s="144"/>
      <c r="C6" s="28">
        <f>C5/2</f>
        <v>20</v>
      </c>
      <c r="D6" s="24">
        <v>28.11200979787785</v>
      </c>
      <c r="E6" s="22">
        <v>46.394812611387593</v>
      </c>
      <c r="F6" s="29">
        <v>56.32618667462782</v>
      </c>
      <c r="G6" s="30">
        <v>60.044682166034995</v>
      </c>
      <c r="H6" s="31">
        <v>52.688413789073209</v>
      </c>
      <c r="I6" s="29">
        <v>53.424891415243792</v>
      </c>
      <c r="J6" s="21">
        <v>69.681098215592556</v>
      </c>
      <c r="K6" s="22">
        <v>67.974292406444349</v>
      </c>
      <c r="L6" s="23">
        <v>68.664880464942485</v>
      </c>
      <c r="M6" s="24">
        <v>73.445324801411374</v>
      </c>
      <c r="N6" s="22">
        <v>91.75675550624247</v>
      </c>
      <c r="O6" s="25">
        <v>80.755472876639345</v>
      </c>
      <c r="P6" s="26">
        <v>61.075737092825477</v>
      </c>
      <c r="Q6" s="26">
        <v>53.893125476444432</v>
      </c>
      <c r="R6" s="26">
        <v>44.471211548831512</v>
      </c>
      <c r="S6" s="26">
        <v>54.818507963654312</v>
      </c>
      <c r="T6" s="26">
        <v>49.859243196071887</v>
      </c>
      <c r="U6" s="26">
        <v>43.53479315923159</v>
      </c>
      <c r="V6" s="26">
        <v>57.012838674725543</v>
      </c>
      <c r="W6" s="26">
        <v>54.836106820608677</v>
      </c>
      <c r="X6" s="26">
        <v>45.884056301882133</v>
      </c>
      <c r="Y6" s="27">
        <v>38.469144474629417</v>
      </c>
      <c r="Z6" s="27">
        <v>36.898083738007806</v>
      </c>
      <c r="AA6" s="27">
        <v>42.540102428370375</v>
      </c>
      <c r="AB6" s="27">
        <v>36.439750188509663</v>
      </c>
      <c r="AC6" s="27">
        <v>44.886252075670292</v>
      </c>
      <c r="AD6" s="27">
        <v>40.790311048331269</v>
      </c>
      <c r="AE6" s="27">
        <v>32.985815574187662</v>
      </c>
      <c r="AF6" s="27">
        <v>33.713682172412412</v>
      </c>
      <c r="AG6" s="27">
        <v>44.026819522086882</v>
      </c>
      <c r="AH6" s="27">
        <v>57.407055514236461</v>
      </c>
      <c r="AI6" s="27">
        <v>49.528247860565848</v>
      </c>
      <c r="AJ6" s="27">
        <v>59.535727970156167</v>
      </c>
      <c r="AK6" s="13">
        <v>10.284079168857057</v>
      </c>
      <c r="AL6" s="13">
        <v>8.2282937059164372</v>
      </c>
      <c r="AM6" s="13">
        <v>7.0360277231776278</v>
      </c>
      <c r="AN6" s="14">
        <v>103.20409706845032</v>
      </c>
      <c r="AO6" s="14">
        <v>103.84073075043905</v>
      </c>
      <c r="AP6" s="14">
        <v>103.88093795779301</v>
      </c>
      <c r="AQ6" s="14">
        <v>54.984338762895391</v>
      </c>
      <c r="AR6" s="14">
        <v>81.976404018807074</v>
      </c>
      <c r="AS6" s="14">
        <v>51.986027102558658</v>
      </c>
      <c r="AT6" s="14">
        <v>6.9418084975944936</v>
      </c>
      <c r="AU6" s="14">
        <v>54.945408559132638</v>
      </c>
      <c r="AV6" s="14">
        <v>54.667211808420916</v>
      </c>
    </row>
    <row r="7" spans="1:48" x14ac:dyDescent="0.25">
      <c r="B7" s="144"/>
      <c r="C7" s="28">
        <f t="shared" ref="C7:C13" si="0">C6/2</f>
        <v>10</v>
      </c>
      <c r="D7" s="24">
        <v>79.896578050752808</v>
      </c>
      <c r="E7" s="22">
        <v>74.422274239005191</v>
      </c>
      <c r="F7" s="29">
        <v>84.555250218446119</v>
      </c>
      <c r="G7" s="30">
        <v>67.266222476369464</v>
      </c>
      <c r="H7" s="31">
        <v>74.243719483531322</v>
      </c>
      <c r="I7" s="29">
        <v>67.913917171010681</v>
      </c>
      <c r="J7" s="21">
        <v>82.012810916466933</v>
      </c>
      <c r="K7" s="22">
        <v>90.1898776659921</v>
      </c>
      <c r="L7" s="23">
        <v>82.782512496873579</v>
      </c>
      <c r="M7" s="24">
        <v>100.01764088169739</v>
      </c>
      <c r="N7" s="22">
        <v>98.969373682880416</v>
      </c>
      <c r="O7" s="25">
        <v>96.247014833068519</v>
      </c>
      <c r="P7" s="26">
        <v>59.272039015887877</v>
      </c>
      <c r="Q7" s="26">
        <v>57.720121373344973</v>
      </c>
      <c r="R7" s="26">
        <v>57.224991933981563</v>
      </c>
      <c r="S7" s="26">
        <v>55.051233073255538</v>
      </c>
      <c r="T7" s="26">
        <v>55.233291128772699</v>
      </c>
      <c r="U7" s="26">
        <v>58.095008525111972</v>
      </c>
      <c r="V7" s="26">
        <v>47.172778376966129</v>
      </c>
      <c r="W7" s="26">
        <v>39.649040187870831</v>
      </c>
      <c r="X7" s="26">
        <v>39.317979179018387</v>
      </c>
      <c r="Y7" s="27">
        <v>46.499834522351357</v>
      </c>
      <c r="Z7" s="27">
        <v>45.709881840409899</v>
      </c>
      <c r="AA7" s="27">
        <v>51.715565050350783</v>
      </c>
      <c r="AB7" s="27">
        <v>40.716608610377129</v>
      </c>
      <c r="AC7" s="27">
        <v>43.212394512269988</v>
      </c>
      <c r="AD7" s="27">
        <v>49.12029312980259</v>
      </c>
      <c r="AE7" s="27">
        <v>42.034505290457638</v>
      </c>
      <c r="AF7" s="27">
        <v>53.619557893727283</v>
      </c>
      <c r="AG7" s="27">
        <v>62.495977157876837</v>
      </c>
      <c r="AH7" s="27">
        <v>58.289171401710298</v>
      </c>
      <c r="AI7" s="27">
        <v>57.119627593684029</v>
      </c>
      <c r="AJ7" s="27">
        <v>64.335097213843923</v>
      </c>
      <c r="AK7" s="13">
        <v>14.912190424542779</v>
      </c>
      <c r="AL7" s="13">
        <v>11.142778186425371</v>
      </c>
      <c r="AM7" s="13">
        <v>14.665743966693622</v>
      </c>
      <c r="AN7" s="14">
        <v>150.06196782977563</v>
      </c>
      <c r="AO7" s="14">
        <v>112.79752696032963</v>
      </c>
      <c r="AP7" s="14">
        <v>117.65403912158585</v>
      </c>
      <c r="AQ7" s="14">
        <v>136.33340071256734</v>
      </c>
      <c r="AR7" s="14">
        <v>108.02036460690378</v>
      </c>
      <c r="AS7" s="14">
        <v>104.67242196095543</v>
      </c>
      <c r="AT7" s="14">
        <v>89.20456408566298</v>
      </c>
      <c r="AU7" s="14">
        <v>111.34492937464105</v>
      </c>
      <c r="AV7" s="14">
        <v>5.8422264288896999</v>
      </c>
    </row>
    <row r="8" spans="1:48" x14ac:dyDescent="0.25">
      <c r="B8" s="144"/>
      <c r="C8" s="28">
        <f t="shared" si="0"/>
        <v>5</v>
      </c>
      <c r="D8" s="24">
        <v>73.832220889751255</v>
      </c>
      <c r="E8" s="22">
        <v>73.394056300501049</v>
      </c>
      <c r="F8" s="29">
        <v>71.220146824522601</v>
      </c>
      <c r="G8" s="30">
        <v>78.22793292436522</v>
      </c>
      <c r="H8" s="31">
        <v>72.030893681043537</v>
      </c>
      <c r="I8" s="29">
        <v>73.231306773800085</v>
      </c>
      <c r="J8" s="21">
        <v>93.602101213434594</v>
      </c>
      <c r="K8" s="22">
        <v>94.753991485716753</v>
      </c>
      <c r="L8" s="23">
        <v>80.195037640180487</v>
      </c>
      <c r="M8" s="24">
        <v>102.08060742501908</v>
      </c>
      <c r="N8" s="22">
        <v>97.305363466678941</v>
      </c>
      <c r="O8" s="25">
        <v>108.53675957009686</v>
      </c>
      <c r="P8" s="26">
        <v>90.456163875204638</v>
      </c>
      <c r="Q8" s="26">
        <v>89.472359773164627</v>
      </c>
      <c r="R8" s="26">
        <v>78.896777133924161</v>
      </c>
      <c r="S8" s="26">
        <v>64.989941142834894</v>
      </c>
      <c r="T8" s="26">
        <v>60.227125247486242</v>
      </c>
      <c r="U8" s="26">
        <v>50.589378498197128</v>
      </c>
      <c r="V8" s="26">
        <v>68.913597653419174</v>
      </c>
      <c r="W8" s="26">
        <v>58.560028288112193</v>
      </c>
      <c r="X8" s="26">
        <v>51.983856207261518</v>
      </c>
      <c r="Y8" s="27">
        <v>62.067605760516052</v>
      </c>
      <c r="Z8" s="27">
        <v>59.64807164672456</v>
      </c>
      <c r="AA8" s="27">
        <v>63.801582244127665</v>
      </c>
      <c r="AB8" s="27">
        <v>64.769543160637454</v>
      </c>
      <c r="AC8" s="27">
        <v>70.650871636482535</v>
      </c>
      <c r="AD8" s="27">
        <v>68.887078355197218</v>
      </c>
      <c r="AE8" s="27">
        <v>41.832952400139966</v>
      </c>
      <c r="AF8" s="27">
        <v>41.010327686199254</v>
      </c>
      <c r="AG8" s="27">
        <v>63.479205143124354</v>
      </c>
      <c r="AH8" s="27">
        <v>80.32621745886928</v>
      </c>
      <c r="AI8" s="27">
        <v>59.126616869869196</v>
      </c>
      <c r="AJ8" s="27">
        <v>59.22107836234413</v>
      </c>
      <c r="AK8" s="13">
        <v>28.12529372401335</v>
      </c>
      <c r="AL8" s="13">
        <v>23.211263734134842</v>
      </c>
      <c r="AM8" s="13">
        <v>14.788856527970221</v>
      </c>
      <c r="AN8" s="14">
        <v>93.508750221287912</v>
      </c>
      <c r="AO8" s="14">
        <v>98.033450202731089</v>
      </c>
      <c r="AP8" s="14">
        <v>105.36340019331719</v>
      </c>
      <c r="AQ8" s="14">
        <v>119.44525441947982</v>
      </c>
      <c r="AR8" s="14">
        <v>118.09407891205808</v>
      </c>
      <c r="AS8" s="14">
        <v>106.08074705140302</v>
      </c>
      <c r="AT8" s="14">
        <v>134.5320309288725</v>
      </c>
      <c r="AU8" s="14">
        <v>135.27295601074792</v>
      </c>
      <c r="AV8" s="14">
        <v>126.04571845636852</v>
      </c>
    </row>
    <row r="9" spans="1:48" x14ac:dyDescent="0.25">
      <c r="B9" s="144"/>
      <c r="C9" s="96">
        <f t="shared" si="0"/>
        <v>2.5</v>
      </c>
      <c r="D9" s="24">
        <v>84.807341059893616</v>
      </c>
      <c r="E9" s="22">
        <v>83.14601885233877</v>
      </c>
      <c r="F9" s="29">
        <v>78.649371591904298</v>
      </c>
      <c r="G9" s="30">
        <v>77.735106454375057</v>
      </c>
      <c r="H9" s="31">
        <v>78.338535426037126</v>
      </c>
      <c r="I9" s="29">
        <v>81.317283978849545</v>
      </c>
      <c r="J9" s="21">
        <v>84.912790701463237</v>
      </c>
      <c r="K9" s="22">
        <v>79.611363621256586</v>
      </c>
      <c r="L9" s="23">
        <v>70.618150310217544</v>
      </c>
      <c r="M9" s="24">
        <v>76.603238128181886</v>
      </c>
      <c r="N9" s="22">
        <v>81.594063175340452</v>
      </c>
      <c r="O9" s="25">
        <v>82.580896834533746</v>
      </c>
      <c r="P9" s="26">
        <v>94.944068084749063</v>
      </c>
      <c r="Q9" s="26">
        <v>90.784258800837861</v>
      </c>
      <c r="R9" s="26">
        <v>79.092568756860047</v>
      </c>
      <c r="S9" s="26">
        <v>94.359381071279074</v>
      </c>
      <c r="T9" s="26">
        <v>71.208093367854289</v>
      </c>
      <c r="U9" s="26">
        <v>78.708411447085396</v>
      </c>
      <c r="V9" s="26">
        <v>78.581605606990735</v>
      </c>
      <c r="W9" s="26">
        <v>76.464541231234421</v>
      </c>
      <c r="X9" s="26">
        <v>61.690295613583835</v>
      </c>
      <c r="Y9" s="27">
        <v>102.07863546535431</v>
      </c>
      <c r="Z9" s="27">
        <v>96.664831029964802</v>
      </c>
      <c r="AA9" s="27">
        <v>96.970027849558448</v>
      </c>
      <c r="AB9" s="27">
        <v>93.279450230967214</v>
      </c>
      <c r="AC9" s="27">
        <v>101.65381443447633</v>
      </c>
      <c r="AD9" s="27">
        <v>97.179933642423919</v>
      </c>
      <c r="AE9" s="27">
        <v>80.837274565035841</v>
      </c>
      <c r="AF9" s="27">
        <v>69.374586854563432</v>
      </c>
      <c r="AG9" s="27">
        <v>79.344583153538025</v>
      </c>
      <c r="AH9" s="27">
        <v>100.04935765196372</v>
      </c>
      <c r="AI9" s="27">
        <v>93.032771312952292</v>
      </c>
      <c r="AJ9" s="27">
        <v>82.891456878578467</v>
      </c>
      <c r="AK9" s="13">
        <v>110.80046138455234</v>
      </c>
      <c r="AL9" s="13">
        <v>26.380477014810705</v>
      </c>
      <c r="AM9" s="13">
        <v>47.638147381849301</v>
      </c>
      <c r="AN9" s="14">
        <v>92.081423708548868</v>
      </c>
      <c r="AO9" s="14">
        <v>122.4936466467575</v>
      </c>
      <c r="AP9" s="14">
        <v>92.256183210293671</v>
      </c>
      <c r="AQ9" s="14">
        <v>212.89577624534473</v>
      </c>
      <c r="AR9" s="14">
        <v>98.92017978406021</v>
      </c>
      <c r="AS9" s="14">
        <v>95.174879061701745</v>
      </c>
      <c r="AT9" s="14">
        <v>153.05139336907914</v>
      </c>
      <c r="AU9" s="14">
        <v>126.01528331257542</v>
      </c>
      <c r="AV9" s="14">
        <v>125.30604458487622</v>
      </c>
    </row>
    <row r="10" spans="1:48" x14ac:dyDescent="0.25">
      <c r="B10" s="144"/>
      <c r="C10" s="96">
        <f t="shared" si="0"/>
        <v>1.25</v>
      </c>
      <c r="D10" s="24">
        <v>95.564521276649032</v>
      </c>
      <c r="E10" s="22">
        <v>99.017111270067986</v>
      </c>
      <c r="F10" s="29">
        <v>88.634559304890473</v>
      </c>
      <c r="G10" s="30">
        <v>100.1356594157338</v>
      </c>
      <c r="H10" s="31">
        <v>94.437166873527758</v>
      </c>
      <c r="I10" s="29">
        <v>88.387293576434061</v>
      </c>
      <c r="J10" s="21">
        <v>96.27650970952304</v>
      </c>
      <c r="K10" s="22">
        <v>86.520847977046387</v>
      </c>
      <c r="L10" s="23">
        <v>86.933339624183404</v>
      </c>
      <c r="M10" s="24">
        <v>91.333289627565605</v>
      </c>
      <c r="N10" s="22">
        <v>96.329986279603872</v>
      </c>
      <c r="O10" s="25">
        <v>110.53050504013089</v>
      </c>
      <c r="P10" s="26">
        <v>111.33089206092878</v>
      </c>
      <c r="Q10" s="26">
        <v>113.23864153044521</v>
      </c>
      <c r="R10" s="26">
        <v>104.52253487124437</v>
      </c>
      <c r="S10" s="26">
        <v>92.197501746370236</v>
      </c>
      <c r="T10" s="26">
        <v>98.390663783533086</v>
      </c>
      <c r="U10" s="26">
        <v>106.20594651697601</v>
      </c>
      <c r="V10" s="26">
        <v>73.686701703929529</v>
      </c>
      <c r="W10" s="26">
        <v>62.165693599456652</v>
      </c>
      <c r="X10" s="26">
        <v>59.072465093282901</v>
      </c>
      <c r="Y10" s="27">
        <v>117.11800507409936</v>
      </c>
      <c r="Z10" s="27">
        <v>109.85718808938034</v>
      </c>
      <c r="AA10" s="27">
        <v>130.46340124060191</v>
      </c>
      <c r="AB10" s="27">
        <v>107.82192527731993</v>
      </c>
      <c r="AC10" s="27">
        <v>103.88252662160288</v>
      </c>
      <c r="AD10" s="27">
        <v>109.63938321597119</v>
      </c>
      <c r="AE10" s="27">
        <v>86.413895574620625</v>
      </c>
      <c r="AF10" s="27">
        <v>82.251771927066486</v>
      </c>
      <c r="AG10" s="27">
        <v>86.739868904756676</v>
      </c>
      <c r="AH10" s="27">
        <v>118.66315294321028</v>
      </c>
      <c r="AI10" s="27">
        <v>109.11781704705214</v>
      </c>
      <c r="AJ10" s="27">
        <v>118.17770038773341</v>
      </c>
      <c r="AK10" s="13">
        <v>82.001887701482644</v>
      </c>
      <c r="AL10" s="13">
        <v>78.668000960614748</v>
      </c>
      <c r="AM10" s="13">
        <v>69.235287396232891</v>
      </c>
      <c r="AN10" s="14">
        <v>78.168252764976472</v>
      </c>
      <c r="AO10" s="14">
        <v>87.342021152945762</v>
      </c>
      <c r="AP10" s="14">
        <v>90.809467236490022</v>
      </c>
      <c r="AQ10" s="14">
        <v>135.06566118174678</v>
      </c>
      <c r="AR10" s="14">
        <v>113.77252995509127</v>
      </c>
      <c r="AS10" s="14">
        <v>97.909553011442711</v>
      </c>
      <c r="AT10" s="14">
        <v>144.80490719553762</v>
      </c>
      <c r="AU10" s="14">
        <v>98.228842145263471</v>
      </c>
      <c r="AV10" s="14">
        <v>120.0190551109703</v>
      </c>
    </row>
    <row r="11" spans="1:48" x14ac:dyDescent="0.25">
      <c r="B11" s="144"/>
      <c r="C11" s="96">
        <f t="shared" si="0"/>
        <v>0.625</v>
      </c>
      <c r="D11" s="24">
        <v>98.888529681296816</v>
      </c>
      <c r="E11" s="22">
        <v>99.486758442844817</v>
      </c>
      <c r="F11" s="29">
        <v>90.596266108476684</v>
      </c>
      <c r="G11" s="30">
        <v>99.065055502332726</v>
      </c>
      <c r="H11" s="31">
        <v>99.630727538592865</v>
      </c>
      <c r="I11" s="29">
        <v>91.149184842555428</v>
      </c>
      <c r="J11" s="21">
        <v>99.402692909590712</v>
      </c>
      <c r="K11" s="22">
        <v>86.269555018371406</v>
      </c>
      <c r="L11" s="23">
        <v>79.655338748590907</v>
      </c>
      <c r="M11" s="24">
        <v>99.795158539196834</v>
      </c>
      <c r="N11" s="22">
        <v>103.23709853308932</v>
      </c>
      <c r="O11" s="25">
        <v>106.85574059836151</v>
      </c>
      <c r="P11" s="26">
        <v>92.529599025936918</v>
      </c>
      <c r="Q11" s="26">
        <v>102.93441456401662</v>
      </c>
      <c r="R11" s="26">
        <v>101.38165819289208</v>
      </c>
      <c r="S11" s="26">
        <v>88.383248638096077</v>
      </c>
      <c r="T11" s="26">
        <v>96.883963911716307</v>
      </c>
      <c r="U11" s="26">
        <v>95.715099988709042</v>
      </c>
      <c r="V11" s="26">
        <v>63.70593312194945</v>
      </c>
      <c r="W11" s="26">
        <v>62.777903111156213</v>
      </c>
      <c r="X11" s="26">
        <v>53.914994209783167</v>
      </c>
      <c r="Y11" s="27">
        <v>151.51748556451398</v>
      </c>
      <c r="Z11" s="27">
        <v>99.456653941950805</v>
      </c>
      <c r="AA11" s="27">
        <v>117.27763790519955</v>
      </c>
      <c r="AB11" s="27">
        <v>112.73665955609958</v>
      </c>
      <c r="AC11" s="27">
        <v>110.05469857365256</v>
      </c>
      <c r="AD11" s="27">
        <v>121.34202723793754</v>
      </c>
      <c r="AE11" s="27">
        <v>101.816791117029</v>
      </c>
      <c r="AF11" s="27">
        <v>89.994346250442845</v>
      </c>
      <c r="AG11" s="27">
        <v>103.58933875055837</v>
      </c>
      <c r="AH11" s="27">
        <v>108.64745584945193</v>
      </c>
      <c r="AI11" s="27">
        <v>110.02785715051432</v>
      </c>
      <c r="AJ11" s="27">
        <v>120.37567860372259</v>
      </c>
      <c r="AK11" s="13">
        <v>82.501308174141272</v>
      </c>
      <c r="AL11" s="13">
        <v>129.07876545819312</v>
      </c>
      <c r="AM11" s="13">
        <v>111.59754236771192</v>
      </c>
      <c r="AN11" s="14">
        <v>136.42310591155723</v>
      </c>
      <c r="AO11" s="14">
        <v>135.06283054217684</v>
      </c>
      <c r="AP11" s="14">
        <v>90.64933298413554</v>
      </c>
      <c r="AQ11" s="14">
        <v>162.37099000568679</v>
      </c>
      <c r="AR11" s="14">
        <v>117.67020395594939</v>
      </c>
      <c r="AS11" s="14">
        <v>107.76314209340396</v>
      </c>
      <c r="AT11" s="14">
        <v>140.70368102129805</v>
      </c>
      <c r="AU11" s="14">
        <v>115.18536598823593</v>
      </c>
      <c r="AV11" s="14">
        <v>149.02983856476169</v>
      </c>
    </row>
    <row r="12" spans="1:48" x14ac:dyDescent="0.25">
      <c r="B12" s="144"/>
      <c r="C12" s="96">
        <f t="shared" si="0"/>
        <v>0.3125</v>
      </c>
      <c r="D12" s="24">
        <v>104.86496066669763</v>
      </c>
      <c r="E12" s="22">
        <v>100.89196603981473</v>
      </c>
      <c r="F12" s="23">
        <v>92.481819671163009</v>
      </c>
      <c r="G12" s="21">
        <v>95.115069673970908</v>
      </c>
      <c r="H12" s="22">
        <v>95.839834039982918</v>
      </c>
      <c r="I12" s="23">
        <v>96.170081481964402</v>
      </c>
      <c r="J12" s="21">
        <v>94.455667037123007</v>
      </c>
      <c r="K12" s="22">
        <v>85.842700422116906</v>
      </c>
      <c r="L12" s="23">
        <v>85.854026558943673</v>
      </c>
      <c r="M12" s="24">
        <v>105.19857950172558</v>
      </c>
      <c r="N12" s="22">
        <v>115.75784954067888</v>
      </c>
      <c r="O12" s="25">
        <v>118.40768331756493</v>
      </c>
      <c r="P12" s="26">
        <v>109.509458062639</v>
      </c>
      <c r="Q12" s="26">
        <v>116.63596315126907</v>
      </c>
      <c r="R12" s="26">
        <v>115.4720138834595</v>
      </c>
      <c r="S12" s="26">
        <v>117.82383825546025</v>
      </c>
      <c r="T12" s="26">
        <v>119.23815045731308</v>
      </c>
      <c r="U12" s="26">
        <v>112.11990512851627</v>
      </c>
      <c r="V12" s="26">
        <v>65.256470286171137</v>
      </c>
      <c r="W12" s="26">
        <v>63.924184282934995</v>
      </c>
      <c r="X12" s="26">
        <v>51.857630003313552</v>
      </c>
      <c r="Y12" s="27">
        <v>102.48572819258273</v>
      </c>
      <c r="Z12" s="27">
        <v>106.21090333767951</v>
      </c>
      <c r="AA12" s="27">
        <v>113.14360724371348</v>
      </c>
      <c r="AB12" s="27">
        <v>105.81409726618737</v>
      </c>
      <c r="AC12" s="27">
        <v>130.46439420411659</v>
      </c>
      <c r="AD12" s="27">
        <v>106.0622377328144</v>
      </c>
      <c r="AE12" s="27">
        <v>99.903852223914527</v>
      </c>
      <c r="AF12" s="27">
        <v>107.35953463013891</v>
      </c>
      <c r="AG12" s="27">
        <v>93.030186247911658</v>
      </c>
      <c r="AH12" s="27">
        <v>123.66499096652133</v>
      </c>
      <c r="AI12" s="27">
        <v>123.17157641878539</v>
      </c>
      <c r="AJ12" s="27">
        <v>122.66968989497248</v>
      </c>
      <c r="AK12" s="13">
        <v>86.326608185911297</v>
      </c>
      <c r="AL12" s="13">
        <v>96.638455763058914</v>
      </c>
      <c r="AM12" s="13">
        <v>110.51146841315493</v>
      </c>
      <c r="AN12" s="14">
        <v>101.23108733765682</v>
      </c>
      <c r="AO12" s="14">
        <v>104.05913121374249</v>
      </c>
      <c r="AP12" s="14">
        <v>126.27490460317289</v>
      </c>
      <c r="AQ12" s="14">
        <v>136.58705617892227</v>
      </c>
      <c r="AR12" s="14">
        <v>127.24238045700368</v>
      </c>
      <c r="AS12" s="14">
        <v>113.01370378431338</v>
      </c>
      <c r="AT12" s="14">
        <v>126.2633961364437</v>
      </c>
      <c r="AU12" s="14">
        <v>145.69932505993972</v>
      </c>
      <c r="AV12" s="14">
        <v>117.86465741522898</v>
      </c>
    </row>
    <row r="13" spans="1:48" ht="15.75" thickBot="1" x14ac:dyDescent="0.3">
      <c r="B13" s="145"/>
      <c r="C13" s="96">
        <f t="shared" si="0"/>
        <v>0.15625</v>
      </c>
      <c r="D13" s="32">
        <v>95.455785735657415</v>
      </c>
      <c r="E13" s="33">
        <v>102.00250927187872</v>
      </c>
      <c r="F13" s="34">
        <v>95.616949624520316</v>
      </c>
      <c r="G13" s="35">
        <v>106.35573303238041</v>
      </c>
      <c r="H13" s="33">
        <v>98.530013556137902</v>
      </c>
      <c r="I13" s="34">
        <v>101.64768444340734</v>
      </c>
      <c r="J13" s="35">
        <v>98.117300198279082</v>
      </c>
      <c r="K13" s="33">
        <v>89.711084456095847</v>
      </c>
      <c r="L13" s="34">
        <v>83.470793620713096</v>
      </c>
      <c r="M13" s="32">
        <v>88.322713831011697</v>
      </c>
      <c r="N13" s="33">
        <v>105.3501594456788</v>
      </c>
      <c r="O13" s="36">
        <v>108.1973860214618</v>
      </c>
      <c r="P13" s="26">
        <v>88.195118383841631</v>
      </c>
      <c r="Q13" s="26">
        <v>106.88259938369636</v>
      </c>
      <c r="R13" s="26">
        <v>100.51187212950047</v>
      </c>
      <c r="S13" s="26">
        <v>101.91177389525467</v>
      </c>
      <c r="T13" s="26">
        <v>118.63873909763203</v>
      </c>
      <c r="U13" s="26">
        <v>101.72661597737728</v>
      </c>
      <c r="V13" s="26">
        <v>92.096930197811488</v>
      </c>
      <c r="W13" s="26">
        <v>63.801024487857411</v>
      </c>
      <c r="X13" s="26">
        <v>50.448500709131572</v>
      </c>
      <c r="Y13" s="27">
        <v>114.06790007936458</v>
      </c>
      <c r="Z13" s="27">
        <v>114.30751667941622</v>
      </c>
      <c r="AA13" s="27">
        <v>101.38159739184188</v>
      </c>
      <c r="AB13" s="27">
        <v>109.21525391248545</v>
      </c>
      <c r="AC13" s="27">
        <v>93.109642313064995</v>
      </c>
      <c r="AD13" s="27">
        <v>102.49936191634596</v>
      </c>
      <c r="AE13" s="27">
        <v>92.351376970619086</v>
      </c>
      <c r="AF13" s="27">
        <v>104.93599785697513</v>
      </c>
      <c r="AG13" s="27">
        <v>103.06267117632866</v>
      </c>
      <c r="AH13" s="27">
        <v>113.21376769227535</v>
      </c>
      <c r="AI13" s="27">
        <v>162.0368291188895</v>
      </c>
      <c r="AJ13" s="27">
        <v>134.24681172948209</v>
      </c>
      <c r="AK13" s="14">
        <v>84.080649235559918</v>
      </c>
      <c r="AL13" s="14">
        <v>88.045138577313438</v>
      </c>
      <c r="AM13" s="14">
        <v>96.177325073753906</v>
      </c>
      <c r="AN13" s="14">
        <v>98.234642763909079</v>
      </c>
      <c r="AO13" s="14">
        <v>89.095084741904941</v>
      </c>
      <c r="AP13" s="14">
        <v>92.57931806822765</v>
      </c>
      <c r="AQ13" s="14">
        <v>105.42172137197407</v>
      </c>
      <c r="AR13" s="14">
        <v>137.30126682156495</v>
      </c>
      <c r="AS13" s="14">
        <v>104.54126438132056</v>
      </c>
      <c r="AT13" s="14">
        <v>129.77993389375365</v>
      </c>
      <c r="AU13" s="14">
        <v>109.17021597346842</v>
      </c>
      <c r="AV13" s="14">
        <v>106.59236039174611</v>
      </c>
    </row>
    <row r="16" spans="1:48" ht="15.75" thickBot="1" x14ac:dyDescent="0.3"/>
    <row r="17" spans="2:29" ht="15.75" thickBot="1" x14ac:dyDescent="0.3">
      <c r="D17" s="146" t="s">
        <v>24</v>
      </c>
      <c r="E17" s="147"/>
      <c r="F17" s="147"/>
      <c r="G17" s="146" t="s">
        <v>46</v>
      </c>
      <c r="H17" s="147"/>
      <c r="I17" s="148"/>
      <c r="J17" s="147" t="s">
        <v>13</v>
      </c>
      <c r="K17" s="147"/>
      <c r="L17" s="147"/>
      <c r="M17" s="146" t="s">
        <v>14</v>
      </c>
      <c r="N17" s="147"/>
      <c r="O17" s="148"/>
      <c r="P17" s="147" t="s">
        <v>66</v>
      </c>
      <c r="Q17" s="147"/>
      <c r="R17" s="148"/>
    </row>
    <row r="18" spans="2:29" ht="15.75" thickBot="1" x14ac:dyDescent="0.3">
      <c r="D18" s="37" t="s">
        <v>8</v>
      </c>
      <c r="E18" s="38" t="s">
        <v>3</v>
      </c>
      <c r="F18" s="39" t="s">
        <v>11</v>
      </c>
      <c r="G18" s="37" t="s">
        <v>8</v>
      </c>
      <c r="H18" s="38" t="s">
        <v>3</v>
      </c>
      <c r="I18" s="39" t="s">
        <v>11</v>
      </c>
      <c r="J18" s="37" t="s">
        <v>8</v>
      </c>
      <c r="K18" s="38" t="s">
        <v>3</v>
      </c>
      <c r="L18" s="39" t="s">
        <v>11</v>
      </c>
      <c r="M18" s="37" t="s">
        <v>8</v>
      </c>
      <c r="N18" s="38" t="s">
        <v>3</v>
      </c>
      <c r="O18" s="39" t="s">
        <v>11</v>
      </c>
      <c r="P18" s="37" t="s">
        <v>8</v>
      </c>
      <c r="Q18" s="38" t="s">
        <v>3</v>
      </c>
      <c r="R18" s="39" t="s">
        <v>11</v>
      </c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2:29" x14ac:dyDescent="0.25">
      <c r="B19" s="143" t="s">
        <v>4</v>
      </c>
      <c r="C19" s="40">
        <v>40</v>
      </c>
      <c r="D19" s="41"/>
      <c r="E19" s="42"/>
      <c r="F19" s="42"/>
      <c r="G19" s="42">
        <f>AVERAGE(D5:F5,P5:R5,Y5:AA5)</f>
        <v>40.476008001586763</v>
      </c>
      <c r="H19" s="42">
        <f>STDEV(D5:F5,P5:R5,Y5:AA5)</f>
        <v>10.089354346000651</v>
      </c>
      <c r="I19" s="42">
        <v>9</v>
      </c>
      <c r="J19" s="42">
        <f>AVERAGE(G5:I5,S5:U5,AB5:AD5,)</f>
        <v>20.050336437466445</v>
      </c>
      <c r="K19" s="42">
        <f>STDEV(G5:I5,S5:U5,AB5:AD5)</f>
        <v>21.874834976295944</v>
      </c>
      <c r="L19" s="42">
        <v>9</v>
      </c>
      <c r="M19" s="42">
        <f>AVERAGE(J5:L5,AE5:AG5,)</f>
        <v>33.696186692181278</v>
      </c>
      <c r="N19" s="42">
        <f>STDEV(J5:L5,AE5:AG5)</f>
        <v>18.173794333491184</v>
      </c>
      <c r="O19" s="42">
        <v>9</v>
      </c>
      <c r="P19" s="42">
        <f>AVERAGE(M5:O5,V5:X5,AH5:AJ5,)</f>
        <v>41.978940473443103</v>
      </c>
      <c r="Q19" s="42">
        <f>STDEV(M5:O5,V5:X5,AH5:AJ5)</f>
        <v>20.168267976614267</v>
      </c>
      <c r="R19" s="43">
        <v>9</v>
      </c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2:29" x14ac:dyDescent="0.25">
      <c r="B20" s="144"/>
      <c r="C20" s="44">
        <f>C19/2</f>
        <v>20</v>
      </c>
      <c r="D20" s="45">
        <f>AVERAGE(AK6:AM6)</f>
        <v>8.5161335326503735</v>
      </c>
      <c r="E20" s="46">
        <f>_xlfn.STDEV.S(AK6:AM6)</f>
        <v>1.643045456716193</v>
      </c>
      <c r="F20" s="46">
        <v>3</v>
      </c>
      <c r="G20" s="46">
        <f>AVERAGE(D6:F6,P6:R6,Y6:AA6,AN6:AP6)</f>
        <v>59.925514968307056</v>
      </c>
      <c r="H20" s="46">
        <f>STDEV(D6:F6,P6:R6,Y6:AA6,AN6:AP6)</f>
        <v>27.816336695532041</v>
      </c>
      <c r="I20" s="46">
        <v>12</v>
      </c>
      <c r="J20" s="46">
        <f>AVERAGE(G6:I6,S6:U6,AB6:AD6,AQ6:AS6)</f>
        <v>52.119467907173508</v>
      </c>
      <c r="K20" s="46">
        <f>STDEV(G6:I6,S6:U6,AB6:AD6,AQ6:AS6)</f>
        <v>11.588048718308281</v>
      </c>
      <c r="L20" s="46">
        <v>12</v>
      </c>
      <c r="M20" s="46">
        <f>AVERAGE(J6:L6,AE6:AG6,AT6:AV6)</f>
        <v>48.17789080231271</v>
      </c>
      <c r="N20" s="46">
        <f>STDEV(J6:L6,AE6:AG6,AT6:AV6)</f>
        <v>20.97489908294493</v>
      </c>
      <c r="O20" s="46">
        <v>12</v>
      </c>
      <c r="P20" s="46">
        <f t="shared" ref="P20:P27" si="1">AVERAGE(M6:O6,V6:X6,AH6:AJ6,)</f>
        <v>57.016158632646793</v>
      </c>
      <c r="Q20" s="46">
        <f>STDEV(M6:O6,V6:X6,AH6:AJ6)</f>
        <v>15.290614297919429</v>
      </c>
      <c r="R20" s="47">
        <v>9</v>
      </c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2:29" x14ac:dyDescent="0.25">
      <c r="B21" s="144"/>
      <c r="C21" s="44">
        <f t="shared" ref="C21:C27" si="2">C20/2</f>
        <v>10</v>
      </c>
      <c r="D21" s="45">
        <f t="shared" ref="D21:D27" si="3">AVERAGE(AK7:AM7)</f>
        <v>13.57357085922059</v>
      </c>
      <c r="E21" s="46">
        <f t="shared" ref="E21:E27" si="4">_xlfn.STDEV.S(AK7:AM7)</f>
        <v>2.108731544728434</v>
      </c>
      <c r="F21" s="46">
        <v>3</v>
      </c>
      <c r="G21" s="46">
        <f t="shared" ref="G21:G27" si="5">AVERAGE(D7:F7,P7:R7,Y7:AA7,AN7:AP7)</f>
        <v>78.127505846351809</v>
      </c>
      <c r="H21" s="46">
        <f t="shared" ref="H21:H27" si="6">STDEV(D7:F7,P7:R7,Y7:AA7,AN7:AP7)</f>
        <v>32.966657932398803</v>
      </c>
      <c r="I21" s="46">
        <v>12</v>
      </c>
      <c r="J21" s="46">
        <f t="shared" ref="J21:J27" si="7">AVERAGE(G7:I7,S7:U7,AB7:AD7,)</f>
        <v>51.085268811050142</v>
      </c>
      <c r="K21" s="46">
        <f t="shared" ref="K21:K27" si="8">STDEV(G7:I7,S7:U7,AB7:AD7)</f>
        <v>11.438952765746642</v>
      </c>
      <c r="L21" s="46">
        <v>12</v>
      </c>
      <c r="M21" s="46">
        <f t="shared" ref="M21:M27" si="9">AVERAGE(J7:L7,AE7:AG7,AT7:AV7)</f>
        <v>68.836329034509788</v>
      </c>
      <c r="N21" s="46">
        <f t="shared" ref="N21:N27" si="10">STDEV(J7:L7,AE7:AG7)</f>
        <v>19.048230348528371</v>
      </c>
      <c r="O21" s="46">
        <v>12</v>
      </c>
      <c r="P21" s="46">
        <f t="shared" si="1"/>
        <v>60.111772335073987</v>
      </c>
      <c r="Q21" s="46">
        <f t="shared" ref="Q21:Q27" si="11">STDEV(M7:O7,V7:X7,AH7:AJ7)</f>
        <v>25.137844165163727</v>
      </c>
      <c r="R21" s="47">
        <v>9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2:29" x14ac:dyDescent="0.25">
      <c r="B22" s="144"/>
      <c r="C22" s="44">
        <f t="shared" si="2"/>
        <v>5</v>
      </c>
      <c r="D22" s="45">
        <f t="shared" si="3"/>
        <v>22.041804662039471</v>
      </c>
      <c r="E22" s="46">
        <f t="shared" si="4"/>
        <v>6.7446916283830349</v>
      </c>
      <c r="F22" s="46">
        <v>3</v>
      </c>
      <c r="G22" s="46">
        <f t="shared" si="5"/>
        <v>79.974548755481052</v>
      </c>
      <c r="H22" s="46">
        <f t="shared" si="6"/>
        <v>15.100229739459357</v>
      </c>
      <c r="I22" s="46">
        <v>12</v>
      </c>
      <c r="J22" s="46">
        <f t="shared" si="7"/>
        <v>60.360407142004433</v>
      </c>
      <c r="K22" s="46">
        <f t="shared" si="8"/>
        <v>8.1490071606171561</v>
      </c>
      <c r="L22" s="46">
        <v>12</v>
      </c>
      <c r="M22" s="46">
        <f t="shared" si="9"/>
        <v>90.080480107198269</v>
      </c>
      <c r="N22" s="46">
        <f t="shared" si="10"/>
        <v>24.272134376739665</v>
      </c>
      <c r="O22" s="46">
        <v>12</v>
      </c>
      <c r="P22" s="46">
        <f t="shared" si="1"/>
        <v>68.605412530167044</v>
      </c>
      <c r="Q22" s="46">
        <f t="shared" si="11"/>
        <v>21.530190416804434</v>
      </c>
      <c r="R22" s="47">
        <v>9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2:29" x14ac:dyDescent="0.25">
      <c r="B23" s="144"/>
      <c r="C23" s="97">
        <f t="shared" si="2"/>
        <v>2.5</v>
      </c>
      <c r="D23" s="45">
        <f t="shared" si="3"/>
        <v>61.606361927070786</v>
      </c>
      <c r="E23" s="46">
        <f t="shared" si="4"/>
        <v>43.909187004917982</v>
      </c>
      <c r="F23" s="46">
        <v>3</v>
      </c>
      <c r="G23" s="46">
        <f t="shared" si="5"/>
        <v>92.830697921421759</v>
      </c>
      <c r="H23" s="46">
        <f t="shared" si="6"/>
        <v>11.888912725622895</v>
      </c>
      <c r="I23" s="46">
        <v>12</v>
      </c>
      <c r="J23" s="46">
        <f t="shared" si="7"/>
        <v>77.378001005334795</v>
      </c>
      <c r="K23" s="46">
        <f t="shared" si="8"/>
        <v>10.687604925708195</v>
      </c>
      <c r="L23" s="46">
        <v>12</v>
      </c>
      <c r="M23" s="46">
        <f t="shared" si="9"/>
        <v>96.563496719178374</v>
      </c>
      <c r="N23" s="46">
        <f t="shared" si="10"/>
        <v>6.1206908017685251</v>
      </c>
      <c r="O23" s="46">
        <v>12</v>
      </c>
      <c r="P23" s="46">
        <f t="shared" si="1"/>
        <v>73.34882264333595</v>
      </c>
      <c r="Q23" s="46">
        <f t="shared" si="11"/>
        <v>10.784667019082223</v>
      </c>
      <c r="R23" s="47">
        <v>9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2:29" x14ac:dyDescent="0.25">
      <c r="B24" s="144"/>
      <c r="C24" s="97">
        <f t="shared" si="2"/>
        <v>1.25</v>
      </c>
      <c r="D24" s="45">
        <f t="shared" si="3"/>
        <v>76.635058686110085</v>
      </c>
      <c r="E24" s="46">
        <f t="shared" si="4"/>
        <v>6.6216434181479364</v>
      </c>
      <c r="F24" s="46">
        <v>3</v>
      </c>
      <c r="G24" s="46">
        <f t="shared" si="5"/>
        <v>102.17221632272664</v>
      </c>
      <c r="H24" s="46">
        <f t="shared" si="6"/>
        <v>14.944804944886023</v>
      </c>
      <c r="I24" s="46">
        <v>12</v>
      </c>
      <c r="J24" s="46">
        <f t="shared" si="7"/>
        <v>90.109806702746894</v>
      </c>
      <c r="K24" s="46">
        <f t="shared" si="8"/>
        <v>7.3895318273356727</v>
      </c>
      <c r="L24" s="46">
        <v>12</v>
      </c>
      <c r="M24" s="46">
        <f t="shared" si="9"/>
        <v>98.687670907663104</v>
      </c>
      <c r="N24" s="46">
        <f t="shared" si="10"/>
        <v>4.6390773239145018</v>
      </c>
      <c r="O24" s="46">
        <v>12</v>
      </c>
      <c r="P24" s="46">
        <f t="shared" si="1"/>
        <v>83.907731172196534</v>
      </c>
      <c r="Q24" s="46">
        <f t="shared" si="11"/>
        <v>23.312656109405321</v>
      </c>
      <c r="R24" s="47">
        <v>9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2:29" x14ac:dyDescent="0.25">
      <c r="B25" s="144"/>
      <c r="C25" s="97">
        <f t="shared" si="2"/>
        <v>0.625</v>
      </c>
      <c r="D25" s="45">
        <f t="shared" si="3"/>
        <v>107.72587200001544</v>
      </c>
      <c r="E25" s="46">
        <f t="shared" si="4"/>
        <v>23.528860051838244</v>
      </c>
      <c r="F25" s="46">
        <v>3</v>
      </c>
      <c r="G25" s="46">
        <f t="shared" si="5"/>
        <v>109.68368940541649</v>
      </c>
      <c r="H25" s="46">
        <f t="shared" si="6"/>
        <v>20.510114103882881</v>
      </c>
      <c r="I25" s="46">
        <v>12</v>
      </c>
      <c r="J25" s="46">
        <f t="shared" si="7"/>
        <v>91.496066578969206</v>
      </c>
      <c r="K25" s="46">
        <f t="shared" si="8"/>
        <v>10.818380784200031</v>
      </c>
      <c r="L25" s="46">
        <v>12</v>
      </c>
      <c r="M25" s="46">
        <f t="shared" si="9"/>
        <v>107.29410537431988</v>
      </c>
      <c r="N25" s="46">
        <f t="shared" si="10"/>
        <v>9.612874882460563</v>
      </c>
      <c r="O25" s="46">
        <v>12</v>
      </c>
      <c r="P25" s="46">
        <f t="shared" si="1"/>
        <v>82.933781971722539</v>
      </c>
      <c r="Q25" s="46">
        <f t="shared" si="11"/>
        <v>24.798700660170262</v>
      </c>
      <c r="R25" s="47">
        <v>9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2:29" x14ac:dyDescent="0.25">
      <c r="B26" s="144"/>
      <c r="C26" s="97">
        <f t="shared" si="2"/>
        <v>0.3125</v>
      </c>
      <c r="D26" s="45">
        <f t="shared" si="3"/>
        <v>97.825510787375052</v>
      </c>
      <c r="E26" s="46">
        <f t="shared" si="4"/>
        <v>12.136049224351883</v>
      </c>
      <c r="F26" s="46">
        <v>3</v>
      </c>
      <c r="G26" s="46">
        <f t="shared" si="5"/>
        <v>107.77179528363257</v>
      </c>
      <c r="H26" s="46">
        <f t="shared" si="6"/>
        <v>8.9879537799832789</v>
      </c>
      <c r="I26" s="46">
        <v>12</v>
      </c>
      <c r="J26" s="46">
        <f t="shared" si="7"/>
        <v>97.864760824032629</v>
      </c>
      <c r="K26" s="46">
        <f t="shared" si="8"/>
        <v>12.257077052309912</v>
      </c>
      <c r="L26" s="46">
        <v>12</v>
      </c>
      <c r="M26" s="46">
        <f t="shared" si="9"/>
        <v>106.25259397019568</v>
      </c>
      <c r="N26" s="46">
        <f t="shared" si="10"/>
        <v>8.3232457806444717</v>
      </c>
      <c r="O26" s="46">
        <v>12</v>
      </c>
      <c r="P26" s="46">
        <f t="shared" si="1"/>
        <v>88.990865421266847</v>
      </c>
      <c r="Q26" s="46">
        <f t="shared" si="11"/>
        <v>29.66478666675377</v>
      </c>
      <c r="R26" s="47">
        <v>9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2:29" ht="15.75" thickBot="1" x14ac:dyDescent="0.3">
      <c r="B27" s="145"/>
      <c r="C27" s="98">
        <f t="shared" si="2"/>
        <v>0.15625</v>
      </c>
      <c r="D27" s="48">
        <f t="shared" si="3"/>
        <v>89.434370962209073</v>
      </c>
      <c r="E27" s="49">
        <f t="shared" si="4"/>
        <v>6.1668360240903679</v>
      </c>
      <c r="F27" s="49">
        <v>3</v>
      </c>
      <c r="G27" s="49">
        <f t="shared" si="5"/>
        <v>99.860907854479933</v>
      </c>
      <c r="H27" s="49">
        <f t="shared" si="6"/>
        <v>8.5930529864191776</v>
      </c>
      <c r="I27" s="49">
        <v>12</v>
      </c>
      <c r="J27" s="49">
        <f t="shared" si="7"/>
        <v>93.363481814408601</v>
      </c>
      <c r="K27" s="49">
        <f t="shared" si="8"/>
        <v>7.1785651194785691</v>
      </c>
      <c r="L27" s="49">
        <v>12</v>
      </c>
      <c r="M27" s="49">
        <f t="shared" si="9"/>
        <v>101.91019272644212</v>
      </c>
      <c r="N27" s="49">
        <f t="shared" si="10"/>
        <v>8.2571833975317208</v>
      </c>
      <c r="O27" s="49">
        <v>12</v>
      </c>
      <c r="P27" s="49">
        <f t="shared" si="1"/>
        <v>91.771412323359982</v>
      </c>
      <c r="Q27" s="49">
        <f t="shared" si="11"/>
        <v>33.95126312486277</v>
      </c>
      <c r="R27" s="50">
        <v>9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2:29" x14ac:dyDescent="0.25"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2:29" x14ac:dyDescent="0.25"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2:29" x14ac:dyDescent="0.25"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2:29" x14ac:dyDescent="0.25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2:29" x14ac:dyDescent="0.25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5:28" x14ac:dyDescent="0.25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5:28" x14ac:dyDescent="0.25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5:28" x14ac:dyDescent="0.25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5:28" x14ac:dyDescent="0.25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5:28" x14ac:dyDescent="0.25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5:28" x14ac:dyDescent="0.25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5:28" x14ac:dyDescent="0.25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5:28" x14ac:dyDescent="0.25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5:28" x14ac:dyDescent="0.25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5:28" x14ac:dyDescent="0.25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5:28" x14ac:dyDescent="0.25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mergeCells count="23">
    <mergeCell ref="AK3:AV3"/>
    <mergeCell ref="D17:F17"/>
    <mergeCell ref="J17:L17"/>
    <mergeCell ref="M17:O17"/>
    <mergeCell ref="P17:R17"/>
    <mergeCell ref="Y3:AJ3"/>
    <mergeCell ref="V4:X4"/>
    <mergeCell ref="AE4:AG4"/>
    <mergeCell ref="AB4:AD4"/>
    <mergeCell ref="P4:R4"/>
    <mergeCell ref="AH4:AJ4"/>
    <mergeCell ref="P3:X3"/>
    <mergeCell ref="Y4:AA4"/>
    <mergeCell ref="A1:I1"/>
    <mergeCell ref="B19:B27"/>
    <mergeCell ref="G17:I17"/>
    <mergeCell ref="D3:O3"/>
    <mergeCell ref="S4:U4"/>
    <mergeCell ref="B5:B13"/>
    <mergeCell ref="D4:F4"/>
    <mergeCell ref="G4:I4"/>
    <mergeCell ref="J4:L4"/>
    <mergeCell ref="M4:O4"/>
  </mergeCells>
  <hyperlinks>
    <hyperlink ref="D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25" workbookViewId="0"/>
  </sheetViews>
  <sheetFormatPr defaultColWidth="11.42578125" defaultRowHeight="15" x14ac:dyDescent="0.25"/>
  <cols>
    <col min="1" max="1" width="38.140625" style="1" customWidth="1"/>
    <col min="2" max="16384" width="11.42578125" style="2"/>
  </cols>
  <sheetData>
    <row r="1" spans="1:13" x14ac:dyDescent="0.25">
      <c r="A1" s="1" t="s">
        <v>68</v>
      </c>
    </row>
    <row r="2" spans="1:13" x14ac:dyDescent="0.25">
      <c r="A2" s="3" t="s">
        <v>52</v>
      </c>
    </row>
    <row r="3" spans="1:13" x14ac:dyDescent="0.25">
      <c r="C3" s="2" t="s">
        <v>54</v>
      </c>
      <c r="D3" s="2" t="s">
        <v>55</v>
      </c>
      <c r="E3" s="2" t="s">
        <v>56</v>
      </c>
      <c r="F3" s="2" t="s">
        <v>57</v>
      </c>
      <c r="G3" s="2" t="s">
        <v>58</v>
      </c>
      <c r="H3" s="2" t="s">
        <v>48</v>
      </c>
      <c r="I3" s="4" t="s">
        <v>49</v>
      </c>
      <c r="M3" s="5"/>
    </row>
    <row r="4" spans="1:13" x14ac:dyDescent="0.25">
      <c r="A4" s="124" t="s">
        <v>50</v>
      </c>
      <c r="C4" s="6">
        <v>126730200</v>
      </c>
      <c r="D4" s="6">
        <v>92688008</v>
      </c>
      <c r="E4" s="6">
        <v>65900560</v>
      </c>
      <c r="F4" s="6">
        <v>61289880</v>
      </c>
      <c r="G4" s="6">
        <v>120334672</v>
      </c>
      <c r="H4" s="6">
        <v>144712576</v>
      </c>
      <c r="I4" s="4">
        <v>22675</v>
      </c>
      <c r="M4" s="124"/>
    </row>
    <row r="5" spans="1:13" x14ac:dyDescent="0.25">
      <c r="A5" s="124"/>
      <c r="C5" s="6">
        <v>130674888</v>
      </c>
      <c r="D5" s="6">
        <v>91058320</v>
      </c>
      <c r="E5" s="6">
        <v>64585524</v>
      </c>
      <c r="F5" s="6">
        <v>58881072</v>
      </c>
      <c r="G5" s="6">
        <v>111111952</v>
      </c>
      <c r="H5" s="6">
        <v>138596720</v>
      </c>
      <c r="I5" s="4">
        <v>32871</v>
      </c>
      <c r="M5" s="124"/>
    </row>
    <row r="6" spans="1:13" x14ac:dyDescent="0.25">
      <c r="A6" s="124"/>
      <c r="C6" s="6">
        <v>133617280</v>
      </c>
      <c r="D6" s="6">
        <v>91651240</v>
      </c>
      <c r="E6" s="6">
        <v>61690488</v>
      </c>
      <c r="F6" s="6">
        <v>58011156</v>
      </c>
      <c r="G6" s="6">
        <v>117392128</v>
      </c>
      <c r="H6" s="6">
        <v>136068960</v>
      </c>
      <c r="I6" s="4">
        <v>14477</v>
      </c>
      <c r="M6" s="124"/>
    </row>
    <row r="7" spans="1:13" x14ac:dyDescent="0.25">
      <c r="H7" s="4" t="s">
        <v>53</v>
      </c>
      <c r="I7" s="4">
        <f xml:space="preserve"> AVERAGE(I4:I6)</f>
        <v>23341</v>
      </c>
      <c r="M7" s="124"/>
    </row>
    <row r="8" spans="1:13" x14ac:dyDescent="0.25">
      <c r="M8" s="124"/>
    </row>
    <row r="9" spans="1:13" x14ac:dyDescent="0.25">
      <c r="M9" s="124"/>
    </row>
    <row r="10" spans="1:13" x14ac:dyDescent="0.25">
      <c r="A10" s="172" t="s">
        <v>15</v>
      </c>
      <c r="B10" s="172"/>
      <c r="M10" s="124"/>
    </row>
    <row r="11" spans="1:13" x14ac:dyDescent="0.25">
      <c r="C11" s="2" t="s">
        <v>54</v>
      </c>
      <c r="D11" s="2" t="s">
        <v>55</v>
      </c>
      <c r="E11" s="2" t="s">
        <v>56</v>
      </c>
      <c r="F11" s="2" t="s">
        <v>57</v>
      </c>
      <c r="G11" s="2" t="s">
        <v>58</v>
      </c>
      <c r="H11" s="7" t="s">
        <v>48</v>
      </c>
      <c r="M11" s="124"/>
    </row>
    <row r="12" spans="1:13" x14ac:dyDescent="0.25">
      <c r="A12" s="124" t="s">
        <v>50</v>
      </c>
      <c r="C12" s="6">
        <f>C4-23341</f>
        <v>126706859</v>
      </c>
      <c r="D12" s="6">
        <f t="shared" ref="D12:H12" si="0">D4-23341</f>
        <v>92664667</v>
      </c>
      <c r="E12" s="6">
        <f t="shared" si="0"/>
        <v>65877219</v>
      </c>
      <c r="F12" s="6">
        <f t="shared" si="0"/>
        <v>61266539</v>
      </c>
      <c r="G12" s="6">
        <f t="shared" si="0"/>
        <v>120311331</v>
      </c>
      <c r="H12" s="8">
        <f t="shared" si="0"/>
        <v>144689235</v>
      </c>
      <c r="M12" s="124"/>
    </row>
    <row r="13" spans="1:13" x14ac:dyDescent="0.25">
      <c r="A13" s="124"/>
      <c r="C13" s="6">
        <f t="shared" ref="C13:H14" si="1">C5-23341</f>
        <v>130651547</v>
      </c>
      <c r="D13" s="6">
        <f t="shared" si="1"/>
        <v>91034979</v>
      </c>
      <c r="E13" s="6">
        <f t="shared" si="1"/>
        <v>64562183</v>
      </c>
      <c r="F13" s="6">
        <f t="shared" si="1"/>
        <v>58857731</v>
      </c>
      <c r="G13" s="6">
        <f t="shared" si="1"/>
        <v>111088611</v>
      </c>
      <c r="H13" s="8">
        <f t="shared" si="1"/>
        <v>138573379</v>
      </c>
      <c r="M13" s="124"/>
    </row>
    <row r="14" spans="1:13" x14ac:dyDescent="0.25">
      <c r="A14" s="124"/>
      <c r="C14" s="6">
        <f t="shared" si="1"/>
        <v>133593939</v>
      </c>
      <c r="D14" s="6">
        <f t="shared" si="1"/>
        <v>91627899</v>
      </c>
      <c r="E14" s="6">
        <f t="shared" si="1"/>
        <v>61667147</v>
      </c>
      <c r="F14" s="6">
        <f t="shared" si="1"/>
        <v>57987815</v>
      </c>
      <c r="G14" s="6">
        <f t="shared" si="1"/>
        <v>117368787</v>
      </c>
      <c r="H14" s="8">
        <f t="shared" si="1"/>
        <v>136045619</v>
      </c>
      <c r="M14" s="124"/>
    </row>
    <row r="15" spans="1:13" x14ac:dyDescent="0.25">
      <c r="G15" s="7" t="s">
        <v>53</v>
      </c>
      <c r="H15" s="7">
        <f xml:space="preserve"> AVERAGE(H12:H14)</f>
        <v>139769411</v>
      </c>
      <c r="M15" s="5"/>
    </row>
    <row r="16" spans="1:13" x14ac:dyDescent="0.25">
      <c r="M16" s="3"/>
    </row>
    <row r="19" spans="1:8" x14ac:dyDescent="0.25">
      <c r="A19" s="171" t="s">
        <v>9</v>
      </c>
      <c r="B19" s="171"/>
    </row>
    <row r="20" spans="1:8" x14ac:dyDescent="0.25">
      <c r="C20" s="2" t="s">
        <v>54</v>
      </c>
      <c r="D20" s="2" t="s">
        <v>55</v>
      </c>
      <c r="E20" s="2" t="s">
        <v>56</v>
      </c>
      <c r="F20" s="2" t="s">
        <v>57</v>
      </c>
      <c r="G20" s="2" t="s">
        <v>58</v>
      </c>
      <c r="H20" s="9"/>
    </row>
    <row r="21" spans="1:8" ht="15" customHeight="1" x14ac:dyDescent="0.25">
      <c r="A21" s="124" t="s">
        <v>51</v>
      </c>
      <c r="C21" s="6">
        <f>C12*100/139769411</f>
        <v>90.654212601639998</v>
      </c>
      <c r="D21" s="6">
        <f t="shared" ref="D21:G21" si="2">D12*100/139769411</f>
        <v>66.298245329230156</v>
      </c>
      <c r="E21" s="6">
        <f t="shared" si="2"/>
        <v>47.132787158987171</v>
      </c>
      <c r="F21" s="6">
        <f t="shared" si="2"/>
        <v>43.834011005455267</v>
      </c>
      <c r="G21" s="6">
        <f t="shared" si="2"/>
        <v>86.07844172713871</v>
      </c>
      <c r="H21" s="10"/>
    </row>
    <row r="22" spans="1:8" x14ac:dyDescent="0.25">
      <c r="A22" s="124"/>
      <c r="C22" s="6">
        <f t="shared" ref="C22:G23" si="3">C13*100/139769411</f>
        <v>93.476495368503777</v>
      </c>
      <c r="D22" s="6">
        <f t="shared" si="3"/>
        <v>65.132262022625255</v>
      </c>
      <c r="E22" s="6">
        <f t="shared" si="3"/>
        <v>46.191926071721085</v>
      </c>
      <c r="F22" s="6">
        <f t="shared" si="3"/>
        <v>42.110595286117359</v>
      </c>
      <c r="G22" s="6">
        <f t="shared" si="3"/>
        <v>79.479916388858499</v>
      </c>
      <c r="H22" s="10"/>
    </row>
    <row r="23" spans="1:8" x14ac:dyDescent="0.25">
      <c r="A23" s="124"/>
      <c r="C23" s="6">
        <f t="shared" si="3"/>
        <v>95.581671300024297</v>
      </c>
      <c r="D23" s="6">
        <f t="shared" si="3"/>
        <v>65.556475014407837</v>
      </c>
      <c r="E23" s="6">
        <f t="shared" si="3"/>
        <v>44.120631659526701</v>
      </c>
      <c r="F23" s="6">
        <f t="shared" si="3"/>
        <v>41.488201592263991</v>
      </c>
      <c r="G23" s="6">
        <f t="shared" si="3"/>
        <v>83.973157045070465</v>
      </c>
      <c r="H23" s="10"/>
    </row>
    <row r="24" spans="1:8" x14ac:dyDescent="0.25">
      <c r="A24" s="5"/>
    </row>
    <row r="25" spans="1:8" x14ac:dyDescent="0.25">
      <c r="A25" s="5"/>
    </row>
    <row r="26" spans="1:8" x14ac:dyDescent="0.25">
      <c r="A26" s="5"/>
    </row>
    <row r="27" spans="1:8" s="1" customFormat="1" x14ac:dyDescent="0.25">
      <c r="A27" s="3" t="s">
        <v>10</v>
      </c>
      <c r="C27" s="169" t="s">
        <v>59</v>
      </c>
      <c r="D27" s="169"/>
      <c r="E27" s="170" t="s">
        <v>62</v>
      </c>
      <c r="F27" s="170"/>
      <c r="G27" s="11" t="s">
        <v>64</v>
      </c>
    </row>
    <row r="28" spans="1:8" x14ac:dyDescent="0.25">
      <c r="A28" s="3"/>
      <c r="C28" s="2" t="s">
        <v>60</v>
      </c>
      <c r="D28" s="2" t="s">
        <v>61</v>
      </c>
      <c r="E28" s="2" t="s">
        <v>60</v>
      </c>
      <c r="F28" s="2" t="s">
        <v>63</v>
      </c>
      <c r="G28" s="2" t="s">
        <v>60</v>
      </c>
    </row>
    <row r="29" spans="1:8" ht="15" customHeight="1" x14ac:dyDescent="0.25">
      <c r="A29" s="124" t="s">
        <v>51</v>
      </c>
      <c r="B29" s="2" t="s">
        <v>53</v>
      </c>
      <c r="C29" s="2">
        <f>AVERAGE(C21:C23)</f>
        <v>93.237459756722686</v>
      </c>
      <c r="D29" s="2">
        <f>AVERAGE(E21:E23)</f>
        <v>45.815114963411652</v>
      </c>
      <c r="E29" s="2">
        <f>AVERAGE(D21:D23)</f>
        <v>65.662327455421078</v>
      </c>
      <c r="F29" s="2">
        <f>AVERAGE(F21:F23)</f>
        <v>42.477602627945537</v>
      </c>
      <c r="G29" s="2">
        <f>AVERAGE(G21:G23)</f>
        <v>83.177171720355886</v>
      </c>
    </row>
    <row r="30" spans="1:8" x14ac:dyDescent="0.25">
      <c r="A30" s="124"/>
      <c r="B30" s="2" t="s">
        <v>3</v>
      </c>
      <c r="C30" s="2">
        <f xml:space="preserve"> _xlfn.STDEV.S(C21:C23)</f>
        <v>2.4724109334504738</v>
      </c>
      <c r="D30" s="2">
        <f xml:space="preserve"> _xlfn.STDEV.S(E21:E23)</f>
        <v>1.5410256801044959</v>
      </c>
      <c r="E30" s="2">
        <f xml:space="preserve"> _xlfn.STDEV.S(D21:D23)</f>
        <v>0.59015491379100726</v>
      </c>
      <c r="F30" s="2">
        <f xml:space="preserve"> _xlfn.STDEV.S(F21:F23)</f>
        <v>1.2152062551151714</v>
      </c>
      <c r="G30" s="2">
        <f xml:space="preserve"> _xlfn.STDEV.S(G21:G23)</f>
        <v>3.3705086615898527</v>
      </c>
    </row>
    <row r="31" spans="1:8" x14ac:dyDescent="0.25">
      <c r="A31" s="5"/>
      <c r="G31" s="12"/>
    </row>
    <row r="32" spans="1:8" x14ac:dyDescent="0.25">
      <c r="A32" s="5"/>
      <c r="G32" s="12"/>
    </row>
    <row r="33" spans="1:7" x14ac:dyDescent="0.25">
      <c r="A33" s="5"/>
      <c r="G33" s="5"/>
    </row>
    <row r="34" spans="1:7" x14ac:dyDescent="0.25">
      <c r="A34" s="5"/>
    </row>
    <row r="35" spans="1:7" x14ac:dyDescent="0.25">
      <c r="A35" s="5"/>
    </row>
    <row r="36" spans="1:7" x14ac:dyDescent="0.25">
      <c r="A36" s="5"/>
    </row>
    <row r="37" spans="1:7" ht="15" customHeight="1" x14ac:dyDescent="0.25">
      <c r="A37" s="5"/>
    </row>
    <row r="38" spans="1:7" x14ac:dyDescent="0.25">
      <c r="A38" s="5"/>
    </row>
    <row r="39" spans="1:7" x14ac:dyDescent="0.25">
      <c r="A39" s="5"/>
    </row>
    <row r="40" spans="1:7" x14ac:dyDescent="0.25">
      <c r="A40" s="5"/>
    </row>
    <row r="54" ht="15" customHeight="1" x14ac:dyDescent="0.25"/>
  </sheetData>
  <mergeCells count="9">
    <mergeCell ref="A29:A30"/>
    <mergeCell ref="C27:D27"/>
    <mergeCell ref="E27:F27"/>
    <mergeCell ref="M4:M14"/>
    <mergeCell ref="A4:A6"/>
    <mergeCell ref="A12:A14"/>
    <mergeCell ref="A19:B19"/>
    <mergeCell ref="A10:B10"/>
    <mergeCell ref="A21:A23"/>
  </mergeCells>
  <hyperlinks>
    <hyperlink ref="G27" r:id="rId1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workbookViewId="0">
      <selection activeCell="C31" sqref="C31"/>
    </sheetView>
  </sheetViews>
  <sheetFormatPr defaultColWidth="11.42578125" defaultRowHeight="15" x14ac:dyDescent="0.25"/>
  <cols>
    <col min="1" max="1" width="21.140625" style="99" customWidth="1"/>
  </cols>
  <sheetData>
    <row r="1" spans="1:14" x14ac:dyDescent="0.25">
      <c r="A1" t="s">
        <v>69</v>
      </c>
    </row>
    <row r="2" spans="1:14" x14ac:dyDescent="0.25">
      <c r="A2"/>
    </row>
    <row r="3" spans="1:14" x14ac:dyDescent="0.25">
      <c r="A3" t="s">
        <v>43</v>
      </c>
    </row>
    <row r="4" spans="1:14" x14ac:dyDescent="0.25">
      <c r="A4" s="116" t="s">
        <v>52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x14ac:dyDescent="0.25">
      <c r="A5" s="5"/>
    </row>
    <row r="6" spans="1:14" ht="15" customHeight="1" x14ac:dyDescent="0.25">
      <c r="A6" s="124" t="s">
        <v>50</v>
      </c>
      <c r="B6" s="100" t="s">
        <v>70</v>
      </c>
      <c r="C6" s="173" t="s">
        <v>19</v>
      </c>
      <c r="D6" s="173"/>
      <c r="E6" s="173"/>
      <c r="F6" s="173" t="s">
        <v>20</v>
      </c>
      <c r="G6" s="173"/>
      <c r="H6" s="173"/>
      <c r="I6" s="173" t="s">
        <v>21</v>
      </c>
      <c r="J6" s="173"/>
      <c r="K6" s="173"/>
      <c r="L6" s="173" t="s">
        <v>71</v>
      </c>
      <c r="M6" s="173"/>
      <c r="N6" s="173"/>
    </row>
    <row r="7" spans="1:14" x14ac:dyDescent="0.25">
      <c r="A7" s="124"/>
      <c r="B7" s="101">
        <v>40</v>
      </c>
      <c r="C7" s="102">
        <v>10487405</v>
      </c>
      <c r="D7" s="102">
        <v>11075206</v>
      </c>
      <c r="E7" s="102">
        <v>10850755</v>
      </c>
      <c r="F7" s="102">
        <v>35117620</v>
      </c>
      <c r="G7" s="102">
        <v>34993444</v>
      </c>
      <c r="H7" s="102">
        <v>41225004</v>
      </c>
      <c r="I7" s="102">
        <v>14506935</v>
      </c>
      <c r="J7" s="102">
        <v>11998117</v>
      </c>
      <c r="K7" s="102">
        <v>18482184</v>
      </c>
      <c r="L7" s="102">
        <v>40640392</v>
      </c>
      <c r="M7" s="102">
        <v>44283456</v>
      </c>
      <c r="N7" s="102">
        <v>47944008</v>
      </c>
    </row>
    <row r="8" spans="1:14" x14ac:dyDescent="0.25">
      <c r="A8" s="124"/>
      <c r="B8" s="101">
        <v>20</v>
      </c>
      <c r="C8" s="102">
        <v>11283633</v>
      </c>
      <c r="D8" s="102">
        <v>12646149</v>
      </c>
      <c r="E8" s="102">
        <v>14199601</v>
      </c>
      <c r="F8" s="102">
        <v>53098352</v>
      </c>
      <c r="G8" s="102">
        <v>42683908</v>
      </c>
      <c r="H8" s="102">
        <v>40888972</v>
      </c>
      <c r="I8" s="102">
        <v>35285808</v>
      </c>
      <c r="J8" s="102">
        <v>43660448</v>
      </c>
      <c r="K8" s="102">
        <v>42795164</v>
      </c>
      <c r="L8" s="102">
        <v>72502064</v>
      </c>
      <c r="M8" s="102">
        <v>59780632</v>
      </c>
      <c r="N8" s="102">
        <v>67352344</v>
      </c>
    </row>
    <row r="9" spans="1:14" x14ac:dyDescent="0.25">
      <c r="A9" s="124"/>
      <c r="B9" s="101">
        <v>10</v>
      </c>
      <c r="C9" s="102">
        <v>30853160</v>
      </c>
      <c r="D9" s="102">
        <v>34030356</v>
      </c>
      <c r="E9" s="102">
        <v>36241784</v>
      </c>
      <c r="F9" s="102">
        <v>43258304</v>
      </c>
      <c r="G9" s="102">
        <v>44808424</v>
      </c>
      <c r="H9" s="102">
        <v>47015280</v>
      </c>
      <c r="I9" s="102">
        <v>50105728</v>
      </c>
      <c r="J9" s="102">
        <v>47397064</v>
      </c>
      <c r="K9" s="102">
        <v>56169976</v>
      </c>
      <c r="L9" s="102">
        <v>65114192</v>
      </c>
      <c r="M9" s="102">
        <v>67916208</v>
      </c>
      <c r="N9" s="102">
        <v>63510132</v>
      </c>
    </row>
    <row r="10" spans="1:14" x14ac:dyDescent="0.25">
      <c r="A10" s="124"/>
      <c r="B10" s="101">
        <v>5</v>
      </c>
      <c r="C10" s="102">
        <v>45189944</v>
      </c>
      <c r="D10" s="102">
        <v>48416844</v>
      </c>
      <c r="E10" s="102">
        <v>50792432</v>
      </c>
      <c r="F10" s="102">
        <v>48300532</v>
      </c>
      <c r="G10" s="102">
        <v>49840520</v>
      </c>
      <c r="H10" s="102">
        <v>51279732</v>
      </c>
      <c r="I10" s="102">
        <v>58508568</v>
      </c>
      <c r="J10" s="102">
        <v>62995408</v>
      </c>
      <c r="K10" s="102">
        <v>59704984</v>
      </c>
      <c r="L10" s="102">
        <v>66131472</v>
      </c>
      <c r="M10" s="102">
        <v>61049216</v>
      </c>
      <c r="N10" s="102">
        <v>68363584</v>
      </c>
    </row>
    <row r="11" spans="1:14" x14ac:dyDescent="0.25">
      <c r="A11" s="124"/>
      <c r="B11" s="101">
        <v>2.5</v>
      </c>
      <c r="C11" s="102">
        <v>57313264</v>
      </c>
      <c r="D11" s="102">
        <v>60877380</v>
      </c>
      <c r="E11" s="102">
        <v>64886664</v>
      </c>
      <c r="F11" s="102">
        <v>55287012</v>
      </c>
      <c r="G11" s="102">
        <v>60707676</v>
      </c>
      <c r="H11" s="102">
        <v>63938432</v>
      </c>
      <c r="I11" s="102">
        <v>54801024</v>
      </c>
      <c r="J11" s="102">
        <v>67755488</v>
      </c>
      <c r="K11" s="102">
        <v>66367608</v>
      </c>
      <c r="L11" s="102">
        <v>69315064</v>
      </c>
      <c r="M11" s="102">
        <v>70908256</v>
      </c>
      <c r="N11" s="102">
        <v>116138712</v>
      </c>
    </row>
    <row r="12" spans="1:14" ht="30" x14ac:dyDescent="0.25">
      <c r="A12" s="124"/>
      <c r="B12" s="110" t="s">
        <v>1</v>
      </c>
      <c r="C12" s="102">
        <v>71397072</v>
      </c>
      <c r="D12" s="103">
        <v>74010040</v>
      </c>
      <c r="E12" s="103">
        <v>88673360</v>
      </c>
      <c r="F12" s="104"/>
      <c r="G12" s="104"/>
      <c r="H12" s="104"/>
      <c r="I12" s="105">
        <v>74475672</v>
      </c>
      <c r="J12" s="103">
        <v>78620256</v>
      </c>
      <c r="K12" s="103">
        <v>104765104</v>
      </c>
      <c r="L12" s="104"/>
      <c r="M12" s="104"/>
      <c r="N12" s="104"/>
    </row>
    <row r="13" spans="1:14" x14ac:dyDescent="0.25">
      <c r="A13" s="124"/>
      <c r="B13" s="106" t="s">
        <v>49</v>
      </c>
      <c r="C13" s="106">
        <v>7888292</v>
      </c>
      <c r="D13" s="106">
        <v>9761964</v>
      </c>
      <c r="E13" s="104"/>
      <c r="F13" s="104"/>
      <c r="G13" s="104"/>
      <c r="H13" s="104"/>
      <c r="I13" s="106">
        <v>9244579</v>
      </c>
      <c r="J13" s="106">
        <v>8350287</v>
      </c>
      <c r="K13" s="104"/>
      <c r="L13" s="104"/>
      <c r="M13" s="104"/>
      <c r="N13" s="104"/>
    </row>
    <row r="14" spans="1:14" x14ac:dyDescent="0.25">
      <c r="A14" s="124"/>
      <c r="B14" s="106" t="s">
        <v>72</v>
      </c>
      <c r="C14" s="106">
        <f>AVERAGE((C13:D13))</f>
        <v>8825128</v>
      </c>
      <c r="D14" s="107"/>
      <c r="I14" s="106">
        <f>AVERAGE((I13:J13))</f>
        <v>8797433</v>
      </c>
    </row>
    <row r="15" spans="1:14" x14ac:dyDescent="0.25">
      <c r="A15" s="5"/>
    </row>
    <row r="16" spans="1:14" x14ac:dyDescent="0.25">
      <c r="A16" s="5"/>
    </row>
    <row r="17" spans="1:14" s="107" customFormat="1" ht="30" customHeight="1" x14ac:dyDescent="0.25">
      <c r="A17" s="117" t="s">
        <v>76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9" spans="1:14" ht="15" customHeight="1" x14ac:dyDescent="0.25">
      <c r="A19" s="124" t="s">
        <v>50</v>
      </c>
      <c r="B19" s="100" t="s">
        <v>70</v>
      </c>
      <c r="C19" s="173" t="s">
        <v>19</v>
      </c>
      <c r="D19" s="173"/>
      <c r="E19" s="173"/>
      <c r="F19" s="173" t="s">
        <v>20</v>
      </c>
      <c r="G19" s="173"/>
      <c r="H19" s="173"/>
      <c r="I19" s="173" t="s">
        <v>21</v>
      </c>
      <c r="J19" s="173"/>
      <c r="K19" s="173"/>
      <c r="L19" s="173" t="s">
        <v>71</v>
      </c>
      <c r="M19" s="173"/>
      <c r="N19" s="173"/>
    </row>
    <row r="20" spans="1:14" x14ac:dyDescent="0.25">
      <c r="A20" s="124"/>
      <c r="B20" s="101">
        <v>40</v>
      </c>
      <c r="C20" s="102">
        <f>C7-8825128</f>
        <v>1662277</v>
      </c>
      <c r="D20" s="102">
        <f t="shared" ref="D20:H20" si="0">D7-8825128</f>
        <v>2250078</v>
      </c>
      <c r="E20" s="102">
        <f t="shared" si="0"/>
        <v>2025627</v>
      </c>
      <c r="F20" s="102">
        <f t="shared" si="0"/>
        <v>26292492</v>
      </c>
      <c r="G20" s="102">
        <f t="shared" si="0"/>
        <v>26168316</v>
      </c>
      <c r="H20" s="102">
        <f t="shared" si="0"/>
        <v>32399876</v>
      </c>
      <c r="I20" s="102">
        <f>I7-8797433</f>
        <v>5709502</v>
      </c>
      <c r="J20" s="102">
        <f t="shared" ref="J20:N20" si="1">J7-8797433</f>
        <v>3200684</v>
      </c>
      <c r="K20" s="102">
        <f t="shared" si="1"/>
        <v>9684751</v>
      </c>
      <c r="L20" s="102">
        <f t="shared" si="1"/>
        <v>31842959</v>
      </c>
      <c r="M20" s="102">
        <f t="shared" si="1"/>
        <v>35486023</v>
      </c>
      <c r="N20" s="102">
        <f t="shared" si="1"/>
        <v>39146575</v>
      </c>
    </row>
    <row r="21" spans="1:14" x14ac:dyDescent="0.25">
      <c r="A21" s="124"/>
      <c r="B21" s="101">
        <v>20</v>
      </c>
      <c r="C21" s="102">
        <f t="shared" ref="C21:H25" si="2">C8-8825128</f>
        <v>2458505</v>
      </c>
      <c r="D21" s="102">
        <f t="shared" si="2"/>
        <v>3821021</v>
      </c>
      <c r="E21" s="102">
        <f t="shared" si="2"/>
        <v>5374473</v>
      </c>
      <c r="F21" s="102">
        <f t="shared" si="2"/>
        <v>44273224</v>
      </c>
      <c r="G21" s="102">
        <f t="shared" si="2"/>
        <v>33858780</v>
      </c>
      <c r="H21" s="102">
        <f t="shared" si="2"/>
        <v>32063844</v>
      </c>
      <c r="I21" s="102">
        <f t="shared" ref="I21:N25" si="3">I8-8797433</f>
        <v>26488375</v>
      </c>
      <c r="J21" s="102">
        <f t="shared" si="3"/>
        <v>34863015</v>
      </c>
      <c r="K21" s="102">
        <f t="shared" si="3"/>
        <v>33997731</v>
      </c>
      <c r="L21" s="102">
        <f t="shared" si="3"/>
        <v>63704631</v>
      </c>
      <c r="M21" s="102">
        <f t="shared" si="3"/>
        <v>50983199</v>
      </c>
      <c r="N21" s="102">
        <f t="shared" si="3"/>
        <v>58554911</v>
      </c>
    </row>
    <row r="22" spans="1:14" x14ac:dyDescent="0.25">
      <c r="A22" s="124"/>
      <c r="B22" s="101">
        <v>10</v>
      </c>
      <c r="C22" s="102">
        <f t="shared" si="2"/>
        <v>22028032</v>
      </c>
      <c r="D22" s="102">
        <f t="shared" si="2"/>
        <v>25205228</v>
      </c>
      <c r="E22" s="102">
        <f t="shared" si="2"/>
        <v>27416656</v>
      </c>
      <c r="F22" s="102">
        <f t="shared" si="2"/>
        <v>34433176</v>
      </c>
      <c r="G22" s="102">
        <f t="shared" si="2"/>
        <v>35983296</v>
      </c>
      <c r="H22" s="102">
        <f t="shared" si="2"/>
        <v>38190152</v>
      </c>
      <c r="I22" s="102">
        <f t="shared" si="3"/>
        <v>41308295</v>
      </c>
      <c r="J22" s="102">
        <f t="shared" si="3"/>
        <v>38599631</v>
      </c>
      <c r="K22" s="102">
        <f t="shared" si="3"/>
        <v>47372543</v>
      </c>
      <c r="L22" s="102">
        <f t="shared" si="3"/>
        <v>56316759</v>
      </c>
      <c r="M22" s="102">
        <f t="shared" si="3"/>
        <v>59118775</v>
      </c>
      <c r="N22" s="102">
        <f t="shared" si="3"/>
        <v>54712699</v>
      </c>
    </row>
    <row r="23" spans="1:14" x14ac:dyDescent="0.25">
      <c r="A23" s="124"/>
      <c r="B23" s="101">
        <v>5</v>
      </c>
      <c r="C23" s="102">
        <f t="shared" si="2"/>
        <v>36364816</v>
      </c>
      <c r="D23" s="102">
        <f t="shared" si="2"/>
        <v>39591716</v>
      </c>
      <c r="E23" s="102">
        <f t="shared" si="2"/>
        <v>41967304</v>
      </c>
      <c r="F23" s="102">
        <f t="shared" si="2"/>
        <v>39475404</v>
      </c>
      <c r="G23" s="102">
        <f t="shared" si="2"/>
        <v>41015392</v>
      </c>
      <c r="H23" s="102">
        <f t="shared" si="2"/>
        <v>42454604</v>
      </c>
      <c r="I23" s="102">
        <f t="shared" si="3"/>
        <v>49711135</v>
      </c>
      <c r="J23" s="102">
        <f t="shared" si="3"/>
        <v>54197975</v>
      </c>
      <c r="K23" s="102">
        <f t="shared" si="3"/>
        <v>50907551</v>
      </c>
      <c r="L23" s="102">
        <f t="shared" si="3"/>
        <v>57334039</v>
      </c>
      <c r="M23" s="102">
        <f t="shared" si="3"/>
        <v>52251783</v>
      </c>
      <c r="N23" s="102">
        <f t="shared" si="3"/>
        <v>59566151</v>
      </c>
    </row>
    <row r="24" spans="1:14" x14ac:dyDescent="0.25">
      <c r="A24" s="124"/>
      <c r="B24" s="101">
        <v>2.5</v>
      </c>
      <c r="C24" s="102">
        <f t="shared" si="2"/>
        <v>48488136</v>
      </c>
      <c r="D24" s="102">
        <f t="shared" si="2"/>
        <v>52052252</v>
      </c>
      <c r="E24" s="102">
        <f t="shared" si="2"/>
        <v>56061536</v>
      </c>
      <c r="F24" s="102">
        <f t="shared" si="2"/>
        <v>46461884</v>
      </c>
      <c r="G24" s="102">
        <f t="shared" si="2"/>
        <v>51882548</v>
      </c>
      <c r="H24" s="102">
        <f t="shared" si="2"/>
        <v>55113304</v>
      </c>
      <c r="I24" s="102">
        <f t="shared" si="3"/>
        <v>46003591</v>
      </c>
      <c r="J24" s="102">
        <f t="shared" si="3"/>
        <v>58958055</v>
      </c>
      <c r="K24" s="102">
        <f t="shared" si="3"/>
        <v>57570175</v>
      </c>
      <c r="L24" s="102">
        <f t="shared" si="3"/>
        <v>60517631</v>
      </c>
      <c r="M24" s="102">
        <f t="shared" si="3"/>
        <v>62110823</v>
      </c>
      <c r="N24" s="102">
        <f t="shared" si="3"/>
        <v>107341279</v>
      </c>
    </row>
    <row r="25" spans="1:14" ht="30" x14ac:dyDescent="0.25">
      <c r="A25" s="124"/>
      <c r="B25" s="114" t="s">
        <v>1</v>
      </c>
      <c r="C25" s="108">
        <f t="shared" si="2"/>
        <v>62571944</v>
      </c>
      <c r="D25" s="109">
        <f t="shared" si="2"/>
        <v>65184912</v>
      </c>
      <c r="E25" s="109">
        <f t="shared" si="2"/>
        <v>79848232</v>
      </c>
      <c r="F25" s="104"/>
      <c r="G25" s="104"/>
      <c r="H25" s="104"/>
      <c r="I25" s="109">
        <f t="shared" si="3"/>
        <v>65678239</v>
      </c>
      <c r="J25" s="109">
        <f t="shared" si="3"/>
        <v>69822823</v>
      </c>
      <c r="K25" s="109">
        <f t="shared" si="3"/>
        <v>95967671</v>
      </c>
      <c r="L25" s="104"/>
      <c r="M25" s="104"/>
      <c r="N25" s="104"/>
    </row>
    <row r="26" spans="1:14" ht="30" x14ac:dyDescent="0.25">
      <c r="A26" s="124"/>
      <c r="B26" s="111" t="s">
        <v>27</v>
      </c>
      <c r="C26" s="108">
        <f>AVERAGE(C25:E25)</f>
        <v>69201696</v>
      </c>
      <c r="I26" s="108">
        <f>AVERAGE(I25:K25)</f>
        <v>77156244.333333328</v>
      </c>
    </row>
    <row r="27" spans="1:14" s="107" customFormat="1" x14ac:dyDescent="0.25">
      <c r="A27" s="113"/>
      <c r="B27" s="115"/>
      <c r="C27" s="104"/>
      <c r="I27" s="104"/>
    </row>
    <row r="28" spans="1:14" s="107" customFormat="1" x14ac:dyDescent="0.25">
      <c r="A28" s="119" t="s">
        <v>9</v>
      </c>
      <c r="B28" s="120"/>
      <c r="C28" s="121"/>
      <c r="D28" s="118"/>
      <c r="E28" s="118"/>
      <c r="F28" s="118"/>
      <c r="G28" s="118"/>
      <c r="H28" s="118"/>
      <c r="I28" s="121"/>
      <c r="J28" s="118"/>
      <c r="K28" s="118"/>
      <c r="L28" s="118"/>
      <c r="M28" s="118"/>
      <c r="N28" s="118"/>
    </row>
    <row r="29" spans="1:14" x14ac:dyDescent="0.25">
      <c r="A29" s="5"/>
    </row>
    <row r="30" spans="1:14" ht="15" customHeight="1" x14ac:dyDescent="0.25">
      <c r="A30" s="176" t="s">
        <v>51</v>
      </c>
      <c r="B30" s="100" t="s">
        <v>70</v>
      </c>
      <c r="C30" s="173" t="s">
        <v>19</v>
      </c>
      <c r="D30" s="173"/>
      <c r="E30" s="173"/>
      <c r="F30" s="173" t="s">
        <v>20</v>
      </c>
      <c r="G30" s="173"/>
      <c r="H30" s="173"/>
      <c r="I30" s="173" t="s">
        <v>21</v>
      </c>
      <c r="J30" s="173"/>
      <c r="K30" s="173"/>
      <c r="L30" s="173" t="s">
        <v>71</v>
      </c>
      <c r="M30" s="173"/>
      <c r="N30" s="173"/>
    </row>
    <row r="31" spans="1:14" x14ac:dyDescent="0.25">
      <c r="A31" s="176"/>
      <c r="B31" s="101">
        <v>40</v>
      </c>
      <c r="C31" s="122">
        <f>C20*100/69201696</f>
        <v>2.4020755213860654</v>
      </c>
      <c r="D31" s="122">
        <f t="shared" ref="D31:H31" si="4">D20*100/69201696</f>
        <v>3.2514781140624067</v>
      </c>
      <c r="E31" s="122">
        <f t="shared" si="4"/>
        <v>2.9271349072138348</v>
      </c>
      <c r="F31" s="122">
        <f t="shared" si="4"/>
        <v>37.993999453423804</v>
      </c>
      <c r="G31" s="122">
        <f t="shared" si="4"/>
        <v>37.814558764571316</v>
      </c>
      <c r="H31" s="122">
        <f t="shared" si="4"/>
        <v>46.819482574531122</v>
      </c>
      <c r="I31" s="122">
        <f>I20*100/77156244</f>
        <v>7.3999221631369201</v>
      </c>
      <c r="J31" s="122">
        <f t="shared" ref="J31:N31" si="5">J20*100/77156244</f>
        <v>4.1483149438948841</v>
      </c>
      <c r="K31" s="122">
        <f t="shared" si="5"/>
        <v>12.552128639128675</v>
      </c>
      <c r="L31" s="122">
        <f t="shared" si="5"/>
        <v>41.270747964351401</v>
      </c>
      <c r="M31" s="122">
        <f t="shared" si="5"/>
        <v>45.992418967413705</v>
      </c>
      <c r="N31" s="122">
        <f t="shared" si="5"/>
        <v>50.736755666851799</v>
      </c>
    </row>
    <row r="32" spans="1:14" x14ac:dyDescent="0.25">
      <c r="A32" s="176"/>
      <c r="B32" s="101">
        <v>20</v>
      </c>
      <c r="C32" s="122">
        <f>C21*100/69201696</f>
        <v>3.5526658190573825</v>
      </c>
      <c r="D32" s="122">
        <f t="shared" ref="D32:H35" si="6">D21*100/69201696</f>
        <v>5.5215713210265829</v>
      </c>
      <c r="E32" s="122">
        <f t="shared" si="6"/>
        <v>7.7663891358963228</v>
      </c>
      <c r="F32" s="122">
        <f t="shared" si="6"/>
        <v>63.977079405683931</v>
      </c>
      <c r="G32" s="122">
        <f t="shared" si="6"/>
        <v>48.927673680136394</v>
      </c>
      <c r="H32" s="122">
        <f t="shared" si="6"/>
        <v>46.333899099813969</v>
      </c>
      <c r="I32" s="122">
        <f>I21*100/77156244</f>
        <v>34.330824864932509</v>
      </c>
      <c r="J32" s="122">
        <f t="shared" ref="J32:N35" si="7">J21*100/77156244</f>
        <v>45.184956126169126</v>
      </c>
      <c r="K32" s="122">
        <f t="shared" si="7"/>
        <v>44.063486294122868</v>
      </c>
      <c r="L32" s="122">
        <f t="shared" si="7"/>
        <v>82.565749312524858</v>
      </c>
      <c r="M32" s="122">
        <f t="shared" si="7"/>
        <v>66.077865324807675</v>
      </c>
      <c r="N32" s="122">
        <f t="shared" si="7"/>
        <v>75.891344581262928</v>
      </c>
    </row>
    <row r="33" spans="1:14" x14ac:dyDescent="0.25">
      <c r="A33" s="176"/>
      <c r="B33" s="101">
        <v>10</v>
      </c>
      <c r="C33" s="122">
        <f>C22*100/69201696</f>
        <v>31.831636033891424</v>
      </c>
      <c r="D33" s="122">
        <f t="shared" si="6"/>
        <v>36.422847208831413</v>
      </c>
      <c r="E33" s="122">
        <f t="shared" si="6"/>
        <v>39.618474090577202</v>
      </c>
      <c r="F33" s="122">
        <f t="shared" si="6"/>
        <v>49.75770536028481</v>
      </c>
      <c r="G33" s="122">
        <f t="shared" si="6"/>
        <v>51.997708264259884</v>
      </c>
      <c r="H33" s="122">
        <f t="shared" si="6"/>
        <v>55.186728371512743</v>
      </c>
      <c r="I33" s="122">
        <f>I22*100/77156244</f>
        <v>53.53849910060422</v>
      </c>
      <c r="J33" s="122">
        <f t="shared" si="7"/>
        <v>50.027877199413702</v>
      </c>
      <c r="K33" s="122">
        <f t="shared" si="7"/>
        <v>61.398197403181008</v>
      </c>
      <c r="L33" s="122">
        <f t="shared" si="7"/>
        <v>72.990539819434446</v>
      </c>
      <c r="M33" s="122">
        <f t="shared" si="7"/>
        <v>76.622152576530297</v>
      </c>
      <c r="N33" s="122">
        <f t="shared" si="7"/>
        <v>70.911563554078654</v>
      </c>
    </row>
    <row r="34" spans="1:14" x14ac:dyDescent="0.25">
      <c r="A34" s="176"/>
      <c r="B34" s="101">
        <v>5</v>
      </c>
      <c r="C34" s="122">
        <f>C23*100/69201696</f>
        <v>52.549024232007262</v>
      </c>
      <c r="D34" s="122">
        <f t="shared" si="6"/>
        <v>57.212060236211549</v>
      </c>
      <c r="E34" s="122">
        <f t="shared" si="6"/>
        <v>60.644906737545853</v>
      </c>
      <c r="F34" s="122">
        <f t="shared" si="6"/>
        <v>57.043983430695107</v>
      </c>
      <c r="G34" s="122">
        <f t="shared" si="6"/>
        <v>59.269345075010875</v>
      </c>
      <c r="H34" s="122">
        <f t="shared" si="6"/>
        <v>61.349080230634812</v>
      </c>
      <c r="I34" s="122">
        <f>I23*100/77156244</f>
        <v>64.429179574889616</v>
      </c>
      <c r="J34" s="122">
        <f t="shared" si="7"/>
        <v>70.244444506655867</v>
      </c>
      <c r="K34" s="122">
        <f t="shared" si="7"/>
        <v>65.979820116697226</v>
      </c>
      <c r="L34" s="122">
        <f t="shared" si="7"/>
        <v>74.309007317670876</v>
      </c>
      <c r="M34" s="122">
        <f t="shared" si="7"/>
        <v>67.722040746306931</v>
      </c>
      <c r="N34" s="122">
        <f t="shared" si="7"/>
        <v>77.201983808335726</v>
      </c>
    </row>
    <row r="35" spans="1:14" x14ac:dyDescent="0.25">
      <c r="A35" s="176"/>
      <c r="B35" s="101">
        <v>2.5</v>
      </c>
      <c r="C35" s="122">
        <f>C24*100/69201696</f>
        <v>70.067843423953079</v>
      </c>
      <c r="D35" s="122">
        <f t="shared" si="6"/>
        <v>75.218173843600596</v>
      </c>
      <c r="E35" s="122">
        <f t="shared" si="6"/>
        <v>81.011794855432441</v>
      </c>
      <c r="F35" s="122">
        <f t="shared" si="6"/>
        <v>67.139805359683663</v>
      </c>
      <c r="G35" s="122">
        <f t="shared" si="6"/>
        <v>74.972942859666333</v>
      </c>
      <c r="H35" s="122">
        <f t="shared" si="6"/>
        <v>79.641550981640677</v>
      </c>
      <c r="I35" s="122">
        <f>I24*100/77156244</f>
        <v>59.623937888941299</v>
      </c>
      <c r="J35" s="122">
        <f t="shared" si="7"/>
        <v>76.413847983579913</v>
      </c>
      <c r="K35" s="122">
        <f t="shared" si="7"/>
        <v>74.615056430170441</v>
      </c>
      <c r="L35" s="122">
        <f t="shared" si="7"/>
        <v>78.43516980945833</v>
      </c>
      <c r="M35" s="122">
        <f t="shared" si="7"/>
        <v>80.500060371005105</v>
      </c>
      <c r="N35" s="122">
        <f t="shared" si="7"/>
        <v>139.12196010992966</v>
      </c>
    </row>
    <row r="36" spans="1:14" x14ac:dyDescent="0.25">
      <c r="A36" s="5"/>
    </row>
    <row r="37" spans="1:14" x14ac:dyDescent="0.25">
      <c r="A37" s="5"/>
    </row>
    <row r="38" spans="1:14" x14ac:dyDescent="0.25">
      <c r="A38" s="119" t="s">
        <v>10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</row>
    <row r="40" spans="1:14" ht="15" customHeight="1" x14ac:dyDescent="0.25">
      <c r="A40" s="124" t="s">
        <v>51</v>
      </c>
      <c r="D40" s="101" t="s">
        <v>70</v>
      </c>
      <c r="E40" s="123">
        <v>40</v>
      </c>
      <c r="F40" s="123">
        <v>20</v>
      </c>
      <c r="G40" s="123">
        <v>10</v>
      </c>
      <c r="H40" s="123">
        <v>5</v>
      </c>
      <c r="I40" s="123">
        <v>2.5</v>
      </c>
    </row>
    <row r="41" spans="1:14" x14ac:dyDescent="0.25">
      <c r="A41" s="124"/>
      <c r="C41" s="174" t="s">
        <v>25</v>
      </c>
      <c r="D41" s="101" t="s">
        <v>8</v>
      </c>
      <c r="E41" s="122">
        <v>2.860229514220769</v>
      </c>
      <c r="F41" s="122">
        <v>5.6135420919934296</v>
      </c>
      <c r="G41" s="122">
        <v>35.957652444433343</v>
      </c>
      <c r="H41" s="122">
        <v>56.801997068588229</v>
      </c>
      <c r="I41" s="122">
        <v>75.432604040995372</v>
      </c>
    </row>
    <row r="42" spans="1:14" x14ac:dyDescent="0.25">
      <c r="A42" s="124"/>
      <c r="C42" s="174"/>
      <c r="D42" s="101" t="s">
        <v>3</v>
      </c>
      <c r="E42" s="122">
        <v>0.42863555594466535</v>
      </c>
      <c r="F42" s="122">
        <v>2.1083666699016597</v>
      </c>
      <c r="G42" s="122">
        <v>3.9142069895292981</v>
      </c>
      <c r="H42" s="122">
        <v>4.0634889241823222</v>
      </c>
      <c r="I42" s="122">
        <v>5.4751258858414271</v>
      </c>
    </row>
    <row r="43" spans="1:14" x14ac:dyDescent="0.25">
      <c r="A43" s="124"/>
      <c r="C43" s="174"/>
      <c r="D43" s="101" t="s">
        <v>11</v>
      </c>
      <c r="E43" s="122">
        <v>3</v>
      </c>
      <c r="F43" s="122">
        <v>3</v>
      </c>
      <c r="G43" s="122">
        <v>3</v>
      </c>
      <c r="H43" s="122">
        <v>3</v>
      </c>
      <c r="I43" s="122">
        <v>3</v>
      </c>
    </row>
    <row r="44" spans="1:14" x14ac:dyDescent="0.25">
      <c r="A44" s="124"/>
      <c r="C44" s="175" t="s">
        <v>45</v>
      </c>
      <c r="D44" s="101" t="s">
        <v>8</v>
      </c>
      <c r="E44" s="122">
        <v>40.876013597508745</v>
      </c>
      <c r="F44" s="122">
        <v>53.079550728544767</v>
      </c>
      <c r="G44" s="122">
        <v>52.31404733201915</v>
      </c>
      <c r="H44" s="122">
        <v>59.220802912113605</v>
      </c>
      <c r="I44" s="122">
        <v>73.918099733663567</v>
      </c>
    </row>
    <row r="45" spans="1:14" x14ac:dyDescent="0.25">
      <c r="A45" s="124"/>
      <c r="C45" s="175"/>
      <c r="D45" s="101" t="s">
        <v>3</v>
      </c>
      <c r="E45" s="122">
        <v>5.1479770153745239</v>
      </c>
      <c r="F45" s="122">
        <v>9.5262277473921166</v>
      </c>
      <c r="G45" s="122">
        <v>2.7283008482302136</v>
      </c>
      <c r="H45" s="122">
        <v>2.1529588640744697</v>
      </c>
      <c r="I45" s="122">
        <v>6.3172724663723994</v>
      </c>
    </row>
    <row r="46" spans="1:14" x14ac:dyDescent="0.25">
      <c r="A46" s="124"/>
      <c r="C46" s="175"/>
      <c r="D46" s="101" t="s">
        <v>11</v>
      </c>
      <c r="E46" s="122">
        <v>3</v>
      </c>
      <c r="F46" s="122">
        <v>3</v>
      </c>
      <c r="G46" s="122">
        <v>3</v>
      </c>
      <c r="H46" s="122">
        <v>3</v>
      </c>
      <c r="I46" s="122">
        <v>3</v>
      </c>
    </row>
    <row r="47" spans="1:14" x14ac:dyDescent="0.25">
      <c r="A47" s="124"/>
      <c r="C47" s="175" t="s">
        <v>0</v>
      </c>
      <c r="D47" s="101" t="s">
        <v>8</v>
      </c>
      <c r="E47" s="122">
        <v>8.0334552487201591</v>
      </c>
      <c r="F47" s="122">
        <v>41.193089095074832</v>
      </c>
      <c r="G47" s="122">
        <v>54.988191234399643</v>
      </c>
      <c r="H47" s="122">
        <v>66.884481399414241</v>
      </c>
      <c r="I47" s="122">
        <v>70.217614100897222</v>
      </c>
    </row>
    <row r="48" spans="1:14" x14ac:dyDescent="0.25">
      <c r="A48" s="124"/>
      <c r="C48" s="175"/>
      <c r="D48" s="101" t="s">
        <v>3</v>
      </c>
      <c r="E48" s="122">
        <v>4.2375752835727001</v>
      </c>
      <c r="F48" s="122">
        <v>5.9692902776850962</v>
      </c>
      <c r="G48" s="122">
        <v>5.8221345609785589</v>
      </c>
      <c r="H48" s="122">
        <v>3.0113345187795018</v>
      </c>
      <c r="I48" s="122">
        <v>9.2183726614827393</v>
      </c>
    </row>
    <row r="49" spans="1:9" x14ac:dyDescent="0.25">
      <c r="A49" s="124"/>
      <c r="C49" s="175"/>
      <c r="D49" s="101" t="s">
        <v>11</v>
      </c>
      <c r="E49" s="122">
        <v>3</v>
      </c>
      <c r="F49" s="122">
        <v>3</v>
      </c>
      <c r="G49" s="122">
        <v>3</v>
      </c>
      <c r="H49" s="122">
        <v>3</v>
      </c>
      <c r="I49" s="122">
        <v>3</v>
      </c>
    </row>
    <row r="50" spans="1:9" x14ac:dyDescent="0.25">
      <c r="A50" s="124"/>
      <c r="C50" s="175" t="s">
        <v>5</v>
      </c>
      <c r="D50" s="101" t="s">
        <v>8</v>
      </c>
      <c r="E50" s="122">
        <v>45.999974199538968</v>
      </c>
      <c r="F50" s="122">
        <v>74.844986406198487</v>
      </c>
      <c r="G50" s="122">
        <v>73.508085316681147</v>
      </c>
      <c r="H50" s="122">
        <v>73.077677290771177</v>
      </c>
      <c r="I50" s="122">
        <v>99.35239676346437</v>
      </c>
    </row>
    <row r="51" spans="1:9" x14ac:dyDescent="0.25">
      <c r="A51" s="124"/>
      <c r="C51" s="175"/>
      <c r="D51" s="101" t="s">
        <v>3</v>
      </c>
      <c r="E51" s="122">
        <v>4.7330083738673618</v>
      </c>
      <c r="F51" s="122">
        <v>8.2935956418792394</v>
      </c>
      <c r="G51" s="122">
        <v>2.8902589420545941</v>
      </c>
      <c r="H51" s="122">
        <v>4.8584421722590854</v>
      </c>
      <c r="I51" s="122">
        <v>34.456923394786394</v>
      </c>
    </row>
    <row r="52" spans="1:9" x14ac:dyDescent="0.25">
      <c r="A52" s="124"/>
      <c r="C52" s="175"/>
      <c r="D52" s="101" t="s">
        <v>11</v>
      </c>
      <c r="E52" s="102">
        <v>3</v>
      </c>
      <c r="F52" s="102">
        <v>3</v>
      </c>
      <c r="G52" s="102">
        <v>3</v>
      </c>
      <c r="H52" s="102">
        <v>3</v>
      </c>
      <c r="I52" s="102">
        <v>3</v>
      </c>
    </row>
    <row r="53" spans="1:9" x14ac:dyDescent="0.25">
      <c r="A53" s="5"/>
    </row>
    <row r="54" spans="1:9" x14ac:dyDescent="0.25">
      <c r="A54" s="5"/>
    </row>
    <row r="55" spans="1:9" x14ac:dyDescent="0.25">
      <c r="A55" s="5"/>
    </row>
    <row r="60" spans="1:9" x14ac:dyDescent="0.25">
      <c r="A60" s="5"/>
    </row>
    <row r="61" spans="1:9" x14ac:dyDescent="0.25">
      <c r="A61" s="5"/>
    </row>
    <row r="62" spans="1:9" x14ac:dyDescent="0.25">
      <c r="A62" s="5"/>
    </row>
    <row r="63" spans="1:9" x14ac:dyDescent="0.25">
      <c r="A63" s="5"/>
    </row>
    <row r="64" spans="1:9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</sheetData>
  <mergeCells count="20">
    <mergeCell ref="C41:C43"/>
    <mergeCell ref="C44:C46"/>
    <mergeCell ref="C47:C49"/>
    <mergeCell ref="C50:C52"/>
    <mergeCell ref="A6:A14"/>
    <mergeCell ref="A19:A26"/>
    <mergeCell ref="A30:A35"/>
    <mergeCell ref="A40:A52"/>
    <mergeCell ref="C30:E30"/>
    <mergeCell ref="F30:H30"/>
    <mergeCell ref="I30:K30"/>
    <mergeCell ref="L30:N30"/>
    <mergeCell ref="C6:E6"/>
    <mergeCell ref="F6:H6"/>
    <mergeCell ref="I6:K6"/>
    <mergeCell ref="L6:N6"/>
    <mergeCell ref="C19:E19"/>
    <mergeCell ref="F19:H19"/>
    <mergeCell ref="I19:K19"/>
    <mergeCell ref="L19:N19"/>
  </mergeCells>
  <hyperlinks>
    <hyperlink ref="C41" r:id="rId1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topLeftCell="A28" workbookViewId="0">
      <selection activeCell="O15" sqref="O15"/>
    </sheetView>
  </sheetViews>
  <sheetFormatPr defaultColWidth="11.42578125" defaultRowHeight="15" x14ac:dyDescent="0.25"/>
  <cols>
    <col min="1" max="1" width="28.42578125" style="201" customWidth="1"/>
    <col min="2" max="16384" width="11.42578125" style="177"/>
  </cols>
  <sheetData>
    <row r="1" spans="1:11" x14ac:dyDescent="0.25">
      <c r="A1" s="177" t="s">
        <v>69</v>
      </c>
    </row>
    <row r="2" spans="1:11" x14ac:dyDescent="0.25">
      <c r="A2" s="177"/>
    </row>
    <row r="3" spans="1:11" x14ac:dyDescent="0.25">
      <c r="A3" s="177" t="s">
        <v>43</v>
      </c>
    </row>
    <row r="4" spans="1:11" x14ac:dyDescent="0.25">
      <c r="A4" s="178" t="s">
        <v>52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1" x14ac:dyDescent="0.25">
      <c r="A5" s="180"/>
    </row>
    <row r="6" spans="1:11" x14ac:dyDescent="0.25">
      <c r="A6" s="181" t="s">
        <v>50</v>
      </c>
      <c r="B6" s="182" t="s">
        <v>74</v>
      </c>
      <c r="C6" s="183" t="s">
        <v>45</v>
      </c>
      <c r="D6" s="184"/>
      <c r="E6" s="185"/>
      <c r="F6" s="183" t="s">
        <v>0</v>
      </c>
      <c r="G6" s="184"/>
      <c r="H6" s="185"/>
      <c r="I6" s="183" t="s">
        <v>5</v>
      </c>
      <c r="J6" s="184"/>
      <c r="K6" s="185"/>
    </row>
    <row r="7" spans="1:11" x14ac:dyDescent="0.25">
      <c r="A7" s="181"/>
      <c r="B7" s="182">
        <v>20</v>
      </c>
      <c r="C7" s="182">
        <v>14836627</v>
      </c>
      <c r="D7" s="182">
        <v>26362784</v>
      </c>
      <c r="E7" s="182">
        <v>23595324</v>
      </c>
      <c r="F7" s="182">
        <v>136188080</v>
      </c>
      <c r="G7" s="182">
        <v>118376920</v>
      </c>
      <c r="H7" s="182">
        <v>76572624</v>
      </c>
      <c r="I7" s="182">
        <v>135727024</v>
      </c>
      <c r="J7" s="182">
        <v>148598752</v>
      </c>
      <c r="K7" s="182">
        <v>161042336</v>
      </c>
    </row>
    <row r="8" spans="1:11" x14ac:dyDescent="0.25">
      <c r="A8" s="181"/>
      <c r="B8" s="182">
        <v>10</v>
      </c>
      <c r="C8" s="182">
        <v>76845104</v>
      </c>
      <c r="D8" s="182">
        <v>99936968</v>
      </c>
      <c r="E8" s="182">
        <v>99598312</v>
      </c>
      <c r="F8" s="182">
        <v>128669440</v>
      </c>
      <c r="G8" s="182">
        <v>137836000</v>
      </c>
      <c r="H8" s="182">
        <v>143928240</v>
      </c>
      <c r="I8" s="182">
        <v>139169088</v>
      </c>
      <c r="J8" s="182">
        <v>120271256</v>
      </c>
      <c r="K8" s="182">
        <v>144718976</v>
      </c>
    </row>
    <row r="9" spans="1:11" x14ac:dyDescent="0.25">
      <c r="A9" s="181"/>
      <c r="B9" s="182">
        <v>5</v>
      </c>
      <c r="C9" s="182">
        <v>140353216</v>
      </c>
      <c r="D9" s="182">
        <v>148523856</v>
      </c>
      <c r="E9" s="182">
        <v>152003840</v>
      </c>
      <c r="F9" s="182">
        <v>142134592</v>
      </c>
      <c r="G9" s="182">
        <v>140105920</v>
      </c>
      <c r="H9" s="182">
        <v>129322040</v>
      </c>
      <c r="I9" s="182">
        <v>138687184</v>
      </c>
      <c r="J9" s="182">
        <v>129981240</v>
      </c>
      <c r="K9" s="182">
        <v>133221408</v>
      </c>
    </row>
    <row r="10" spans="1:11" x14ac:dyDescent="0.25">
      <c r="A10" s="181"/>
      <c r="B10" s="182">
        <v>2.5</v>
      </c>
      <c r="C10" s="182">
        <v>144675568</v>
      </c>
      <c r="D10" s="182">
        <v>151034736</v>
      </c>
      <c r="E10" s="182">
        <v>157815568</v>
      </c>
      <c r="F10" s="182">
        <v>142979168</v>
      </c>
      <c r="G10" s="182">
        <v>138753216</v>
      </c>
      <c r="H10" s="182">
        <v>146334544</v>
      </c>
      <c r="I10" s="182">
        <v>134129176</v>
      </c>
      <c r="J10" s="182">
        <v>134658112</v>
      </c>
      <c r="K10" s="182">
        <v>134581856</v>
      </c>
    </row>
    <row r="11" spans="1:11" x14ac:dyDescent="0.25">
      <c r="A11" s="181"/>
      <c r="B11" s="182">
        <v>1.25</v>
      </c>
      <c r="C11" s="182">
        <v>149747552</v>
      </c>
      <c r="D11" s="182">
        <v>154902464</v>
      </c>
      <c r="E11" s="182">
        <v>161531952</v>
      </c>
      <c r="F11" s="182">
        <v>142690320</v>
      </c>
      <c r="G11" s="182">
        <v>139096064</v>
      </c>
      <c r="H11" s="182">
        <v>144721696</v>
      </c>
      <c r="I11" s="182">
        <v>135996864</v>
      </c>
      <c r="J11" s="182">
        <v>129056664</v>
      </c>
      <c r="K11" s="182">
        <v>134704496</v>
      </c>
    </row>
    <row r="12" spans="1:11" x14ac:dyDescent="0.25">
      <c r="A12" s="181"/>
      <c r="B12" s="182">
        <v>0.625</v>
      </c>
      <c r="C12" s="182">
        <v>157144832</v>
      </c>
      <c r="D12" s="182">
        <v>155717376</v>
      </c>
      <c r="E12" s="182">
        <v>152418192</v>
      </c>
      <c r="F12" s="182">
        <v>144350672</v>
      </c>
      <c r="G12" s="182">
        <v>153128288</v>
      </c>
      <c r="H12" s="182">
        <v>155967744</v>
      </c>
      <c r="I12" s="182">
        <v>133038384</v>
      </c>
      <c r="J12" s="182">
        <v>138413728</v>
      </c>
      <c r="K12" s="182">
        <v>142716016</v>
      </c>
    </row>
    <row r="13" spans="1:11" x14ac:dyDescent="0.25">
      <c r="A13" s="181"/>
      <c r="B13" s="182">
        <v>0</v>
      </c>
      <c r="C13" s="182">
        <v>149554352</v>
      </c>
      <c r="D13" s="182">
        <v>139688224</v>
      </c>
      <c r="E13" s="182">
        <v>153725664</v>
      </c>
      <c r="F13" s="182">
        <v>154642496</v>
      </c>
      <c r="G13" s="182">
        <v>157309312</v>
      </c>
      <c r="H13" s="182">
        <v>159775616</v>
      </c>
      <c r="I13" s="182">
        <v>155264496</v>
      </c>
      <c r="J13" s="182">
        <v>153097568</v>
      </c>
      <c r="K13" s="182">
        <v>152934848</v>
      </c>
    </row>
    <row r="14" spans="1:11" x14ac:dyDescent="0.25">
      <c r="A14" s="181"/>
      <c r="B14" s="186" t="s">
        <v>49</v>
      </c>
      <c r="C14" s="186">
        <v>12740810</v>
      </c>
      <c r="D14" s="186">
        <v>15818257</v>
      </c>
      <c r="E14" s="187"/>
      <c r="F14" s="182"/>
      <c r="G14" s="182"/>
      <c r="H14" s="182"/>
      <c r="I14" s="182"/>
      <c r="J14" s="182"/>
      <c r="K14" s="182"/>
    </row>
    <row r="15" spans="1:11" x14ac:dyDescent="0.25">
      <c r="A15" s="180"/>
      <c r="B15" s="186" t="s">
        <v>75</v>
      </c>
      <c r="C15" s="186">
        <f>AVERAGE(C14:D14)</f>
        <v>14279533.5</v>
      </c>
      <c r="D15" s="186"/>
    </row>
    <row r="16" spans="1:11" x14ac:dyDescent="0.25">
      <c r="A16" s="180"/>
    </row>
    <row r="17" spans="1:11" x14ac:dyDescent="0.25">
      <c r="A17" s="188" t="s">
        <v>76</v>
      </c>
    </row>
    <row r="19" spans="1:11" x14ac:dyDescent="0.25">
      <c r="A19" s="181" t="s">
        <v>50</v>
      </c>
      <c r="B19" s="182" t="s">
        <v>74</v>
      </c>
      <c r="C19" s="183" t="s">
        <v>45</v>
      </c>
      <c r="D19" s="184"/>
      <c r="E19" s="185"/>
      <c r="F19" s="183" t="s">
        <v>0</v>
      </c>
      <c r="G19" s="184"/>
      <c r="H19" s="185"/>
      <c r="I19" s="183" t="s">
        <v>5</v>
      </c>
      <c r="J19" s="184"/>
      <c r="K19" s="185"/>
    </row>
    <row r="20" spans="1:11" x14ac:dyDescent="0.25">
      <c r="A20" s="181"/>
      <c r="B20" s="182">
        <v>20</v>
      </c>
      <c r="C20" s="189">
        <f t="shared" ref="C20:K20" si="0">C7-14279533.5</f>
        <v>557093.5</v>
      </c>
      <c r="D20" s="189">
        <f t="shared" si="0"/>
        <v>12083250.5</v>
      </c>
      <c r="E20" s="189">
        <f t="shared" si="0"/>
        <v>9315790.5</v>
      </c>
      <c r="F20" s="189">
        <f t="shared" si="0"/>
        <v>121908546.5</v>
      </c>
      <c r="G20" s="189">
        <f t="shared" si="0"/>
        <v>104097386.5</v>
      </c>
      <c r="H20" s="189">
        <f t="shared" si="0"/>
        <v>62293090.5</v>
      </c>
      <c r="I20" s="189">
        <f t="shared" si="0"/>
        <v>121447490.5</v>
      </c>
      <c r="J20" s="189">
        <f t="shared" si="0"/>
        <v>134319218.5</v>
      </c>
      <c r="K20" s="189">
        <f t="shared" si="0"/>
        <v>146762802.5</v>
      </c>
    </row>
    <row r="21" spans="1:11" x14ac:dyDescent="0.25">
      <c r="A21" s="181"/>
      <c r="B21" s="182">
        <v>10</v>
      </c>
      <c r="C21" s="189">
        <f t="shared" ref="C21:K21" si="1">C8-14279533.5</f>
        <v>62565570.5</v>
      </c>
      <c r="D21" s="189">
        <f t="shared" si="1"/>
        <v>85657434.5</v>
      </c>
      <c r="E21" s="189">
        <f t="shared" si="1"/>
        <v>85318778.5</v>
      </c>
      <c r="F21" s="189">
        <f t="shared" si="1"/>
        <v>114389906.5</v>
      </c>
      <c r="G21" s="189">
        <f t="shared" si="1"/>
        <v>123556466.5</v>
      </c>
      <c r="H21" s="189">
        <f t="shared" si="1"/>
        <v>129648706.5</v>
      </c>
      <c r="I21" s="189">
        <f t="shared" si="1"/>
        <v>124889554.5</v>
      </c>
      <c r="J21" s="189">
        <f t="shared" si="1"/>
        <v>105991722.5</v>
      </c>
      <c r="K21" s="189">
        <f t="shared" si="1"/>
        <v>130439442.5</v>
      </c>
    </row>
    <row r="22" spans="1:11" x14ac:dyDescent="0.25">
      <c r="A22" s="181"/>
      <c r="B22" s="182">
        <v>5</v>
      </c>
      <c r="C22" s="189">
        <f t="shared" ref="C22:K22" si="2">C9-14279533.5</f>
        <v>126073682.5</v>
      </c>
      <c r="D22" s="189">
        <f t="shared" si="2"/>
        <v>134244322.5</v>
      </c>
      <c r="E22" s="189">
        <f t="shared" si="2"/>
        <v>137724306.5</v>
      </c>
      <c r="F22" s="189">
        <f t="shared" si="2"/>
        <v>127855058.5</v>
      </c>
      <c r="G22" s="189">
        <f t="shared" si="2"/>
        <v>125826386.5</v>
      </c>
      <c r="H22" s="189">
        <f t="shared" si="2"/>
        <v>115042506.5</v>
      </c>
      <c r="I22" s="189">
        <f t="shared" si="2"/>
        <v>124407650.5</v>
      </c>
      <c r="J22" s="189">
        <f t="shared" si="2"/>
        <v>115701706.5</v>
      </c>
      <c r="K22" s="189">
        <f t="shared" si="2"/>
        <v>118941874.5</v>
      </c>
    </row>
    <row r="23" spans="1:11" x14ac:dyDescent="0.25">
      <c r="A23" s="181"/>
      <c r="B23" s="182">
        <v>2.5</v>
      </c>
      <c r="C23" s="189">
        <f t="shared" ref="C23:K23" si="3">C10-14279533.5</f>
        <v>130396034.5</v>
      </c>
      <c r="D23" s="189">
        <f t="shared" si="3"/>
        <v>136755202.5</v>
      </c>
      <c r="E23" s="189">
        <f t="shared" si="3"/>
        <v>143536034.5</v>
      </c>
      <c r="F23" s="189">
        <f t="shared" si="3"/>
        <v>128699634.5</v>
      </c>
      <c r="G23" s="189">
        <f t="shared" si="3"/>
        <v>124473682.5</v>
      </c>
      <c r="H23" s="189">
        <f t="shared" si="3"/>
        <v>132055010.5</v>
      </c>
      <c r="I23" s="189">
        <f t="shared" si="3"/>
        <v>119849642.5</v>
      </c>
      <c r="J23" s="189">
        <f t="shared" si="3"/>
        <v>120378578.5</v>
      </c>
      <c r="K23" s="189">
        <f t="shared" si="3"/>
        <v>120302322.5</v>
      </c>
    </row>
    <row r="24" spans="1:11" x14ac:dyDescent="0.25">
      <c r="A24" s="181"/>
      <c r="B24" s="182">
        <v>1.25</v>
      </c>
      <c r="C24" s="189">
        <f t="shared" ref="C24:K24" si="4">C11-14279533.5</f>
        <v>135468018.5</v>
      </c>
      <c r="D24" s="189">
        <f t="shared" si="4"/>
        <v>140622930.5</v>
      </c>
      <c r="E24" s="189">
        <f t="shared" si="4"/>
        <v>147252418.5</v>
      </c>
      <c r="F24" s="189">
        <f t="shared" si="4"/>
        <v>128410786.5</v>
      </c>
      <c r="G24" s="189">
        <f t="shared" si="4"/>
        <v>124816530.5</v>
      </c>
      <c r="H24" s="189">
        <f t="shared" si="4"/>
        <v>130442162.5</v>
      </c>
      <c r="I24" s="189">
        <f t="shared" si="4"/>
        <v>121717330.5</v>
      </c>
      <c r="J24" s="189">
        <f t="shared" si="4"/>
        <v>114777130.5</v>
      </c>
      <c r="K24" s="189">
        <f t="shared" si="4"/>
        <v>120424962.5</v>
      </c>
    </row>
    <row r="25" spans="1:11" x14ac:dyDescent="0.25">
      <c r="A25" s="181"/>
      <c r="B25" s="182">
        <v>0.625</v>
      </c>
      <c r="C25" s="189">
        <f t="shared" ref="C25:K25" si="5">C12-14279533.5</f>
        <v>142865298.5</v>
      </c>
      <c r="D25" s="189">
        <f t="shared" si="5"/>
        <v>141437842.5</v>
      </c>
      <c r="E25" s="189">
        <f t="shared" si="5"/>
        <v>138138658.5</v>
      </c>
      <c r="F25" s="189">
        <f t="shared" si="5"/>
        <v>130071138.5</v>
      </c>
      <c r="G25" s="189">
        <f t="shared" si="5"/>
        <v>138848754.5</v>
      </c>
      <c r="H25" s="189">
        <f t="shared" si="5"/>
        <v>141688210.5</v>
      </c>
      <c r="I25" s="189">
        <f t="shared" si="5"/>
        <v>118758850.5</v>
      </c>
      <c r="J25" s="189">
        <f t="shared" si="5"/>
        <v>124134194.5</v>
      </c>
      <c r="K25" s="189">
        <f t="shared" si="5"/>
        <v>128436482.5</v>
      </c>
    </row>
    <row r="26" spans="1:11" x14ac:dyDescent="0.25">
      <c r="A26" s="181"/>
      <c r="B26" s="190">
        <v>0</v>
      </c>
      <c r="C26" s="191">
        <f t="shared" ref="C26:K26" si="6">C13-14279533.5</f>
        <v>135274818.5</v>
      </c>
      <c r="D26" s="191">
        <f t="shared" si="6"/>
        <v>125408690.5</v>
      </c>
      <c r="E26" s="191">
        <f t="shared" si="6"/>
        <v>139446130.5</v>
      </c>
      <c r="F26" s="191">
        <f t="shared" si="6"/>
        <v>140362962.5</v>
      </c>
      <c r="G26" s="191">
        <f t="shared" si="6"/>
        <v>143029778.5</v>
      </c>
      <c r="H26" s="191">
        <f t="shared" si="6"/>
        <v>145496082.5</v>
      </c>
      <c r="I26" s="191">
        <f t="shared" si="6"/>
        <v>140984962.5</v>
      </c>
      <c r="J26" s="191">
        <f t="shared" si="6"/>
        <v>138818034.5</v>
      </c>
      <c r="K26" s="191">
        <f t="shared" si="6"/>
        <v>138655314.5</v>
      </c>
    </row>
    <row r="27" spans="1:11" x14ac:dyDescent="0.25">
      <c r="A27" s="192"/>
      <c r="B27" s="190" t="s">
        <v>73</v>
      </c>
      <c r="C27" s="191">
        <f>AVERAGE(C26:E26)</f>
        <v>133376546.5</v>
      </c>
      <c r="D27" s="193"/>
      <c r="E27" s="193"/>
      <c r="F27" s="191">
        <f>AVERAGE(F26:H26)</f>
        <v>142962941.16666666</v>
      </c>
      <c r="G27" s="193"/>
      <c r="H27" s="193"/>
      <c r="I27" s="191">
        <f>AVERAGE(I26:K26)</f>
        <v>139486103.83333334</v>
      </c>
      <c r="J27" s="193"/>
      <c r="K27" s="193"/>
    </row>
    <row r="28" spans="1:11" s="196" customFormat="1" x14ac:dyDescent="0.25">
      <c r="A28" s="194"/>
      <c r="B28" s="195"/>
      <c r="C28" s="195"/>
      <c r="F28" s="195"/>
      <c r="I28" s="195"/>
    </row>
    <row r="29" spans="1:11" s="196" customFormat="1" x14ac:dyDescent="0.25">
      <c r="A29" s="194"/>
      <c r="B29" s="195"/>
      <c r="C29" s="195"/>
      <c r="F29" s="195"/>
      <c r="I29" s="195"/>
    </row>
    <row r="30" spans="1:11" x14ac:dyDescent="0.25">
      <c r="A30" s="197" t="s">
        <v>9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</row>
    <row r="31" spans="1:11" x14ac:dyDescent="0.25">
      <c r="A31" s="180"/>
    </row>
    <row r="32" spans="1:11" x14ac:dyDescent="0.25">
      <c r="A32" s="198" t="s">
        <v>51</v>
      </c>
      <c r="B32" s="182" t="s">
        <v>74</v>
      </c>
      <c r="C32" s="183" t="s">
        <v>45</v>
      </c>
      <c r="D32" s="184"/>
      <c r="E32" s="185"/>
      <c r="F32" s="183" t="s">
        <v>0</v>
      </c>
      <c r="G32" s="184"/>
      <c r="H32" s="185"/>
      <c r="I32" s="183" t="s">
        <v>5</v>
      </c>
      <c r="J32" s="184"/>
      <c r="K32" s="185"/>
    </row>
    <row r="33" spans="1:11" x14ac:dyDescent="0.25">
      <c r="A33" s="198"/>
      <c r="B33" s="182">
        <v>20</v>
      </c>
      <c r="C33" s="189">
        <f t="shared" ref="C33:C39" si="7">C20*100/133376547</f>
        <v>0.41768475232755875</v>
      </c>
      <c r="D33" s="189">
        <f t="shared" ref="D33:E33" si="8">D20*100/133376547</f>
        <v>9.0595016678606921</v>
      </c>
      <c r="E33" s="189">
        <f t="shared" si="8"/>
        <v>6.9845791554342762</v>
      </c>
      <c r="F33" s="189">
        <f t="shared" ref="F33:F39" si="9">F20*100/142962941</f>
        <v>85.272830600204287</v>
      </c>
      <c r="G33" s="189">
        <f t="shared" ref="G33:H33" si="10">G20*100/142962941</f>
        <v>72.814245266540794</v>
      </c>
      <c r="H33" s="189">
        <f t="shared" si="10"/>
        <v>43.572893831276176</v>
      </c>
      <c r="I33" s="189">
        <f t="shared" ref="I33:I39" si="11">I20*100/139486104</f>
        <v>87.06780605184872</v>
      </c>
      <c r="J33" s="189">
        <f t="shared" ref="J33:K33" si="12">J20*100/139486104</f>
        <v>96.295770437462352</v>
      </c>
      <c r="K33" s="189">
        <f t="shared" si="12"/>
        <v>105.2167909858605</v>
      </c>
    </row>
    <row r="34" spans="1:11" x14ac:dyDescent="0.25">
      <c r="A34" s="198"/>
      <c r="B34" s="182">
        <v>10</v>
      </c>
      <c r="C34" s="189">
        <f t="shared" si="7"/>
        <v>46.908974559072966</v>
      </c>
      <c r="D34" s="189">
        <f t="shared" ref="D34:E39" si="13">D21*100/133376547</f>
        <v>64.222261279563639</v>
      </c>
      <c r="E34" s="189">
        <f t="shared" si="13"/>
        <v>63.968351572334527</v>
      </c>
      <c r="F34" s="189">
        <f t="shared" si="9"/>
        <v>80.013677460650456</v>
      </c>
      <c r="G34" s="189">
        <f t="shared" ref="G34:H39" si="14">G21*100/142962941</f>
        <v>86.425520932728986</v>
      </c>
      <c r="H34" s="189">
        <f t="shared" si="14"/>
        <v>90.686932986360432</v>
      </c>
      <c r="I34" s="189">
        <f t="shared" si="11"/>
        <v>89.535481254820908</v>
      </c>
      <c r="J34" s="189">
        <f t="shared" ref="J34:K39" si="15">J21*100/139486104</f>
        <v>75.987298706113407</v>
      </c>
      <c r="K34" s="189">
        <f t="shared" si="15"/>
        <v>93.514291932621475</v>
      </c>
    </row>
    <row r="35" spans="1:11" x14ac:dyDescent="0.25">
      <c r="A35" s="198"/>
      <c r="B35" s="182">
        <v>5</v>
      </c>
      <c r="C35" s="189">
        <f t="shared" si="7"/>
        <v>94.524626207334634</v>
      </c>
      <c r="D35" s="189">
        <f t="shared" si="13"/>
        <v>100.65062075718605</v>
      </c>
      <c r="E35" s="189">
        <f t="shared" si="13"/>
        <v>103.25976312762093</v>
      </c>
      <c r="F35" s="189">
        <f t="shared" si="9"/>
        <v>89.432308544911649</v>
      </c>
      <c r="G35" s="189">
        <f t="shared" si="14"/>
        <v>88.013289052300621</v>
      </c>
      <c r="H35" s="189">
        <f t="shared" si="14"/>
        <v>80.470159396063352</v>
      </c>
      <c r="I35" s="189">
        <f t="shared" si="11"/>
        <v>89.189995943968725</v>
      </c>
      <c r="J35" s="189">
        <f t="shared" si="15"/>
        <v>82.948554144146144</v>
      </c>
      <c r="K35" s="189">
        <f t="shared" si="15"/>
        <v>85.27148661346223</v>
      </c>
    </row>
    <row r="36" spans="1:11" x14ac:dyDescent="0.25">
      <c r="A36" s="198"/>
      <c r="B36" s="182">
        <v>2.5</v>
      </c>
      <c r="C36" s="189">
        <f t="shared" si="7"/>
        <v>97.765339883930267</v>
      </c>
      <c r="D36" s="189">
        <f t="shared" si="13"/>
        <v>102.53317061806976</v>
      </c>
      <c r="E36" s="189">
        <f t="shared" si="13"/>
        <v>107.61714688865052</v>
      </c>
      <c r="F36" s="189">
        <f t="shared" si="9"/>
        <v>90.023074231524092</v>
      </c>
      <c r="G36" s="189">
        <f t="shared" si="14"/>
        <v>87.067096989841588</v>
      </c>
      <c r="H36" s="189">
        <f t="shared" si="14"/>
        <v>92.370099255302819</v>
      </c>
      <c r="I36" s="189">
        <f t="shared" si="11"/>
        <v>85.922281190103348</v>
      </c>
      <c r="J36" s="189">
        <f t="shared" si="15"/>
        <v>86.301484555049299</v>
      </c>
      <c r="K36" s="189">
        <f t="shared" si="15"/>
        <v>86.246815310003925</v>
      </c>
    </row>
    <row r="37" spans="1:11" x14ac:dyDescent="0.25">
      <c r="A37" s="198"/>
      <c r="B37" s="182">
        <v>1.25</v>
      </c>
      <c r="C37" s="189">
        <f t="shared" si="7"/>
        <v>101.56809540136018</v>
      </c>
      <c r="D37" s="189">
        <f t="shared" si="13"/>
        <v>105.4330267674421</v>
      </c>
      <c r="E37" s="189">
        <f t="shared" si="13"/>
        <v>110.40353181433015</v>
      </c>
      <c r="F37" s="189">
        <f t="shared" si="9"/>
        <v>89.821030262660869</v>
      </c>
      <c r="G37" s="189">
        <f t="shared" si="14"/>
        <v>87.306912985233012</v>
      </c>
      <c r="H37" s="189">
        <f t="shared" si="14"/>
        <v>91.241941154526188</v>
      </c>
      <c r="I37" s="189">
        <f t="shared" si="11"/>
        <v>87.26125901401619</v>
      </c>
      <c r="J37" s="189">
        <f t="shared" si="15"/>
        <v>82.285709621655215</v>
      </c>
      <c r="K37" s="189">
        <f t="shared" si="15"/>
        <v>86.334738046737613</v>
      </c>
    </row>
    <row r="38" spans="1:11" x14ac:dyDescent="0.25">
      <c r="A38" s="180"/>
      <c r="B38" s="182">
        <v>0.625</v>
      </c>
      <c r="C38" s="189">
        <f t="shared" si="7"/>
        <v>107.11425787623666</v>
      </c>
      <c r="D38" s="189">
        <f t="shared" si="13"/>
        <v>106.0440127453592</v>
      </c>
      <c r="E38" s="189">
        <f t="shared" si="13"/>
        <v>103.57042644086445</v>
      </c>
      <c r="F38" s="189">
        <f t="shared" si="9"/>
        <v>90.982416555070728</v>
      </c>
      <c r="G38" s="189">
        <f t="shared" si="14"/>
        <v>97.122200710742234</v>
      </c>
      <c r="H38" s="189">
        <f t="shared" si="14"/>
        <v>99.108348995142734</v>
      </c>
      <c r="I38" s="189">
        <f t="shared" si="11"/>
        <v>85.140273542947327</v>
      </c>
      <c r="J38" s="189">
        <f t="shared" si="15"/>
        <v>88.993950608872126</v>
      </c>
      <c r="K38" s="189">
        <f t="shared" si="15"/>
        <v>92.078335272737988</v>
      </c>
    </row>
    <row r="39" spans="1:11" x14ac:dyDescent="0.25">
      <c r="A39" s="180"/>
      <c r="B39" s="182">
        <v>0</v>
      </c>
      <c r="C39" s="189">
        <f t="shared" si="7"/>
        <v>101.42324234859672</v>
      </c>
      <c r="D39" s="189">
        <f t="shared" si="13"/>
        <v>94.026043799139586</v>
      </c>
      <c r="E39" s="189">
        <f t="shared" si="13"/>
        <v>104.55071272762819</v>
      </c>
      <c r="F39" s="189">
        <f t="shared" si="9"/>
        <v>98.181361909727357</v>
      </c>
      <c r="G39" s="189">
        <f t="shared" si="14"/>
        <v>100.0467516263533</v>
      </c>
      <c r="H39" s="189">
        <f t="shared" si="14"/>
        <v>101.77188681366033</v>
      </c>
      <c r="I39" s="189">
        <f t="shared" si="11"/>
        <v>101.07455757743438</v>
      </c>
      <c r="J39" s="189">
        <f t="shared" si="15"/>
        <v>99.52104942295901</v>
      </c>
      <c r="K39" s="189">
        <f t="shared" si="15"/>
        <v>99.404392641147965</v>
      </c>
    </row>
    <row r="40" spans="1:11" x14ac:dyDescent="0.25">
      <c r="A40" s="180"/>
      <c r="B40" s="199"/>
      <c r="C40" s="199"/>
      <c r="D40" s="199"/>
      <c r="E40" s="199"/>
      <c r="F40" s="199"/>
      <c r="G40" s="199"/>
      <c r="H40" s="199"/>
      <c r="I40" s="199"/>
      <c r="J40" s="199"/>
      <c r="K40" s="199"/>
    </row>
    <row r="41" spans="1:11" x14ac:dyDescent="0.25">
      <c r="A41" s="180"/>
      <c r="B41" s="199"/>
      <c r="C41" s="199"/>
      <c r="D41" s="199"/>
      <c r="E41" s="199"/>
      <c r="F41" s="199"/>
      <c r="G41" s="199"/>
      <c r="H41" s="199"/>
      <c r="I41" s="199"/>
      <c r="J41" s="199"/>
      <c r="K41" s="199"/>
    </row>
    <row r="42" spans="1:11" x14ac:dyDescent="0.25">
      <c r="A42" s="197" t="s">
        <v>10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</row>
    <row r="44" spans="1:11" x14ac:dyDescent="0.25">
      <c r="A44" s="181" t="s">
        <v>51</v>
      </c>
      <c r="C44" s="182" t="s">
        <v>70</v>
      </c>
      <c r="D44" s="182">
        <v>20</v>
      </c>
      <c r="E44" s="182">
        <v>10</v>
      </c>
      <c r="F44" s="182">
        <v>5</v>
      </c>
      <c r="G44" s="182">
        <v>2.5</v>
      </c>
      <c r="H44" s="182">
        <v>1.25</v>
      </c>
      <c r="I44" s="182">
        <v>0.625</v>
      </c>
    </row>
    <row r="45" spans="1:11" x14ac:dyDescent="0.25">
      <c r="A45" s="181"/>
      <c r="B45" s="200" t="s">
        <v>45</v>
      </c>
      <c r="C45" s="182" t="s">
        <v>8</v>
      </c>
      <c r="D45" s="189">
        <v>5.4872551918741754</v>
      </c>
      <c r="E45" s="189">
        <v>58.36652913699038</v>
      </c>
      <c r="F45" s="189">
        <v>99.478336697380541</v>
      </c>
      <c r="G45" s="189">
        <v>102.63855246355018</v>
      </c>
      <c r="H45" s="189">
        <v>105.80155132771081</v>
      </c>
      <c r="I45" s="189">
        <v>105.57623235415345</v>
      </c>
    </row>
    <row r="46" spans="1:11" x14ac:dyDescent="0.25">
      <c r="A46" s="181"/>
      <c r="B46" s="200"/>
      <c r="C46" s="182" t="s">
        <v>3</v>
      </c>
      <c r="D46" s="189">
        <v>4.5112896370425126</v>
      </c>
      <c r="E46" s="189">
        <v>9.923345464827996</v>
      </c>
      <c r="F46" s="189">
        <v>4.4840095552633192</v>
      </c>
      <c r="G46" s="189">
        <v>4.9267488584848147</v>
      </c>
      <c r="H46" s="189">
        <v>4.4292315265235169</v>
      </c>
      <c r="I46" s="189">
        <v>1.8176356019236992</v>
      </c>
    </row>
    <row r="47" spans="1:11" x14ac:dyDescent="0.25">
      <c r="A47" s="181"/>
      <c r="B47" s="200"/>
      <c r="C47" s="182" t="s">
        <v>11</v>
      </c>
      <c r="D47" s="189">
        <v>3</v>
      </c>
      <c r="E47" s="189">
        <v>3</v>
      </c>
      <c r="F47" s="189">
        <v>3</v>
      </c>
      <c r="G47" s="189">
        <v>3</v>
      </c>
      <c r="H47" s="189">
        <v>3</v>
      </c>
      <c r="I47" s="189"/>
    </row>
    <row r="48" spans="1:11" x14ac:dyDescent="0.25">
      <c r="A48" s="181"/>
      <c r="B48" s="200" t="s">
        <v>0</v>
      </c>
      <c r="C48" s="182" t="s">
        <v>8</v>
      </c>
      <c r="D48" s="189">
        <v>67.219989899340419</v>
      </c>
      <c r="E48" s="189">
        <v>85.708710459913291</v>
      </c>
      <c r="F48" s="189">
        <v>85.97191899775855</v>
      </c>
      <c r="G48" s="189">
        <v>89.820090158889499</v>
      </c>
      <c r="H48" s="189">
        <v>89.456628134140033</v>
      </c>
      <c r="I48" s="189">
        <v>95.737655420318561</v>
      </c>
    </row>
    <row r="49" spans="1:9" x14ac:dyDescent="0.25">
      <c r="A49" s="181"/>
      <c r="B49" s="200"/>
      <c r="C49" s="182" t="s">
        <v>3</v>
      </c>
      <c r="D49" s="189">
        <v>21.40544209934097</v>
      </c>
      <c r="E49" s="189">
        <v>5.3726119178411098</v>
      </c>
      <c r="F49" s="189">
        <v>4.8172007552349756</v>
      </c>
      <c r="G49" s="189">
        <v>2.6573219897444176</v>
      </c>
      <c r="H49" s="189">
        <v>1.9926623790134628</v>
      </c>
      <c r="I49" s="189">
        <v>4.2362033415641669</v>
      </c>
    </row>
    <row r="50" spans="1:9" x14ac:dyDescent="0.25">
      <c r="A50" s="181"/>
      <c r="B50" s="200"/>
      <c r="C50" s="182" t="s">
        <v>11</v>
      </c>
      <c r="D50" s="189">
        <v>3</v>
      </c>
      <c r="E50" s="189">
        <v>3</v>
      </c>
      <c r="F50" s="189">
        <v>3</v>
      </c>
      <c r="G50" s="189">
        <v>3</v>
      </c>
      <c r="H50" s="189">
        <v>3</v>
      </c>
      <c r="I50" s="189"/>
    </row>
    <row r="51" spans="1:9" x14ac:dyDescent="0.25">
      <c r="A51" s="181"/>
      <c r="B51" s="200" t="s">
        <v>5</v>
      </c>
      <c r="C51" s="182" t="s">
        <v>8</v>
      </c>
      <c r="D51" s="189">
        <v>96.193455825057185</v>
      </c>
      <c r="E51" s="189">
        <v>86.345690631185263</v>
      </c>
      <c r="F51" s="189">
        <v>85.803345567192366</v>
      </c>
      <c r="G51" s="189">
        <v>86.156860351718862</v>
      </c>
      <c r="H51" s="189">
        <v>85.293902227469673</v>
      </c>
      <c r="I51" s="189">
        <v>88.737519808185823</v>
      </c>
    </row>
    <row r="52" spans="1:9" x14ac:dyDescent="0.25">
      <c r="A52" s="181"/>
      <c r="B52" s="200"/>
      <c r="C52" s="182" t="s">
        <v>3</v>
      </c>
      <c r="D52" s="189">
        <v>9.0749250544387614</v>
      </c>
      <c r="E52" s="189">
        <v>9.1885769332084468</v>
      </c>
      <c r="F52" s="189">
        <v>3.1545291875556201</v>
      </c>
      <c r="G52" s="189">
        <v>0.20498224041763766</v>
      </c>
      <c r="H52" s="189">
        <v>2.6460399356319795</v>
      </c>
      <c r="I52" s="189">
        <v>3.4761318600208351</v>
      </c>
    </row>
    <row r="53" spans="1:9" x14ac:dyDescent="0.25">
      <c r="A53" s="181"/>
      <c r="B53" s="200"/>
      <c r="C53" s="182" t="s">
        <v>11</v>
      </c>
      <c r="D53" s="189">
        <v>3</v>
      </c>
      <c r="E53" s="189">
        <v>3</v>
      </c>
      <c r="F53" s="189">
        <v>3</v>
      </c>
      <c r="G53" s="189">
        <v>3</v>
      </c>
      <c r="H53" s="189">
        <v>3</v>
      </c>
      <c r="I53" s="189"/>
    </row>
    <row r="54" spans="1:9" x14ac:dyDescent="0.25">
      <c r="A54" s="181"/>
    </row>
    <row r="55" spans="1:9" x14ac:dyDescent="0.25">
      <c r="A55" s="181"/>
    </row>
    <row r="56" spans="1:9" x14ac:dyDescent="0.25">
      <c r="A56" s="181"/>
    </row>
    <row r="57" spans="1:9" x14ac:dyDescent="0.25">
      <c r="A57" s="180"/>
    </row>
    <row r="58" spans="1:9" x14ac:dyDescent="0.25">
      <c r="A58" s="180"/>
    </row>
    <row r="59" spans="1:9" x14ac:dyDescent="0.25">
      <c r="A59" s="180"/>
    </row>
    <row r="64" spans="1:9" x14ac:dyDescent="0.25">
      <c r="A64" s="180"/>
    </row>
    <row r="65" spans="1:1" x14ac:dyDescent="0.25">
      <c r="A65" s="180"/>
    </row>
    <row r="66" spans="1:1" x14ac:dyDescent="0.25">
      <c r="A66" s="180"/>
    </row>
    <row r="67" spans="1:1" x14ac:dyDescent="0.25">
      <c r="A67" s="180"/>
    </row>
    <row r="68" spans="1:1" x14ac:dyDescent="0.25">
      <c r="A68" s="180"/>
    </row>
    <row r="69" spans="1:1" x14ac:dyDescent="0.25">
      <c r="A69" s="180"/>
    </row>
    <row r="70" spans="1:1" x14ac:dyDescent="0.25">
      <c r="A70" s="180"/>
    </row>
    <row r="71" spans="1:1" x14ac:dyDescent="0.25">
      <c r="A71" s="180"/>
    </row>
    <row r="72" spans="1:1" x14ac:dyDescent="0.25">
      <c r="A72" s="180"/>
    </row>
    <row r="73" spans="1:1" x14ac:dyDescent="0.25">
      <c r="A73" s="180"/>
    </row>
    <row r="74" spans="1:1" x14ac:dyDescent="0.25">
      <c r="A74" s="180"/>
    </row>
    <row r="75" spans="1:1" x14ac:dyDescent="0.25">
      <c r="A75" s="180"/>
    </row>
  </sheetData>
  <mergeCells count="16">
    <mergeCell ref="A44:A56"/>
    <mergeCell ref="B45:B47"/>
    <mergeCell ref="B48:B50"/>
    <mergeCell ref="B51:B53"/>
    <mergeCell ref="C32:E32"/>
    <mergeCell ref="F32:H32"/>
    <mergeCell ref="I32:K32"/>
    <mergeCell ref="A6:A14"/>
    <mergeCell ref="A19:A26"/>
    <mergeCell ref="A32:A37"/>
    <mergeCell ref="C6:E6"/>
    <mergeCell ref="F6:H6"/>
    <mergeCell ref="I6:K6"/>
    <mergeCell ref="C19:E19"/>
    <mergeCell ref="F19:H19"/>
    <mergeCell ref="I19:K19"/>
  </mergeCells>
  <hyperlinks>
    <hyperlink ref="C32" r:id="rId1"/>
    <hyperlink ref="F32" r:id="rId2"/>
    <hyperlink ref="I32" r:id="rId3"/>
    <hyperlink ref="C19" r:id="rId4"/>
    <hyperlink ref="F19" r:id="rId5"/>
    <hyperlink ref="I19" r:id="rId6"/>
    <hyperlink ref="C6" r:id="rId7"/>
    <hyperlink ref="F6" r:id="rId8"/>
    <hyperlink ref="I6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1) Cytotoxicity replicate 1</vt:lpstr>
      <vt:lpstr>2) Cytotoxicity Replicate 2</vt:lpstr>
      <vt:lpstr>3) Cytotoxicity replicate 4</vt:lpstr>
      <vt:lpstr>4) Cytotoxicity Replicate 4</vt:lpstr>
      <vt:lpstr>5) Histograms</vt:lpstr>
      <vt:lpstr>6) data used in Graphpad Prism </vt:lpstr>
      <vt:lpstr>7) 6-well plate cytotoxicity</vt:lpstr>
      <vt:lpstr>8) Fib Cytox Replicate 1</vt:lpstr>
      <vt:lpstr>9) Fib Cytox Replicate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Pagal, Nympha</cp:lastModifiedBy>
  <dcterms:created xsi:type="dcterms:W3CDTF">2021-04-12T08:18:01Z</dcterms:created>
  <dcterms:modified xsi:type="dcterms:W3CDTF">2022-01-04T09:19:54Z</dcterms:modified>
</cp:coreProperties>
</file>