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eb\Desktop\oxepine-xyzs\glcox\"/>
    </mc:Choice>
  </mc:AlternateContent>
  <xr:revisionPtr revIDLastSave="0" documentId="13_ncr:1_{37684BE5-A8F7-436B-83D9-81601483EB5E}" xr6:coauthVersionLast="47" xr6:coauthVersionMax="47" xr10:uidLastSave="{00000000-0000-0000-0000-000000000000}"/>
  <bookViews>
    <workbookView xWindow="-120" yWindow="-120" windowWidth="29040" windowHeight="15840" activeTab="5" xr2:uid="{4259C506-C026-40AB-9C6F-B79AF468AC2E}"/>
  </bookViews>
  <sheets>
    <sheet name="chloroform" sheetId="1" r:id="rId1"/>
    <sheet name="js-chloroform" sheetId="2" r:id="rId2"/>
    <sheet name="chair" sheetId="3" r:id="rId3"/>
    <sheet name="halfchair" sheetId="4" r:id="rId4"/>
    <sheet name="45TH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70" i="5" l="1"/>
  <c r="S70" i="5"/>
  <c r="K70" i="5"/>
  <c r="T69" i="5"/>
  <c r="S69" i="5"/>
  <c r="K69" i="5"/>
  <c r="T68" i="5"/>
  <c r="S68" i="5"/>
  <c r="K68" i="5"/>
  <c r="T67" i="5"/>
  <c r="S67" i="5"/>
  <c r="K67" i="5"/>
  <c r="T66" i="5"/>
  <c r="S66" i="5"/>
  <c r="K66" i="5"/>
  <c r="T65" i="5"/>
  <c r="S65" i="5"/>
  <c r="K65" i="5"/>
  <c r="T64" i="5"/>
  <c r="S64" i="5"/>
  <c r="K64" i="5"/>
  <c r="T63" i="5"/>
  <c r="S63" i="5"/>
  <c r="K63" i="5"/>
  <c r="T62" i="5"/>
  <c r="S62" i="5"/>
  <c r="K62" i="5"/>
  <c r="T61" i="5"/>
  <c r="S61" i="5"/>
  <c r="K61" i="5"/>
  <c r="T60" i="5"/>
  <c r="S60" i="5"/>
  <c r="K60" i="5"/>
  <c r="T59" i="5"/>
  <c r="S59" i="5"/>
  <c r="K59" i="5"/>
  <c r="T58" i="5"/>
  <c r="S58" i="5"/>
  <c r="K58" i="5"/>
  <c r="T57" i="5"/>
  <c r="S57" i="5"/>
  <c r="K57" i="5"/>
  <c r="T56" i="5"/>
  <c r="S56" i="5"/>
  <c r="K56" i="5"/>
  <c r="T55" i="5"/>
  <c r="S55" i="5"/>
  <c r="K55" i="5"/>
  <c r="T54" i="5"/>
  <c r="S54" i="5"/>
  <c r="K54" i="5"/>
  <c r="T53" i="5"/>
  <c r="S53" i="5"/>
  <c r="K53" i="5"/>
  <c r="T52" i="5"/>
  <c r="S52" i="5"/>
  <c r="K52" i="5"/>
  <c r="T51" i="5"/>
  <c r="S51" i="5"/>
  <c r="K51" i="5"/>
  <c r="T50" i="5"/>
  <c r="S50" i="5"/>
  <c r="K50" i="5"/>
  <c r="T49" i="5"/>
  <c r="S49" i="5"/>
  <c r="K49" i="5"/>
  <c r="T48" i="5"/>
  <c r="S48" i="5"/>
  <c r="K48" i="5"/>
  <c r="T47" i="5"/>
  <c r="S47" i="5"/>
  <c r="K47" i="5"/>
  <c r="T46" i="5"/>
  <c r="S46" i="5"/>
  <c r="K46" i="5"/>
  <c r="T45" i="5"/>
  <c r="S45" i="5"/>
  <c r="K45" i="5"/>
  <c r="T44" i="5"/>
  <c r="S44" i="5"/>
  <c r="K44" i="5"/>
  <c r="T43" i="5"/>
  <c r="S43" i="5"/>
  <c r="K43" i="5"/>
  <c r="T42" i="5"/>
  <c r="S42" i="5"/>
  <c r="K42" i="5"/>
  <c r="T41" i="5"/>
  <c r="S41" i="5"/>
  <c r="K41" i="5"/>
  <c r="T40" i="5"/>
  <c r="S40" i="5"/>
  <c r="K40" i="5"/>
  <c r="T39" i="5"/>
  <c r="S39" i="5"/>
  <c r="K39" i="5"/>
  <c r="T38" i="5"/>
  <c r="S38" i="5"/>
  <c r="K38" i="5"/>
  <c r="T37" i="5"/>
  <c r="S37" i="5"/>
  <c r="K37" i="5"/>
  <c r="T36" i="5"/>
  <c r="S36" i="5"/>
  <c r="K36" i="5"/>
  <c r="T35" i="5"/>
  <c r="S35" i="5"/>
  <c r="K35" i="5"/>
  <c r="T34" i="5"/>
  <c r="S34" i="5"/>
  <c r="K34" i="5"/>
  <c r="T33" i="5"/>
  <c r="S33" i="5"/>
  <c r="K33" i="5"/>
  <c r="T32" i="5"/>
  <c r="S32" i="5"/>
  <c r="K32" i="5"/>
  <c r="T31" i="5"/>
  <c r="S31" i="5"/>
  <c r="K31" i="5"/>
  <c r="T30" i="5"/>
  <c r="S30" i="5"/>
  <c r="K30" i="5"/>
  <c r="T29" i="5"/>
  <c r="S29" i="5"/>
  <c r="K29" i="5"/>
  <c r="T28" i="5"/>
  <c r="S28" i="5"/>
  <c r="K28" i="5"/>
  <c r="T27" i="5"/>
  <c r="S27" i="5"/>
  <c r="K27" i="5"/>
  <c r="T26" i="5"/>
  <c r="S26" i="5"/>
  <c r="K26" i="5"/>
  <c r="T25" i="5"/>
  <c r="S25" i="5"/>
  <c r="K25" i="5"/>
  <c r="T24" i="5"/>
  <c r="S24" i="5"/>
  <c r="K24" i="5"/>
  <c r="T23" i="5"/>
  <c r="S23" i="5"/>
  <c r="K23" i="5"/>
  <c r="T22" i="5"/>
  <c r="S22" i="5"/>
  <c r="K22" i="5"/>
  <c r="T21" i="5"/>
  <c r="S21" i="5"/>
  <c r="K21" i="5"/>
  <c r="T20" i="5"/>
  <c r="S20" i="5"/>
  <c r="K20" i="5"/>
  <c r="T19" i="5"/>
  <c r="S19" i="5"/>
  <c r="K19" i="5"/>
  <c r="T18" i="5"/>
  <c r="S18" i="5"/>
  <c r="K18" i="5"/>
  <c r="T17" i="5"/>
  <c r="S17" i="5"/>
  <c r="K17" i="5"/>
  <c r="T16" i="5"/>
  <c r="S16" i="5"/>
  <c r="K16" i="5"/>
  <c r="T15" i="5"/>
  <c r="S15" i="5"/>
  <c r="K15" i="5"/>
  <c r="T14" i="5"/>
  <c r="S14" i="5"/>
  <c r="K14" i="5"/>
  <c r="T13" i="5"/>
  <c r="S13" i="5"/>
  <c r="K13" i="5"/>
  <c r="T12" i="5"/>
  <c r="S12" i="5"/>
  <c r="K12" i="5"/>
  <c r="T11" i="5"/>
  <c r="S11" i="5"/>
  <c r="K11" i="5"/>
  <c r="T10" i="5"/>
  <c r="S10" i="5"/>
  <c r="K10" i="5"/>
  <c r="T9" i="5"/>
  <c r="S9" i="5"/>
  <c r="K9" i="5"/>
  <c r="T8" i="5"/>
  <c r="S8" i="5"/>
  <c r="K8" i="5"/>
  <c r="T7" i="5"/>
  <c r="S7" i="5"/>
  <c r="K7" i="5"/>
  <c r="T6" i="5"/>
  <c r="S6" i="5"/>
  <c r="K6" i="5"/>
  <c r="T5" i="5"/>
  <c r="S5" i="5"/>
  <c r="K5" i="5"/>
  <c r="T4" i="5"/>
  <c r="S4" i="5"/>
  <c r="K4" i="5"/>
  <c r="T3" i="5"/>
  <c r="S3" i="5"/>
  <c r="K3" i="5"/>
  <c r="T2" i="5"/>
  <c r="S2" i="5"/>
  <c r="K2" i="5"/>
  <c r="T70" i="4"/>
  <c r="S70" i="4"/>
  <c r="K70" i="4"/>
  <c r="T69" i="4"/>
  <c r="S69" i="4"/>
  <c r="K69" i="4"/>
  <c r="T68" i="4"/>
  <c r="S68" i="4"/>
  <c r="K68" i="4"/>
  <c r="T67" i="4"/>
  <c r="S67" i="4"/>
  <c r="K67" i="4"/>
  <c r="T66" i="4"/>
  <c r="S66" i="4"/>
  <c r="K66" i="4"/>
  <c r="T65" i="4"/>
  <c r="S65" i="4"/>
  <c r="K65" i="4"/>
  <c r="T64" i="4"/>
  <c r="S64" i="4"/>
  <c r="K64" i="4"/>
  <c r="T63" i="4"/>
  <c r="S63" i="4"/>
  <c r="K63" i="4"/>
  <c r="T62" i="4"/>
  <c r="S62" i="4"/>
  <c r="K62" i="4"/>
  <c r="T61" i="4"/>
  <c r="S61" i="4"/>
  <c r="K61" i="4"/>
  <c r="T60" i="4"/>
  <c r="S60" i="4"/>
  <c r="K60" i="4"/>
  <c r="T59" i="4"/>
  <c r="S59" i="4"/>
  <c r="K59" i="4"/>
  <c r="T58" i="4"/>
  <c r="S58" i="4"/>
  <c r="K58" i="4"/>
  <c r="T57" i="4"/>
  <c r="S57" i="4"/>
  <c r="K57" i="4"/>
  <c r="T56" i="4"/>
  <c r="S56" i="4"/>
  <c r="K56" i="4"/>
  <c r="T55" i="4"/>
  <c r="S55" i="4"/>
  <c r="K55" i="4"/>
  <c r="T54" i="4"/>
  <c r="S54" i="4"/>
  <c r="K54" i="4"/>
  <c r="T53" i="4"/>
  <c r="S53" i="4"/>
  <c r="K53" i="4"/>
  <c r="T52" i="4"/>
  <c r="S52" i="4"/>
  <c r="K52" i="4"/>
  <c r="T51" i="4"/>
  <c r="S51" i="4"/>
  <c r="K51" i="4"/>
  <c r="T50" i="4"/>
  <c r="S50" i="4"/>
  <c r="K50" i="4"/>
  <c r="T49" i="4"/>
  <c r="S49" i="4"/>
  <c r="K49" i="4"/>
  <c r="T48" i="4"/>
  <c r="S48" i="4"/>
  <c r="K48" i="4"/>
  <c r="T47" i="4"/>
  <c r="S47" i="4"/>
  <c r="K47" i="4"/>
  <c r="T46" i="4"/>
  <c r="S46" i="4"/>
  <c r="K46" i="4"/>
  <c r="T45" i="4"/>
  <c r="S45" i="4"/>
  <c r="K45" i="4"/>
  <c r="T44" i="4"/>
  <c r="S44" i="4"/>
  <c r="K44" i="4"/>
  <c r="T43" i="4"/>
  <c r="S43" i="4"/>
  <c r="K43" i="4"/>
  <c r="T42" i="4"/>
  <c r="S42" i="4"/>
  <c r="K42" i="4"/>
  <c r="T41" i="4"/>
  <c r="S41" i="4"/>
  <c r="K41" i="4"/>
  <c r="T40" i="4"/>
  <c r="S40" i="4"/>
  <c r="K40" i="4"/>
  <c r="T39" i="4"/>
  <c r="S39" i="4"/>
  <c r="K39" i="4"/>
  <c r="T38" i="4"/>
  <c r="S38" i="4"/>
  <c r="K38" i="4"/>
  <c r="T37" i="4"/>
  <c r="S37" i="4"/>
  <c r="K37" i="4"/>
  <c r="T36" i="4"/>
  <c r="S36" i="4"/>
  <c r="K36" i="4"/>
  <c r="T35" i="4"/>
  <c r="S35" i="4"/>
  <c r="K35" i="4"/>
  <c r="T34" i="4"/>
  <c r="S34" i="4"/>
  <c r="K34" i="4"/>
  <c r="T33" i="4"/>
  <c r="S33" i="4"/>
  <c r="K33" i="4"/>
  <c r="T32" i="4"/>
  <c r="S32" i="4"/>
  <c r="K32" i="4"/>
  <c r="T31" i="4"/>
  <c r="S31" i="4"/>
  <c r="K31" i="4"/>
  <c r="T30" i="4"/>
  <c r="S30" i="4"/>
  <c r="K30" i="4"/>
  <c r="T29" i="4"/>
  <c r="S29" i="4"/>
  <c r="K29" i="4"/>
  <c r="T28" i="4"/>
  <c r="S28" i="4"/>
  <c r="K28" i="4"/>
  <c r="T27" i="4"/>
  <c r="S27" i="4"/>
  <c r="K27" i="4"/>
  <c r="T26" i="4"/>
  <c r="S26" i="4"/>
  <c r="K26" i="4"/>
  <c r="T25" i="4"/>
  <c r="S25" i="4"/>
  <c r="K25" i="4"/>
  <c r="T24" i="4"/>
  <c r="S24" i="4"/>
  <c r="K24" i="4"/>
  <c r="T23" i="4"/>
  <c r="S23" i="4"/>
  <c r="K23" i="4"/>
  <c r="T22" i="4"/>
  <c r="S22" i="4"/>
  <c r="K22" i="4"/>
  <c r="T21" i="4"/>
  <c r="S21" i="4"/>
  <c r="K21" i="4"/>
  <c r="T20" i="4"/>
  <c r="S20" i="4"/>
  <c r="K20" i="4"/>
  <c r="T19" i="4"/>
  <c r="S19" i="4"/>
  <c r="K19" i="4"/>
  <c r="T18" i="4"/>
  <c r="S18" i="4"/>
  <c r="K18" i="4"/>
  <c r="T17" i="4"/>
  <c r="S17" i="4"/>
  <c r="K17" i="4"/>
  <c r="T16" i="4"/>
  <c r="S16" i="4"/>
  <c r="K16" i="4"/>
  <c r="T15" i="4"/>
  <c r="S15" i="4"/>
  <c r="K15" i="4"/>
  <c r="T14" i="4"/>
  <c r="S14" i="4"/>
  <c r="K14" i="4"/>
  <c r="T13" i="4"/>
  <c r="S13" i="4"/>
  <c r="K13" i="4"/>
  <c r="T12" i="4"/>
  <c r="S12" i="4"/>
  <c r="K12" i="4"/>
  <c r="T11" i="4"/>
  <c r="S11" i="4"/>
  <c r="K11" i="4"/>
  <c r="T10" i="4"/>
  <c r="S10" i="4"/>
  <c r="K10" i="4"/>
  <c r="T9" i="4"/>
  <c r="S9" i="4"/>
  <c r="K9" i="4"/>
  <c r="T8" i="4"/>
  <c r="S8" i="4"/>
  <c r="K8" i="4"/>
  <c r="T7" i="4"/>
  <c r="S7" i="4"/>
  <c r="K7" i="4"/>
  <c r="T6" i="4"/>
  <c r="S6" i="4"/>
  <c r="K6" i="4"/>
  <c r="T5" i="4"/>
  <c r="S5" i="4"/>
  <c r="K5" i="4"/>
  <c r="T4" i="4"/>
  <c r="S4" i="4"/>
  <c r="K4" i="4"/>
  <c r="T3" i="4"/>
  <c r="S3" i="4"/>
  <c r="K3" i="4"/>
  <c r="T2" i="4"/>
  <c r="S2" i="4"/>
  <c r="K2" i="4"/>
  <c r="K47" i="3"/>
  <c r="S47" i="3"/>
  <c r="T47" i="3"/>
  <c r="K48" i="3"/>
  <c r="S48" i="3"/>
  <c r="T48" i="3"/>
  <c r="K49" i="3"/>
  <c r="S49" i="3"/>
  <c r="T49" i="3"/>
  <c r="K50" i="3"/>
  <c r="S50" i="3"/>
  <c r="T50" i="3"/>
  <c r="K51" i="3"/>
  <c r="S51" i="3"/>
  <c r="T51" i="3"/>
  <c r="K52" i="3"/>
  <c r="S52" i="3"/>
  <c r="T52" i="3"/>
  <c r="K53" i="3"/>
  <c r="S53" i="3"/>
  <c r="T53" i="3"/>
  <c r="K54" i="3"/>
  <c r="S54" i="3"/>
  <c r="T54" i="3"/>
  <c r="K55" i="3"/>
  <c r="S55" i="3"/>
  <c r="T55" i="3"/>
  <c r="K56" i="3"/>
  <c r="S56" i="3"/>
  <c r="T56" i="3"/>
  <c r="K57" i="3"/>
  <c r="S57" i="3"/>
  <c r="T57" i="3"/>
  <c r="K58" i="3"/>
  <c r="S58" i="3"/>
  <c r="T58" i="3"/>
  <c r="K59" i="3"/>
  <c r="S59" i="3"/>
  <c r="T59" i="3"/>
  <c r="K60" i="3"/>
  <c r="S60" i="3"/>
  <c r="T60" i="3"/>
  <c r="K61" i="3"/>
  <c r="S61" i="3"/>
  <c r="T61" i="3"/>
  <c r="K62" i="3"/>
  <c r="S62" i="3"/>
  <c r="T62" i="3"/>
  <c r="K63" i="3"/>
  <c r="S63" i="3"/>
  <c r="T63" i="3"/>
  <c r="K64" i="3"/>
  <c r="S64" i="3"/>
  <c r="T64" i="3"/>
  <c r="K65" i="3"/>
  <c r="S65" i="3"/>
  <c r="T65" i="3"/>
  <c r="K66" i="3"/>
  <c r="S66" i="3"/>
  <c r="T66" i="3"/>
  <c r="K67" i="3"/>
  <c r="S67" i="3"/>
  <c r="T67" i="3"/>
  <c r="K68" i="3"/>
  <c r="S68" i="3"/>
  <c r="T68" i="3"/>
  <c r="K69" i="3"/>
  <c r="S69" i="3"/>
  <c r="T69" i="3"/>
  <c r="K70" i="3"/>
  <c r="S70" i="3"/>
  <c r="T70" i="3"/>
  <c r="S3" i="3"/>
  <c r="T3" i="3"/>
  <c r="S4" i="3"/>
  <c r="T4" i="3"/>
  <c r="S5" i="3"/>
  <c r="T5" i="3"/>
  <c r="S6" i="3"/>
  <c r="T6" i="3"/>
  <c r="S7" i="3"/>
  <c r="T7" i="3"/>
  <c r="S8" i="3"/>
  <c r="T8" i="3"/>
  <c r="S9" i="3"/>
  <c r="T9" i="3"/>
  <c r="S10" i="3"/>
  <c r="T10" i="3"/>
  <c r="S11" i="3"/>
  <c r="T11" i="3"/>
  <c r="S12" i="3"/>
  <c r="T12" i="3"/>
  <c r="S13" i="3"/>
  <c r="T13" i="3"/>
  <c r="S14" i="3"/>
  <c r="T14" i="3"/>
  <c r="S15" i="3"/>
  <c r="T15" i="3"/>
  <c r="S16" i="3"/>
  <c r="T16" i="3"/>
  <c r="S17" i="3"/>
  <c r="T17" i="3"/>
  <c r="S18" i="3"/>
  <c r="T18" i="3"/>
  <c r="S19" i="3"/>
  <c r="T19" i="3"/>
  <c r="S20" i="3"/>
  <c r="T20" i="3"/>
  <c r="S21" i="3"/>
  <c r="T21" i="3"/>
  <c r="S22" i="3"/>
  <c r="T22" i="3"/>
  <c r="S23" i="3"/>
  <c r="T23" i="3"/>
  <c r="S24" i="3"/>
  <c r="T24" i="3"/>
  <c r="S25" i="3"/>
  <c r="T25" i="3"/>
  <c r="S26" i="3"/>
  <c r="T26" i="3"/>
  <c r="S27" i="3"/>
  <c r="T27" i="3"/>
  <c r="S28" i="3"/>
  <c r="T28" i="3"/>
  <c r="S29" i="3"/>
  <c r="T29" i="3"/>
  <c r="S30" i="3"/>
  <c r="T30" i="3"/>
  <c r="S31" i="3"/>
  <c r="T31" i="3"/>
  <c r="S32" i="3"/>
  <c r="T32" i="3"/>
  <c r="S33" i="3"/>
  <c r="T33" i="3"/>
  <c r="S34" i="3"/>
  <c r="T34" i="3"/>
  <c r="S35" i="3"/>
  <c r="T35" i="3"/>
  <c r="S36" i="3"/>
  <c r="T36" i="3"/>
  <c r="S37" i="3"/>
  <c r="T37" i="3"/>
  <c r="S38" i="3"/>
  <c r="T38" i="3"/>
  <c r="S39" i="3"/>
  <c r="T39" i="3"/>
  <c r="S40" i="3"/>
  <c r="T40" i="3"/>
  <c r="S41" i="3"/>
  <c r="T41" i="3"/>
  <c r="S42" i="3"/>
  <c r="T42" i="3"/>
  <c r="S43" i="3"/>
  <c r="T43" i="3"/>
  <c r="S44" i="3"/>
  <c r="T44" i="3"/>
  <c r="S45" i="3"/>
  <c r="T45" i="3"/>
  <c r="S46" i="3"/>
  <c r="T46" i="3"/>
  <c r="T2" i="3"/>
  <c r="S2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2" i="3"/>
  <c r="J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P68" i="2" s="1"/>
  <c r="J69" i="2"/>
  <c r="P69" i="2" s="1"/>
  <c r="J70" i="2"/>
  <c r="P70" i="2" s="1"/>
  <c r="K68" i="2"/>
  <c r="K69" i="2"/>
  <c r="K70" i="2"/>
  <c r="M70" i="2"/>
  <c r="O69" i="2"/>
  <c r="Q69" i="2"/>
  <c r="Q70" i="2"/>
  <c r="S69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A7" i="1"/>
  <c r="B7" i="1" s="1"/>
  <c r="A8" i="1"/>
  <c r="B8" i="1" s="1"/>
  <c r="A9" i="1"/>
  <c r="B9" i="1" s="1"/>
  <c r="A10" i="1"/>
  <c r="B10" i="1" s="1"/>
  <c r="A11" i="1"/>
  <c r="B11" i="1" s="1"/>
  <c r="A12" i="1"/>
  <c r="B12" i="1" s="1"/>
  <c r="A13" i="1"/>
  <c r="B13" i="1" s="1"/>
  <c r="A14" i="1"/>
  <c r="B14" i="1" s="1"/>
  <c r="A15" i="1"/>
  <c r="B15" i="1" s="1"/>
  <c r="A16" i="1"/>
  <c r="B16" i="1" s="1"/>
  <c r="A17" i="1"/>
  <c r="B17" i="1" s="1"/>
  <c r="A18" i="1"/>
  <c r="B18" i="1" s="1"/>
  <c r="A19" i="1"/>
  <c r="B19" i="1" s="1"/>
  <c r="A20" i="1"/>
  <c r="B20" i="1" s="1"/>
  <c r="A21" i="1"/>
  <c r="B21" i="1" s="1"/>
  <c r="A22" i="1"/>
  <c r="B22" i="1" s="1"/>
  <c r="A23" i="1"/>
  <c r="B23" i="1" s="1"/>
  <c r="A24" i="1"/>
  <c r="B24" i="1" s="1"/>
  <c r="A25" i="1"/>
  <c r="B25" i="1" s="1"/>
  <c r="A26" i="1"/>
  <c r="B26" i="1" s="1"/>
  <c r="A27" i="1"/>
  <c r="B27" i="1" s="1"/>
  <c r="A28" i="1"/>
  <c r="B28" i="1" s="1"/>
  <c r="A29" i="1"/>
  <c r="B29" i="1" s="1"/>
  <c r="A30" i="1"/>
  <c r="B30" i="1" s="1"/>
  <c r="A31" i="1"/>
  <c r="B31" i="1" s="1"/>
  <c r="A32" i="1"/>
  <c r="B32" i="1" s="1"/>
  <c r="A33" i="1"/>
  <c r="B33" i="1" s="1"/>
  <c r="A34" i="1"/>
  <c r="B34" i="1" s="1"/>
  <c r="A35" i="1"/>
  <c r="B35" i="1" s="1"/>
  <c r="A36" i="1"/>
  <c r="B36" i="1" s="1"/>
  <c r="A37" i="1"/>
  <c r="B37" i="1" s="1"/>
  <c r="A38" i="1"/>
  <c r="B38" i="1" s="1"/>
  <c r="A39" i="1"/>
  <c r="B39" i="1" s="1"/>
  <c r="A40" i="1"/>
  <c r="B40" i="1" s="1"/>
  <c r="A41" i="1"/>
  <c r="B41" i="1" s="1"/>
  <c r="A42" i="1"/>
  <c r="B42" i="1" s="1"/>
  <c r="A43" i="1"/>
  <c r="B43" i="1" s="1"/>
  <c r="A44" i="1"/>
  <c r="B44" i="1" s="1"/>
  <c r="A45" i="1"/>
  <c r="B45" i="1" s="1"/>
  <c r="A46" i="1"/>
  <c r="B46" i="1" s="1"/>
  <c r="A47" i="1"/>
  <c r="B47" i="1" s="1"/>
  <c r="A48" i="1"/>
  <c r="B48" i="1" s="1"/>
  <c r="A49" i="1"/>
  <c r="B49" i="1" s="1"/>
  <c r="A50" i="1"/>
  <c r="B50" i="1" s="1"/>
  <c r="A51" i="1"/>
  <c r="B51" i="1" s="1"/>
  <c r="A52" i="1"/>
  <c r="B52" i="1" s="1"/>
  <c r="A53" i="1"/>
  <c r="B53" i="1" s="1"/>
  <c r="A54" i="1"/>
  <c r="B54" i="1" s="1"/>
  <c r="A55" i="1"/>
  <c r="B55" i="1" s="1"/>
  <c r="A56" i="1"/>
  <c r="B56" i="1" s="1"/>
  <c r="A57" i="1"/>
  <c r="B57" i="1" s="1"/>
  <c r="A58" i="1"/>
  <c r="B58" i="1" s="1"/>
  <c r="A59" i="1"/>
  <c r="B59" i="1" s="1"/>
  <c r="A60" i="1"/>
  <c r="B60" i="1" s="1"/>
  <c r="A61" i="1"/>
  <c r="B61" i="1" s="1"/>
  <c r="A62" i="1"/>
  <c r="B62" i="1" s="1"/>
  <c r="A63" i="1"/>
  <c r="B63" i="1" s="1"/>
  <c r="A64" i="1"/>
  <c r="B64" i="1" s="1"/>
  <c r="A65" i="1"/>
  <c r="B65" i="1" s="1"/>
  <c r="A66" i="1"/>
  <c r="B66" i="1" s="1"/>
  <c r="A67" i="1"/>
  <c r="B67" i="1" s="1"/>
  <c r="A68" i="1"/>
  <c r="B68" i="1" s="1"/>
  <c r="A69" i="1"/>
  <c r="B69" i="1" s="1"/>
  <c r="A70" i="1"/>
  <c r="B70" i="1" s="1"/>
  <c r="A71" i="1"/>
  <c r="B71" i="1" s="1"/>
  <c r="A72" i="1"/>
  <c r="B72" i="1" s="1"/>
  <c r="A73" i="1"/>
  <c r="B73" i="1" s="1"/>
  <c r="A74" i="1"/>
  <c r="B74" i="1" s="1"/>
  <c r="A75" i="1"/>
  <c r="B75" i="1" s="1"/>
  <c r="M7" i="1"/>
  <c r="M8" i="1"/>
  <c r="M9" i="1"/>
  <c r="M10" i="1"/>
  <c r="M11" i="1"/>
  <c r="M12" i="1"/>
  <c r="M13" i="1"/>
  <c r="M69" i="2" l="1"/>
  <c r="S68" i="2"/>
  <c r="R69" i="2"/>
  <c r="N70" i="2"/>
  <c r="R70" i="2"/>
  <c r="N69" i="2"/>
  <c r="T69" i="2"/>
  <c r="S70" i="2"/>
  <c r="O70" i="2"/>
  <c r="M68" i="2"/>
  <c r="T70" i="2"/>
  <c r="R68" i="2"/>
  <c r="O68" i="2"/>
  <c r="T68" i="2"/>
  <c r="Q68" i="2"/>
  <c r="N68" i="2"/>
  <c r="C60" i="1"/>
  <c r="H60" i="1" s="1"/>
  <c r="I60" i="1" s="1"/>
  <c r="C68" i="1"/>
  <c r="H68" i="1" s="1"/>
  <c r="I68" i="1" s="1"/>
  <c r="C12" i="1"/>
  <c r="H12" i="1" s="1"/>
  <c r="I12" i="1" s="1"/>
  <c r="C59" i="1"/>
  <c r="H59" i="1" s="1"/>
  <c r="I59" i="1" s="1"/>
  <c r="C51" i="1"/>
  <c r="H51" i="1" s="1"/>
  <c r="I51" i="1" s="1"/>
  <c r="C43" i="1"/>
  <c r="H43" i="1" s="1"/>
  <c r="I43" i="1" s="1"/>
  <c r="C35" i="1"/>
  <c r="H35" i="1" s="1"/>
  <c r="I35" i="1" s="1"/>
  <c r="C27" i="1"/>
  <c r="H27" i="1" s="1"/>
  <c r="I27" i="1" s="1"/>
  <c r="C19" i="1"/>
  <c r="H19" i="1" s="1"/>
  <c r="I19" i="1" s="1"/>
  <c r="C11" i="1"/>
  <c r="H11" i="1" s="1"/>
  <c r="I11" i="1" s="1"/>
  <c r="C63" i="1"/>
  <c r="H63" i="1" s="1"/>
  <c r="I63" i="1" s="1"/>
  <c r="C31" i="1"/>
  <c r="H31" i="1" s="1"/>
  <c r="I31" i="1" s="1"/>
  <c r="C36" i="1"/>
  <c r="H36" i="1" s="1"/>
  <c r="I36" i="1" s="1"/>
  <c r="C33" i="1"/>
  <c r="H33" i="1" s="1"/>
  <c r="I33" i="1" s="1"/>
  <c r="C58" i="1"/>
  <c r="H58" i="1" s="1"/>
  <c r="I58" i="1" s="1"/>
  <c r="C50" i="1"/>
  <c r="H50" i="1" s="1"/>
  <c r="I50" i="1" s="1"/>
  <c r="C42" i="1"/>
  <c r="H42" i="1" s="1"/>
  <c r="C34" i="1"/>
  <c r="H34" i="1" s="1"/>
  <c r="I34" i="1" s="1"/>
  <c r="C26" i="1"/>
  <c r="H26" i="1" s="1"/>
  <c r="I26" i="1" s="1"/>
  <c r="C18" i="1"/>
  <c r="H18" i="1" s="1"/>
  <c r="I18" i="1" s="1"/>
  <c r="C10" i="1"/>
  <c r="H10" i="1" s="1"/>
  <c r="I10" i="1" s="1"/>
  <c r="C57" i="1"/>
  <c r="H57" i="1" s="1"/>
  <c r="I57" i="1" s="1"/>
  <c r="C25" i="1"/>
  <c r="H25" i="1" s="1"/>
  <c r="C55" i="1"/>
  <c r="H55" i="1" s="1"/>
  <c r="I55" i="1" s="1"/>
  <c r="C23" i="1"/>
  <c r="H23" i="1" s="1"/>
  <c r="I23" i="1" s="1"/>
  <c r="C52" i="1"/>
  <c r="H52" i="1" s="1"/>
  <c r="I52" i="1" s="1"/>
  <c r="C65" i="1"/>
  <c r="H65" i="1" s="1"/>
  <c r="C74" i="1"/>
  <c r="H74" i="1" s="1"/>
  <c r="C64" i="1"/>
  <c r="H64" i="1" s="1"/>
  <c r="C48" i="1"/>
  <c r="H48" i="1" s="1"/>
  <c r="I48" i="1" s="1"/>
  <c r="C24" i="1"/>
  <c r="H24" i="1" s="1"/>
  <c r="C8" i="1"/>
  <c r="H8" i="1" s="1"/>
  <c r="I8" i="1" s="1"/>
  <c r="C49" i="1"/>
  <c r="H49" i="1" s="1"/>
  <c r="J49" i="1" s="1"/>
  <c r="C17" i="1"/>
  <c r="H17" i="1" s="1"/>
  <c r="C20" i="1"/>
  <c r="H20" i="1" s="1"/>
  <c r="C75" i="1"/>
  <c r="H75" i="1" s="1"/>
  <c r="I75" i="1" s="1"/>
  <c r="C66" i="1"/>
  <c r="H66" i="1" s="1"/>
  <c r="C72" i="1"/>
  <c r="H72" i="1" s="1"/>
  <c r="J72" i="1" s="1"/>
  <c r="C56" i="1"/>
  <c r="H56" i="1" s="1"/>
  <c r="C40" i="1"/>
  <c r="H40" i="1" s="1"/>
  <c r="C32" i="1"/>
  <c r="H32" i="1" s="1"/>
  <c r="J32" i="1" s="1"/>
  <c r="C16" i="1"/>
  <c r="H16" i="1" s="1"/>
  <c r="I16" i="1" s="1"/>
  <c r="C47" i="1"/>
  <c r="H47" i="1" s="1"/>
  <c r="I47" i="1" s="1"/>
  <c r="C15" i="1"/>
  <c r="H15" i="1" s="1"/>
  <c r="I15" i="1" s="1"/>
  <c r="C28" i="1"/>
  <c r="H28" i="1" s="1"/>
  <c r="I28" i="1" s="1"/>
  <c r="C70" i="1"/>
  <c r="H70" i="1" s="1"/>
  <c r="I70" i="1" s="1"/>
  <c r="C62" i="1"/>
  <c r="H62" i="1" s="1"/>
  <c r="I62" i="1" s="1"/>
  <c r="C54" i="1"/>
  <c r="H54" i="1" s="1"/>
  <c r="I54" i="1" s="1"/>
  <c r="C46" i="1"/>
  <c r="H46" i="1" s="1"/>
  <c r="C38" i="1"/>
  <c r="H38" i="1" s="1"/>
  <c r="I38" i="1" s="1"/>
  <c r="C30" i="1"/>
  <c r="H30" i="1" s="1"/>
  <c r="I30" i="1" s="1"/>
  <c r="C22" i="1"/>
  <c r="H22" i="1" s="1"/>
  <c r="C14" i="1"/>
  <c r="H14" i="1" s="1"/>
  <c r="C73" i="1"/>
  <c r="H73" i="1" s="1"/>
  <c r="I73" i="1" s="1"/>
  <c r="C41" i="1"/>
  <c r="H41" i="1" s="1"/>
  <c r="C9" i="1"/>
  <c r="H9" i="1" s="1"/>
  <c r="I9" i="1" s="1"/>
  <c r="C44" i="1"/>
  <c r="H44" i="1" s="1"/>
  <c r="I44" i="1" s="1"/>
  <c r="C67" i="1"/>
  <c r="H67" i="1" s="1"/>
  <c r="I67" i="1" s="1"/>
  <c r="C69" i="1"/>
  <c r="H69" i="1" s="1"/>
  <c r="J69" i="1" s="1"/>
  <c r="C61" i="1"/>
  <c r="H61" i="1" s="1"/>
  <c r="I61" i="1" s="1"/>
  <c r="C53" i="1"/>
  <c r="H53" i="1" s="1"/>
  <c r="I53" i="1" s="1"/>
  <c r="C45" i="1"/>
  <c r="H45" i="1" s="1"/>
  <c r="J45" i="1" s="1"/>
  <c r="C37" i="1"/>
  <c r="H37" i="1" s="1"/>
  <c r="C29" i="1"/>
  <c r="H29" i="1" s="1"/>
  <c r="I29" i="1" s="1"/>
  <c r="C21" i="1"/>
  <c r="H21" i="1" s="1"/>
  <c r="I21" i="1" s="1"/>
  <c r="C13" i="1"/>
  <c r="H13" i="1" s="1"/>
  <c r="I13" i="1" s="1"/>
  <c r="C71" i="1"/>
  <c r="H71" i="1" s="1"/>
  <c r="I71" i="1" s="1"/>
  <c r="C39" i="1"/>
  <c r="H39" i="1" s="1"/>
  <c r="I39" i="1" s="1"/>
  <c r="C7" i="1"/>
  <c r="H7" i="1" s="1"/>
  <c r="I7" i="1" s="1"/>
  <c r="I69" i="1"/>
  <c r="I37" i="1"/>
  <c r="P9" i="1"/>
  <c r="I65" i="1"/>
  <c r="J41" i="1"/>
  <c r="I41" i="1"/>
  <c r="P11" i="1"/>
  <c r="I25" i="1"/>
  <c r="I17" i="1"/>
  <c r="I64" i="1"/>
  <c r="I56" i="1"/>
  <c r="I32" i="1"/>
  <c r="I24" i="1"/>
  <c r="J75" i="1"/>
  <c r="P10" i="1"/>
  <c r="P8" i="1"/>
  <c r="I45" i="1" l="1"/>
  <c r="J73" i="1"/>
  <c r="P12" i="1"/>
  <c r="I72" i="1"/>
  <c r="J61" i="1"/>
  <c r="J44" i="1"/>
  <c r="I40" i="1"/>
  <c r="I49" i="1"/>
  <c r="P7" i="1"/>
  <c r="I46" i="1"/>
  <c r="J46" i="1"/>
  <c r="I42" i="1"/>
  <c r="J42" i="1"/>
  <c r="I14" i="1"/>
  <c r="J14" i="1"/>
  <c r="I66" i="1"/>
  <c r="J66" i="1"/>
  <c r="I22" i="1"/>
  <c r="J22" i="1"/>
  <c r="I74" i="1"/>
  <c r="J74" i="1"/>
  <c r="I20" i="1"/>
  <c r="P13" i="1"/>
  <c r="G1" i="5" l="1"/>
  <c r="G1" i="4"/>
  <c r="G1" i="3"/>
  <c r="K2" i="2" l="1"/>
  <c r="AB15" i="2" l="1"/>
  <c r="AB14" i="2" l="1"/>
  <c r="AA8" i="2"/>
  <c r="AA9" i="2"/>
  <c r="AA10" i="2"/>
  <c r="AA11" i="2"/>
  <c r="AA12" i="2"/>
  <c r="AA13" i="2"/>
  <c r="AA7" i="2"/>
  <c r="AA15" i="2" l="1"/>
  <c r="AA14" i="2"/>
  <c r="R62" i="2" l="1"/>
  <c r="N64" i="2"/>
  <c r="S61" i="2"/>
  <c r="S56" i="2"/>
  <c r="N67" i="2"/>
  <c r="P59" i="2"/>
  <c r="M58" i="2"/>
  <c r="P57" i="2"/>
  <c r="P63" i="2"/>
  <c r="Q61" i="2"/>
  <c r="T63" i="2"/>
  <c r="M63" i="2"/>
  <c r="M61" i="2"/>
  <c r="Q57" i="2"/>
  <c r="M57" i="2"/>
  <c r="O57" i="2"/>
  <c r="T57" i="2"/>
  <c r="M62" i="2"/>
  <c r="T56" i="2" l="1"/>
  <c r="Q56" i="2"/>
  <c r="S59" i="2"/>
  <c r="M56" i="2"/>
  <c r="M59" i="2"/>
  <c r="O56" i="2"/>
  <c r="O59" i="2"/>
  <c r="N56" i="2"/>
  <c r="N59" i="2"/>
  <c r="Q59" i="2"/>
  <c r="N58" i="2"/>
  <c r="R67" i="2"/>
  <c r="P58" i="2"/>
  <c r="Q58" i="2"/>
  <c r="R58" i="2"/>
  <c r="P64" i="2"/>
  <c r="Q64" i="2"/>
  <c r="S64" i="2"/>
  <c r="S58" i="2"/>
  <c r="R64" i="2"/>
  <c r="N61" i="2"/>
  <c r="S67" i="2"/>
  <c r="T58" i="2"/>
  <c r="T61" i="2"/>
  <c r="T64" i="2"/>
  <c r="O61" i="2"/>
  <c r="P67" i="2"/>
  <c r="O58" i="2"/>
  <c r="R61" i="2"/>
  <c r="P61" i="2"/>
  <c r="O64" i="2"/>
  <c r="M64" i="2"/>
  <c r="M67" i="2"/>
  <c r="O67" i="2"/>
  <c r="T67" i="2"/>
  <c r="M65" i="2"/>
  <c r="N65" i="2"/>
  <c r="Q65" i="2"/>
  <c r="T65" i="2"/>
  <c r="P65" i="2"/>
  <c r="O65" i="2"/>
  <c r="S65" i="2"/>
  <c r="R65" i="2"/>
  <c r="P66" i="2"/>
  <c r="S66" i="2"/>
  <c r="N66" i="2"/>
  <c r="Q66" i="2"/>
  <c r="T66" i="2"/>
  <c r="M66" i="2"/>
  <c r="O66" i="2"/>
  <c r="R66" i="2"/>
  <c r="Q67" i="2"/>
  <c r="N62" i="2"/>
  <c r="R59" i="2"/>
  <c r="T59" i="2"/>
  <c r="P62" i="2"/>
  <c r="O62" i="2"/>
  <c r="T62" i="2"/>
  <c r="Q62" i="2"/>
  <c r="S62" i="2"/>
  <c r="S57" i="2"/>
  <c r="R57" i="2"/>
  <c r="N57" i="2"/>
  <c r="Q63" i="2"/>
  <c r="N63" i="2"/>
  <c r="S63" i="2"/>
  <c r="O63" i="2"/>
  <c r="R63" i="2"/>
  <c r="R56" i="2"/>
  <c r="M60" i="2"/>
  <c r="Q60" i="2"/>
  <c r="R60" i="2"/>
  <c r="P60" i="2"/>
  <c r="T60" i="2"/>
  <c r="S60" i="2"/>
  <c r="N60" i="2"/>
  <c r="O60" i="2"/>
  <c r="P56" i="2"/>
  <c r="F2" i="1" l="1"/>
  <c r="J62" i="1" l="1"/>
  <c r="J70" i="1"/>
  <c r="J71" i="1"/>
  <c r="J7" i="1"/>
  <c r="J27" i="1"/>
  <c r="J40" i="1"/>
  <c r="J19" i="1"/>
  <c r="J21" i="1"/>
  <c r="J55" i="1"/>
  <c r="J47" i="1"/>
  <c r="J20" i="1"/>
  <c r="J67" i="1"/>
  <c r="J30" i="1"/>
  <c r="J13" i="1"/>
  <c r="J58" i="1"/>
  <c r="J34" i="1"/>
  <c r="J39" i="1"/>
  <c r="J12" i="1"/>
  <c r="J59" i="1"/>
  <c r="J38" i="1"/>
  <c r="J56" i="1"/>
  <c r="J28" i="1"/>
  <c r="J37" i="1"/>
  <c r="J50" i="1"/>
  <c r="J26" i="1"/>
  <c r="J31" i="1"/>
  <c r="J68" i="1"/>
  <c r="J51" i="1"/>
  <c r="J10" i="1"/>
  <c r="J54" i="1"/>
  <c r="J23" i="1"/>
  <c r="J60" i="1"/>
  <c r="J43" i="1"/>
  <c r="J18" i="1"/>
  <c r="J15" i="1"/>
  <c r="J52" i="1"/>
  <c r="J35" i="1"/>
  <c r="J63" i="1"/>
  <c r="J36" i="1"/>
  <c r="J33" i="1"/>
  <c r="J11" i="1"/>
  <c r="J65" i="1"/>
  <c r="J9" i="1"/>
  <c r="J25" i="1"/>
  <c r="J29" i="1"/>
  <c r="J8" i="1"/>
  <c r="J64" i="1"/>
  <c r="J17" i="1"/>
  <c r="J16" i="1"/>
  <c r="J24" i="1"/>
  <c r="J57" i="1"/>
  <c r="J53" i="1"/>
  <c r="J48" i="1"/>
  <c r="O9" i="1"/>
  <c r="O10" i="1"/>
  <c r="O11" i="1" l="1"/>
  <c r="T9" i="2"/>
  <c r="S9" i="2"/>
  <c r="O9" i="2"/>
  <c r="R9" i="2"/>
  <c r="M9" i="2"/>
  <c r="N9" i="2"/>
  <c r="Q9" i="2"/>
  <c r="P9" i="2"/>
  <c r="P39" i="2"/>
  <c r="N39" i="2"/>
  <c r="T39" i="2"/>
  <c r="S39" i="2"/>
  <c r="O39" i="2"/>
  <c r="M39" i="2"/>
  <c r="Q39" i="2"/>
  <c r="R39" i="2"/>
  <c r="T27" i="2"/>
  <c r="Q27" i="2"/>
  <c r="M27" i="2"/>
  <c r="S27" i="2"/>
  <c r="P27" i="2"/>
  <c r="R27" i="2"/>
  <c r="N27" i="2"/>
  <c r="O27" i="2"/>
  <c r="N44" i="2"/>
  <c r="R44" i="2"/>
  <c r="P44" i="2"/>
  <c r="S44" i="2"/>
  <c r="M44" i="2"/>
  <c r="O44" i="2"/>
  <c r="Q44" i="2"/>
  <c r="T44" i="2"/>
  <c r="N37" i="2"/>
  <c r="P37" i="2"/>
  <c r="Q37" i="2"/>
  <c r="O37" i="2"/>
  <c r="R37" i="2"/>
  <c r="S37" i="2"/>
  <c r="M37" i="2"/>
  <c r="T37" i="2"/>
  <c r="N17" i="2"/>
  <c r="M17" i="2"/>
  <c r="P17" i="2"/>
  <c r="T17" i="2"/>
  <c r="O17" i="2"/>
  <c r="S17" i="2"/>
  <c r="R17" i="2"/>
  <c r="Q17" i="2"/>
  <c r="N41" i="2"/>
  <c r="R41" i="2"/>
  <c r="P41" i="2"/>
  <c r="T41" i="2"/>
  <c r="Q41" i="2"/>
  <c r="O41" i="2"/>
  <c r="M41" i="2"/>
  <c r="S41" i="2"/>
  <c r="O13" i="1"/>
  <c r="M51" i="2"/>
  <c r="O8" i="1"/>
  <c r="O7" i="1"/>
  <c r="O12" i="1"/>
  <c r="Q47" i="2"/>
  <c r="R47" i="2"/>
  <c r="S47" i="2"/>
  <c r="O47" i="2"/>
  <c r="P47" i="2"/>
  <c r="T47" i="2"/>
  <c r="N47" i="2"/>
  <c r="M47" i="2"/>
  <c r="O42" i="2"/>
  <c r="R42" i="2"/>
  <c r="P42" i="2"/>
  <c r="M42" i="2"/>
  <c r="N42" i="2"/>
  <c r="Q42" i="2"/>
  <c r="S42" i="2"/>
  <c r="T42" i="2"/>
  <c r="T48" i="2"/>
  <c r="O48" i="2"/>
  <c r="S48" i="2"/>
  <c r="Q48" i="2"/>
  <c r="M48" i="2"/>
  <c r="P48" i="2"/>
  <c r="R48" i="2"/>
  <c r="N48" i="2"/>
  <c r="S22" i="2"/>
  <c r="M22" i="2"/>
  <c r="N22" i="2"/>
  <c r="T22" i="2"/>
  <c r="P22" i="2"/>
  <c r="Q22" i="2"/>
  <c r="R22" i="2"/>
  <c r="O22" i="2"/>
  <c r="M5" i="2"/>
  <c r="S5" i="2"/>
  <c r="R5" i="2"/>
  <c r="P5" i="2"/>
  <c r="Q5" i="2"/>
  <c r="T5" i="2"/>
  <c r="O5" i="2"/>
  <c r="N5" i="2"/>
  <c r="R11" i="2"/>
  <c r="M11" i="2"/>
  <c r="N11" i="2"/>
  <c r="S11" i="2"/>
  <c r="P11" i="2"/>
  <c r="T11" i="2"/>
  <c r="Q11" i="2"/>
  <c r="O11" i="2"/>
  <c r="P16" i="2"/>
  <c r="R16" i="2"/>
  <c r="T16" i="2"/>
  <c r="Q16" i="2"/>
  <c r="O16" i="2"/>
  <c r="N16" i="2"/>
  <c r="M16" i="2"/>
  <c r="S16" i="2"/>
  <c r="Q51" i="2"/>
  <c r="N51" i="2"/>
  <c r="P55" i="2"/>
  <c r="S55" i="2"/>
  <c r="M55" i="2"/>
  <c r="T55" i="2"/>
  <c r="Q55" i="2"/>
  <c r="O55" i="2"/>
  <c r="R55" i="2"/>
  <c r="N55" i="2"/>
  <c r="R38" i="2"/>
  <c r="Q38" i="2"/>
  <c r="P38" i="2"/>
  <c r="T38" i="2"/>
  <c r="N38" i="2"/>
  <c r="M38" i="2"/>
  <c r="S38" i="2"/>
  <c r="O38" i="2"/>
  <c r="T25" i="2"/>
  <c r="Q25" i="2"/>
  <c r="O25" i="2"/>
  <c r="R25" i="2"/>
  <c r="P25" i="2"/>
  <c r="M25" i="2"/>
  <c r="S25" i="2"/>
  <c r="N25" i="2"/>
  <c r="R10" i="2"/>
  <c r="P10" i="2"/>
  <c r="S10" i="2"/>
  <c r="Q10" i="2"/>
  <c r="N10" i="2"/>
  <c r="M10" i="2"/>
  <c r="T10" i="2"/>
  <c r="O10" i="2"/>
  <c r="R26" i="2"/>
  <c r="M26" i="2"/>
  <c r="P26" i="2"/>
  <c r="Q26" i="2"/>
  <c r="T26" i="2"/>
  <c r="O26" i="2"/>
  <c r="N26" i="2"/>
  <c r="S26" i="2"/>
  <c r="R50" i="2"/>
  <c r="T50" i="2"/>
  <c r="P50" i="2"/>
  <c r="M50" i="2"/>
  <c r="S50" i="2"/>
  <c r="Q50" i="2"/>
  <c r="N50" i="2"/>
  <c r="O50" i="2"/>
  <c r="R21" i="2"/>
  <c r="N21" i="2"/>
  <c r="M21" i="2"/>
  <c r="O21" i="2"/>
  <c r="S21" i="2"/>
  <c r="P21" i="2"/>
  <c r="Q21" i="2"/>
  <c r="T21" i="2"/>
  <c r="P23" i="2"/>
  <c r="R23" i="2"/>
  <c r="T23" i="2"/>
  <c r="S23" i="2"/>
  <c r="M23" i="2"/>
  <c r="O23" i="2"/>
  <c r="N23" i="2"/>
  <c r="Q23" i="2"/>
  <c r="O34" i="2"/>
  <c r="Q34" i="2"/>
  <c r="P34" i="2"/>
  <c r="T34" i="2"/>
  <c r="M34" i="2"/>
  <c r="S34" i="2"/>
  <c r="N34" i="2"/>
  <c r="R34" i="2"/>
  <c r="N24" i="2"/>
  <c r="R24" i="2"/>
  <c r="T24" i="2"/>
  <c r="P24" i="2"/>
  <c r="M24" i="2"/>
  <c r="Q24" i="2"/>
  <c r="O24" i="2"/>
  <c r="S24" i="2"/>
  <c r="G2" i="1"/>
  <c r="B1" i="4"/>
  <c r="S49" i="2"/>
  <c r="O49" i="2"/>
  <c r="M49" i="2"/>
  <c r="N49" i="2"/>
  <c r="T49" i="2"/>
  <c r="R49" i="2"/>
  <c r="P49" i="2"/>
  <c r="Q49" i="2"/>
  <c r="T12" i="2"/>
  <c r="O12" i="2"/>
  <c r="P12" i="2"/>
  <c r="N12" i="2"/>
  <c r="Q12" i="2"/>
  <c r="R12" i="2"/>
  <c r="S12" i="2"/>
  <c r="M12" i="2"/>
  <c r="R31" i="2"/>
  <c r="M31" i="2"/>
  <c r="N31" i="2"/>
  <c r="O31" i="2"/>
  <c r="Q31" i="2"/>
  <c r="S31" i="2"/>
  <c r="T31" i="2"/>
  <c r="P31" i="2"/>
  <c r="O46" i="2"/>
  <c r="S46" i="2"/>
  <c r="T46" i="2"/>
  <c r="M46" i="2"/>
  <c r="N46" i="2"/>
  <c r="P46" i="2"/>
  <c r="R46" i="2"/>
  <c r="Q46" i="2"/>
  <c r="T18" i="2"/>
  <c r="P18" i="2"/>
  <c r="Q18" i="2"/>
  <c r="S18" i="2"/>
  <c r="N18" i="2"/>
  <c r="M18" i="2"/>
  <c r="R18" i="2"/>
  <c r="O18" i="2"/>
  <c r="N52" i="2"/>
  <c r="S52" i="2"/>
  <c r="Q52" i="2"/>
  <c r="M52" i="2"/>
  <c r="O52" i="2"/>
  <c r="R52" i="2"/>
  <c r="P52" i="2"/>
  <c r="T52" i="2"/>
  <c r="T45" i="2"/>
  <c r="M45" i="2"/>
  <c r="R45" i="2"/>
  <c r="P45" i="2"/>
  <c r="Q45" i="2"/>
  <c r="N45" i="2"/>
  <c r="S45" i="2"/>
  <c r="O45" i="2"/>
  <c r="T20" i="2"/>
  <c r="N20" i="2"/>
  <c r="R20" i="2"/>
  <c r="P20" i="2"/>
  <c r="Q20" i="2"/>
  <c r="S20" i="2"/>
  <c r="O20" i="2"/>
  <c r="M20" i="2"/>
  <c r="S14" i="2"/>
  <c r="O14" i="2"/>
  <c r="N14" i="2"/>
  <c r="T14" i="2"/>
  <c r="P14" i="2"/>
  <c r="Q14" i="2"/>
  <c r="M14" i="2"/>
  <c r="R14" i="2"/>
  <c r="T4" i="2"/>
  <c r="M4" i="2"/>
  <c r="P4" i="2"/>
  <c r="O4" i="2"/>
  <c r="R4" i="2"/>
  <c r="N4" i="2"/>
  <c r="S4" i="2"/>
  <c r="Q4" i="2"/>
  <c r="O19" i="2"/>
  <c r="R19" i="2"/>
  <c r="P19" i="2"/>
  <c r="T19" i="2"/>
  <c r="N19" i="2"/>
  <c r="Q19" i="2"/>
  <c r="S19" i="2"/>
  <c r="M19" i="2"/>
  <c r="B1" i="5"/>
  <c r="Q43" i="2"/>
  <c r="T43" i="2"/>
  <c r="N43" i="2"/>
  <c r="O43" i="2"/>
  <c r="M43" i="2"/>
  <c r="P43" i="2"/>
  <c r="R43" i="2"/>
  <c r="S43" i="2"/>
  <c r="S30" i="2"/>
  <c r="O30" i="2"/>
  <c r="P30" i="2"/>
  <c r="M30" i="2"/>
  <c r="N30" i="2"/>
  <c r="Q30" i="2"/>
  <c r="T30" i="2"/>
  <c r="R30" i="2"/>
  <c r="M3" i="2"/>
  <c r="O3" i="2"/>
  <c r="Q3" i="2"/>
  <c r="R3" i="2"/>
  <c r="S3" i="2"/>
  <c r="P3" i="2"/>
  <c r="T3" i="2"/>
  <c r="N3" i="2"/>
  <c r="O53" i="2"/>
  <c r="P53" i="2"/>
  <c r="T53" i="2"/>
  <c r="M53" i="2"/>
  <c r="S53" i="2"/>
  <c r="Q53" i="2"/>
  <c r="R53" i="2"/>
  <c r="N53" i="2"/>
  <c r="M29" i="2"/>
  <c r="Q29" i="2"/>
  <c r="R29" i="2"/>
  <c r="N29" i="2"/>
  <c r="O29" i="2"/>
  <c r="S29" i="2"/>
  <c r="P29" i="2"/>
  <c r="T29" i="2"/>
  <c r="N8" i="2"/>
  <c r="M8" i="2"/>
  <c r="T8" i="2"/>
  <c r="P8" i="2"/>
  <c r="Q8" i="2"/>
  <c r="S8" i="2"/>
  <c r="O8" i="2"/>
  <c r="R8" i="2"/>
  <c r="B1" i="3"/>
  <c r="M33" i="2"/>
  <c r="S33" i="2"/>
  <c r="O33" i="2"/>
  <c r="T33" i="2"/>
  <c r="N33" i="2"/>
  <c r="P33" i="2"/>
  <c r="R33" i="2"/>
  <c r="Q33" i="2"/>
  <c r="O7" i="2"/>
  <c r="Q7" i="2"/>
  <c r="R7" i="2"/>
  <c r="T7" i="2"/>
  <c r="P7" i="2"/>
  <c r="N7" i="2"/>
  <c r="M7" i="2"/>
  <c r="S7" i="2"/>
  <c r="Q54" i="2"/>
  <c r="T54" i="2"/>
  <c r="O54" i="2"/>
  <c r="P54" i="2"/>
  <c r="N54" i="2"/>
  <c r="M54" i="2"/>
  <c r="S54" i="2"/>
  <c r="R54" i="2"/>
  <c r="O51" i="2" l="1"/>
  <c r="P51" i="2"/>
  <c r="R51" i="2"/>
  <c r="T51" i="2"/>
  <c r="S51" i="2"/>
  <c r="Q40" i="2"/>
  <c r="O40" i="2"/>
  <c r="M40" i="2"/>
  <c r="S40" i="2"/>
  <c r="N40" i="2"/>
  <c r="R40" i="2"/>
  <c r="P40" i="2"/>
  <c r="T40" i="2"/>
  <c r="O36" i="2"/>
  <c r="N36" i="2"/>
  <c r="R36" i="2"/>
  <c r="Q36" i="2"/>
  <c r="T36" i="2"/>
  <c r="S36" i="2"/>
  <c r="M36" i="2"/>
  <c r="P36" i="2"/>
  <c r="O14" i="1"/>
  <c r="O17" i="1"/>
  <c r="R6" i="2"/>
  <c r="Q6" i="2"/>
  <c r="M6" i="2"/>
  <c r="N6" i="2"/>
  <c r="P6" i="2"/>
  <c r="T6" i="2"/>
  <c r="O6" i="2"/>
  <c r="S6" i="2"/>
  <c r="O35" i="2"/>
  <c r="N35" i="2"/>
  <c r="T35" i="2"/>
  <c r="Q35" i="2"/>
  <c r="S35" i="2"/>
  <c r="P35" i="2"/>
  <c r="R35" i="2"/>
  <c r="M35" i="2"/>
  <c r="T15" i="2"/>
  <c r="R15" i="2"/>
  <c r="N15" i="2"/>
  <c r="Q15" i="2"/>
  <c r="P15" i="2"/>
  <c r="S15" i="2"/>
  <c r="O15" i="2"/>
  <c r="M15" i="2"/>
  <c r="Q32" i="2"/>
  <c r="N32" i="2"/>
  <c r="B5" i="3" s="1"/>
  <c r="R32" i="2"/>
  <c r="P32" i="2"/>
  <c r="S32" i="2"/>
  <c r="M32" i="2"/>
  <c r="T32" i="2"/>
  <c r="O32" i="2"/>
  <c r="R28" i="2"/>
  <c r="P28" i="2"/>
  <c r="M28" i="2"/>
  <c r="Q28" i="2"/>
  <c r="N28" i="2"/>
  <c r="S28" i="2"/>
  <c r="T28" i="2"/>
  <c r="O28" i="2"/>
  <c r="T2" i="2"/>
  <c r="S2" i="2"/>
  <c r="M2" i="2"/>
  <c r="N2" i="2"/>
  <c r="P2" i="2"/>
  <c r="Q2" i="2"/>
  <c r="R2" i="2"/>
  <c r="O2" i="2"/>
  <c r="N13" i="2"/>
  <c r="R13" i="2"/>
  <c r="P13" i="2"/>
  <c r="D5" i="5" s="1"/>
  <c r="Q13" i="2"/>
  <c r="T13" i="2"/>
  <c r="O13" i="2"/>
  <c r="C5" i="5" s="1"/>
  <c r="M13" i="2"/>
  <c r="S13" i="2"/>
  <c r="B5" i="5" l="1"/>
  <c r="B8" i="6" s="1"/>
  <c r="F5" i="3"/>
  <c r="F9" i="3" s="1"/>
  <c r="Q52" i="3" s="1"/>
  <c r="S71" i="2"/>
  <c r="T71" i="2"/>
  <c r="Q71" i="2"/>
  <c r="M71" i="2"/>
  <c r="O71" i="2"/>
  <c r="R71" i="2"/>
  <c r="P71" i="2"/>
  <c r="N71" i="2"/>
  <c r="G5" i="5"/>
  <c r="G9" i="5" s="1"/>
  <c r="E5" i="5"/>
  <c r="E9" i="5" s="1"/>
  <c r="F5" i="5"/>
  <c r="F9" i="5" s="1"/>
  <c r="A5" i="5"/>
  <c r="A9" i="5" s="1"/>
  <c r="C5" i="3"/>
  <c r="C9" i="3" s="1"/>
  <c r="A5" i="3"/>
  <c r="A9" i="3" s="1"/>
  <c r="L10" i="3" s="1"/>
  <c r="D5" i="3"/>
  <c r="D9" i="3" s="1"/>
  <c r="C9" i="5"/>
  <c r="B9" i="6"/>
  <c r="F5" i="4"/>
  <c r="F9" i="4" s="1"/>
  <c r="E5" i="4"/>
  <c r="D5" i="4"/>
  <c r="B10" i="6"/>
  <c r="D9" i="5"/>
  <c r="B5" i="4"/>
  <c r="A5" i="4"/>
  <c r="A9" i="4" s="1"/>
  <c r="Q33" i="3"/>
  <c r="Q19" i="3"/>
  <c r="Q12" i="3"/>
  <c r="Q22" i="3"/>
  <c r="Q3" i="3"/>
  <c r="Q23" i="3"/>
  <c r="Q35" i="3"/>
  <c r="Q37" i="3"/>
  <c r="Q28" i="3"/>
  <c r="Q34" i="3"/>
  <c r="Q32" i="3"/>
  <c r="Q42" i="3"/>
  <c r="Q44" i="3"/>
  <c r="Q45" i="3"/>
  <c r="Q27" i="3"/>
  <c r="Q14" i="3"/>
  <c r="Q30" i="3"/>
  <c r="Q21" i="3"/>
  <c r="Q36" i="3"/>
  <c r="Q25" i="3"/>
  <c r="Q5" i="3"/>
  <c r="Q15" i="3"/>
  <c r="Q8" i="3"/>
  <c r="Q9" i="3"/>
  <c r="Q17" i="3"/>
  <c r="Q38" i="3"/>
  <c r="Q4" i="3"/>
  <c r="Q10" i="3"/>
  <c r="Q26" i="3"/>
  <c r="Q20" i="3"/>
  <c r="Q41" i="3"/>
  <c r="Q40" i="3"/>
  <c r="Q2" i="3"/>
  <c r="Q6" i="3"/>
  <c r="Q39" i="3"/>
  <c r="Q13" i="3"/>
  <c r="Q24" i="3"/>
  <c r="Q43" i="3"/>
  <c r="Q16" i="3"/>
  <c r="Q11" i="3"/>
  <c r="Q18" i="3"/>
  <c r="Q29" i="3"/>
  <c r="Q7" i="3"/>
  <c r="Q31" i="3"/>
  <c r="Q46" i="3"/>
  <c r="B9" i="3"/>
  <c r="D8" i="6"/>
  <c r="G5" i="3"/>
  <c r="G9" i="3" s="1"/>
  <c r="C5" i="4"/>
  <c r="E5" i="3"/>
  <c r="B9" i="5" l="1"/>
  <c r="Q63" i="3"/>
  <c r="Q57" i="3"/>
  <c r="Q53" i="3"/>
  <c r="Q47" i="3"/>
  <c r="Q59" i="3"/>
  <c r="Q62" i="3"/>
  <c r="Q58" i="3"/>
  <c r="Q70" i="3"/>
  <c r="Q54" i="3"/>
  <c r="Q51" i="3"/>
  <c r="Q64" i="3"/>
  <c r="Q55" i="3"/>
  <c r="Q56" i="3"/>
  <c r="Q65" i="3"/>
  <c r="Q48" i="3"/>
  <c r="F13" i="3" s="1"/>
  <c r="Q61" i="3"/>
  <c r="Q49" i="3"/>
  <c r="Q50" i="3"/>
  <c r="Q68" i="3"/>
  <c r="Q69" i="3"/>
  <c r="Q60" i="3"/>
  <c r="Q67" i="3"/>
  <c r="Q66" i="3"/>
  <c r="L34" i="3"/>
  <c r="L45" i="3"/>
  <c r="B11" i="6"/>
  <c r="L44" i="3"/>
  <c r="L5" i="3"/>
  <c r="L37" i="3"/>
  <c r="L7" i="3"/>
  <c r="L46" i="3"/>
  <c r="L6" i="3"/>
  <c r="L3" i="3"/>
  <c r="L12" i="3"/>
  <c r="L13" i="3"/>
  <c r="L17" i="3"/>
  <c r="L16" i="3"/>
  <c r="L9" i="3"/>
  <c r="L2" i="3"/>
  <c r="N47" i="3"/>
  <c r="N48" i="3"/>
  <c r="N63" i="3"/>
  <c r="N64" i="3"/>
  <c r="N50" i="3"/>
  <c r="N66" i="3"/>
  <c r="N49" i="3"/>
  <c r="N53" i="3"/>
  <c r="N54" i="3"/>
  <c r="N68" i="3"/>
  <c r="N60" i="3"/>
  <c r="N55" i="3"/>
  <c r="N56" i="3"/>
  <c r="N51" i="3"/>
  <c r="N57" i="3"/>
  <c r="N58" i="3"/>
  <c r="N69" i="3"/>
  <c r="N59" i="3"/>
  <c r="N52" i="3"/>
  <c r="N61" i="3"/>
  <c r="N62" i="3"/>
  <c r="N70" i="3"/>
  <c r="N65" i="3"/>
  <c r="N67" i="3"/>
  <c r="L21" i="3"/>
  <c r="D9" i="6"/>
  <c r="O49" i="3"/>
  <c r="O53" i="3"/>
  <c r="O57" i="3"/>
  <c r="O61" i="3"/>
  <c r="O65" i="3"/>
  <c r="O47" i="3"/>
  <c r="O51" i="3"/>
  <c r="O55" i="3"/>
  <c r="O59" i="3"/>
  <c r="O63" i="3"/>
  <c r="O67" i="3"/>
  <c r="O62" i="3"/>
  <c r="O70" i="3"/>
  <c r="O48" i="3"/>
  <c r="O64" i="3"/>
  <c r="O50" i="3"/>
  <c r="O52" i="3"/>
  <c r="O69" i="3"/>
  <c r="O54" i="3"/>
  <c r="O68" i="3"/>
  <c r="O58" i="3"/>
  <c r="O56" i="3"/>
  <c r="O60" i="3"/>
  <c r="O66" i="3"/>
  <c r="M50" i="3"/>
  <c r="M54" i="3"/>
  <c r="M58" i="3"/>
  <c r="M62" i="3"/>
  <c r="M66" i="3"/>
  <c r="M48" i="3"/>
  <c r="M52" i="3"/>
  <c r="M56" i="3"/>
  <c r="M60" i="3"/>
  <c r="M64" i="3"/>
  <c r="M49" i="3"/>
  <c r="M65" i="3"/>
  <c r="M53" i="3"/>
  <c r="M55" i="3"/>
  <c r="M57" i="3"/>
  <c r="M69" i="3"/>
  <c r="M61" i="3"/>
  <c r="M70" i="3"/>
  <c r="M59" i="3"/>
  <c r="M47" i="3"/>
  <c r="M63" i="3"/>
  <c r="M51" i="3"/>
  <c r="M67" i="3"/>
  <c r="M68" i="3"/>
  <c r="L42" i="3"/>
  <c r="L50" i="3"/>
  <c r="L51" i="3"/>
  <c r="L66" i="3"/>
  <c r="L67" i="3"/>
  <c r="L52" i="3"/>
  <c r="L68" i="3"/>
  <c r="L55" i="3"/>
  <c r="L56" i="3"/>
  <c r="L57" i="3"/>
  <c r="L69" i="3"/>
  <c r="L47" i="3"/>
  <c r="L63" i="3"/>
  <c r="L58" i="3"/>
  <c r="L59" i="3"/>
  <c r="L60" i="3"/>
  <c r="L61" i="3"/>
  <c r="L70" i="3"/>
  <c r="L62" i="3"/>
  <c r="L48" i="3"/>
  <c r="L49" i="3"/>
  <c r="L64" i="3"/>
  <c r="L65" i="3"/>
  <c r="L53" i="3"/>
  <c r="L54" i="3"/>
  <c r="R57" i="3"/>
  <c r="R58" i="3"/>
  <c r="R60" i="3"/>
  <c r="R59" i="3"/>
  <c r="R47" i="3"/>
  <c r="R48" i="3"/>
  <c r="R63" i="3"/>
  <c r="R64" i="3"/>
  <c r="R70" i="3"/>
  <c r="R49" i="3"/>
  <c r="R50" i="3"/>
  <c r="R65" i="3"/>
  <c r="R66" i="3"/>
  <c r="R54" i="3"/>
  <c r="R51" i="3"/>
  <c r="R52" i="3"/>
  <c r="R67" i="3"/>
  <c r="R53" i="3"/>
  <c r="R55" i="3"/>
  <c r="R56" i="3"/>
  <c r="R68" i="3"/>
  <c r="R69" i="3"/>
  <c r="R61" i="3"/>
  <c r="R62" i="3"/>
  <c r="L69" i="4"/>
  <c r="L65" i="4"/>
  <c r="L61" i="4"/>
  <c r="L57" i="4"/>
  <c r="L53" i="4"/>
  <c r="L49" i="4"/>
  <c r="L45" i="4"/>
  <c r="L41" i="4"/>
  <c r="L37" i="4"/>
  <c r="L33" i="4"/>
  <c r="L29" i="4"/>
  <c r="L25" i="4"/>
  <c r="L21" i="4"/>
  <c r="L17" i="4"/>
  <c r="L13" i="4"/>
  <c r="L9" i="4"/>
  <c r="L5" i="4"/>
  <c r="L68" i="4"/>
  <c r="L64" i="4"/>
  <c r="L60" i="4"/>
  <c r="L56" i="4"/>
  <c r="L52" i="4"/>
  <c r="L48" i="4"/>
  <c r="L44" i="4"/>
  <c r="L40" i="4"/>
  <c r="L36" i="4"/>
  <c r="L32" i="4"/>
  <c r="L67" i="4"/>
  <c r="L63" i="4"/>
  <c r="L59" i="4"/>
  <c r="L55" i="4"/>
  <c r="L51" i="4"/>
  <c r="L47" i="4"/>
  <c r="L43" i="4"/>
  <c r="L39" i="4"/>
  <c r="L35" i="4"/>
  <c r="L31" i="4"/>
  <c r="L27" i="4"/>
  <c r="L23" i="4"/>
  <c r="L19" i="4"/>
  <c r="L15" i="4"/>
  <c r="L11" i="4"/>
  <c r="L7" i="4"/>
  <c r="L3" i="4"/>
  <c r="L70" i="4"/>
  <c r="L54" i="4"/>
  <c r="L38" i="4"/>
  <c r="L58" i="4"/>
  <c r="L42" i="4"/>
  <c r="L28" i="4"/>
  <c r="L26" i="4"/>
  <c r="L24" i="4"/>
  <c r="L22" i="4"/>
  <c r="L20" i="4"/>
  <c r="L18" i="4"/>
  <c r="L16" i="4"/>
  <c r="L14" i="4"/>
  <c r="L12" i="4"/>
  <c r="L10" i="4"/>
  <c r="L8" i="4"/>
  <c r="L6" i="4"/>
  <c r="L4" i="4"/>
  <c r="L2" i="4"/>
  <c r="L50" i="4"/>
  <c r="L62" i="4"/>
  <c r="L46" i="4"/>
  <c r="L34" i="4"/>
  <c r="L66" i="4"/>
  <c r="L30" i="4"/>
  <c r="Q67" i="4"/>
  <c r="Q63" i="4"/>
  <c r="Q59" i="4"/>
  <c r="Q55" i="4"/>
  <c r="Q51" i="4"/>
  <c r="Q47" i="4"/>
  <c r="Q43" i="4"/>
  <c r="Q39" i="4"/>
  <c r="Q35" i="4"/>
  <c r="Q31" i="4"/>
  <c r="Q70" i="4"/>
  <c r="Q66" i="4"/>
  <c r="Q62" i="4"/>
  <c r="Q58" i="4"/>
  <c r="Q54" i="4"/>
  <c r="Q50" i="4"/>
  <c r="Q46" i="4"/>
  <c r="Q42" i="4"/>
  <c r="Q38" i="4"/>
  <c r="Q34" i="4"/>
  <c r="Q30" i="4"/>
  <c r="Q64" i="4"/>
  <c r="Q61" i="4"/>
  <c r="Q48" i="4"/>
  <c r="Q45" i="4"/>
  <c r="Q32" i="4"/>
  <c r="Q27" i="4"/>
  <c r="Q25" i="4"/>
  <c r="Q23" i="4"/>
  <c r="Q21" i="4"/>
  <c r="Q19" i="4"/>
  <c r="Q17" i="4"/>
  <c r="Q15" i="4"/>
  <c r="Q13" i="4"/>
  <c r="Q11" i="4"/>
  <c r="Q9" i="4"/>
  <c r="Q7" i="4"/>
  <c r="Q5" i="4"/>
  <c r="Q3" i="4"/>
  <c r="Q68" i="4"/>
  <c r="Q65" i="4"/>
  <c r="Q52" i="4"/>
  <c r="Q49" i="4"/>
  <c r="Q36" i="4"/>
  <c r="Q33" i="4"/>
  <c r="Q29" i="4"/>
  <c r="Q57" i="4"/>
  <c r="Q41" i="4"/>
  <c r="Q69" i="4"/>
  <c r="Q56" i="4"/>
  <c r="Q53" i="4"/>
  <c r="Q40" i="4"/>
  <c r="Q37" i="4"/>
  <c r="Q60" i="4"/>
  <c r="Q44" i="4"/>
  <c r="Q26" i="4"/>
  <c r="Q24" i="4"/>
  <c r="Q22" i="4"/>
  <c r="Q20" i="4"/>
  <c r="Q18" i="4"/>
  <c r="Q16" i="4"/>
  <c r="Q14" i="4"/>
  <c r="Q12" i="4"/>
  <c r="Q10" i="4"/>
  <c r="Q8" i="4"/>
  <c r="Q6" i="4"/>
  <c r="Q4" i="4"/>
  <c r="Q2" i="4"/>
  <c r="Q28" i="4"/>
  <c r="P68" i="5"/>
  <c r="P64" i="5"/>
  <c r="P60" i="5"/>
  <c r="P56" i="5"/>
  <c r="P52" i="5"/>
  <c r="P48" i="5"/>
  <c r="P44" i="5"/>
  <c r="P40" i="5"/>
  <c r="P36" i="5"/>
  <c r="P32" i="5"/>
  <c r="P28" i="5"/>
  <c r="P24" i="5"/>
  <c r="P20" i="5"/>
  <c r="P16" i="5"/>
  <c r="P12" i="5"/>
  <c r="P8" i="5"/>
  <c r="P67" i="5"/>
  <c r="P63" i="5"/>
  <c r="P59" i="5"/>
  <c r="P55" i="5"/>
  <c r="P51" i="5"/>
  <c r="P47" i="5"/>
  <c r="P43" i="5"/>
  <c r="P39" i="5"/>
  <c r="P35" i="5"/>
  <c r="P31" i="5"/>
  <c r="P27" i="5"/>
  <c r="P23" i="5"/>
  <c r="P19" i="5"/>
  <c r="P15" i="5"/>
  <c r="P11" i="5"/>
  <c r="P7" i="5"/>
  <c r="P3" i="5"/>
  <c r="P14" i="5"/>
  <c r="P70" i="5"/>
  <c r="P66" i="5"/>
  <c r="P62" i="5"/>
  <c r="P58" i="5"/>
  <c r="P54" i="5"/>
  <c r="P50" i="5"/>
  <c r="P46" i="5"/>
  <c r="P42" i="5"/>
  <c r="P38" i="5"/>
  <c r="P34" i="5"/>
  <c r="P30" i="5"/>
  <c r="P26" i="5"/>
  <c r="P22" i="5"/>
  <c r="P18" i="5"/>
  <c r="P10" i="5"/>
  <c r="P6" i="5"/>
  <c r="P2" i="5"/>
  <c r="P69" i="5"/>
  <c r="P65" i="5"/>
  <c r="P61" i="5"/>
  <c r="P57" i="5"/>
  <c r="P53" i="5"/>
  <c r="P49" i="5"/>
  <c r="P45" i="5"/>
  <c r="P41" i="5"/>
  <c r="P37" i="5"/>
  <c r="P33" i="5"/>
  <c r="P29" i="5"/>
  <c r="P25" i="5"/>
  <c r="P21" i="5"/>
  <c r="P17" i="5"/>
  <c r="P13" i="5"/>
  <c r="P9" i="5"/>
  <c r="P5" i="5"/>
  <c r="P4" i="5"/>
  <c r="R67" i="5"/>
  <c r="R63" i="5"/>
  <c r="R59" i="5"/>
  <c r="R55" i="5"/>
  <c r="R51" i="5"/>
  <c r="R47" i="5"/>
  <c r="R43" i="5"/>
  <c r="R39" i="5"/>
  <c r="R35" i="5"/>
  <c r="R31" i="5"/>
  <c r="R27" i="5"/>
  <c r="R23" i="5"/>
  <c r="R19" i="5"/>
  <c r="R11" i="5"/>
  <c r="R7" i="5"/>
  <c r="R70" i="5"/>
  <c r="R66" i="5"/>
  <c r="R62" i="5"/>
  <c r="R58" i="5"/>
  <c r="R54" i="5"/>
  <c r="R50" i="5"/>
  <c r="R46" i="5"/>
  <c r="R42" i="5"/>
  <c r="R38" i="5"/>
  <c r="R34" i="5"/>
  <c r="R30" i="5"/>
  <c r="R26" i="5"/>
  <c r="R22" i="5"/>
  <c r="R18" i="5"/>
  <c r="R14" i="5"/>
  <c r="R10" i="5"/>
  <c r="R6" i="5"/>
  <c r="R2" i="5"/>
  <c r="R69" i="5"/>
  <c r="R65" i="5"/>
  <c r="R61" i="5"/>
  <c r="R57" i="5"/>
  <c r="R53" i="5"/>
  <c r="R49" i="5"/>
  <c r="R45" i="5"/>
  <c r="R41" i="5"/>
  <c r="R37" i="5"/>
  <c r="R33" i="5"/>
  <c r="R29" i="5"/>
  <c r="R25" i="5"/>
  <c r="R21" i="5"/>
  <c r="R17" i="5"/>
  <c r="R13" i="5"/>
  <c r="R9" i="5"/>
  <c r="R5" i="5"/>
  <c r="R68" i="5"/>
  <c r="R64" i="5"/>
  <c r="R60" i="5"/>
  <c r="R56" i="5"/>
  <c r="R52" i="5"/>
  <c r="R48" i="5"/>
  <c r="R44" i="5"/>
  <c r="R40" i="5"/>
  <c r="R36" i="5"/>
  <c r="R32" i="5"/>
  <c r="R28" i="5"/>
  <c r="R24" i="5"/>
  <c r="R20" i="5"/>
  <c r="R16" i="5"/>
  <c r="R12" i="5"/>
  <c r="R8" i="5"/>
  <c r="R4" i="5"/>
  <c r="R3" i="5"/>
  <c r="R15" i="5"/>
  <c r="N69" i="5"/>
  <c r="N65" i="5"/>
  <c r="N61" i="5"/>
  <c r="N57" i="5"/>
  <c r="N53" i="5"/>
  <c r="N49" i="5"/>
  <c r="N45" i="5"/>
  <c r="N41" i="5"/>
  <c r="N37" i="5"/>
  <c r="N33" i="5"/>
  <c r="N29" i="5"/>
  <c r="N25" i="5"/>
  <c r="N21" i="5"/>
  <c r="N17" i="5"/>
  <c r="N13" i="5"/>
  <c r="N9" i="5"/>
  <c r="N5" i="5"/>
  <c r="N68" i="5"/>
  <c r="N64" i="5"/>
  <c r="N60" i="5"/>
  <c r="N56" i="5"/>
  <c r="N52" i="5"/>
  <c r="N48" i="5"/>
  <c r="N44" i="5"/>
  <c r="N40" i="5"/>
  <c r="N36" i="5"/>
  <c r="N32" i="5"/>
  <c r="N28" i="5"/>
  <c r="N24" i="5"/>
  <c r="N20" i="5"/>
  <c r="N16" i="5"/>
  <c r="N12" i="5"/>
  <c r="N8" i="5"/>
  <c r="N4" i="5"/>
  <c r="N3" i="5"/>
  <c r="N15" i="5"/>
  <c r="N67" i="5"/>
  <c r="N63" i="5"/>
  <c r="N59" i="5"/>
  <c r="N55" i="5"/>
  <c r="N51" i="5"/>
  <c r="N47" i="5"/>
  <c r="N43" i="5"/>
  <c r="N39" i="5"/>
  <c r="N35" i="5"/>
  <c r="N31" i="5"/>
  <c r="N27" i="5"/>
  <c r="N23" i="5"/>
  <c r="N19" i="5"/>
  <c r="N11" i="5"/>
  <c r="N7" i="5"/>
  <c r="N70" i="5"/>
  <c r="N66" i="5"/>
  <c r="N62" i="5"/>
  <c r="N58" i="5"/>
  <c r="N54" i="5"/>
  <c r="N50" i="5"/>
  <c r="N46" i="5"/>
  <c r="N42" i="5"/>
  <c r="N38" i="5"/>
  <c r="N34" i="5"/>
  <c r="N30" i="5"/>
  <c r="N26" i="5"/>
  <c r="N22" i="5"/>
  <c r="N18" i="5"/>
  <c r="N14" i="5"/>
  <c r="N10" i="5"/>
  <c r="N6" i="5"/>
  <c r="N2" i="5"/>
  <c r="L70" i="5"/>
  <c r="L66" i="5"/>
  <c r="L62" i="5"/>
  <c r="L58" i="5"/>
  <c r="L54" i="5"/>
  <c r="L50" i="5"/>
  <c r="L46" i="5"/>
  <c r="L42" i="5"/>
  <c r="L38" i="5"/>
  <c r="L34" i="5"/>
  <c r="L30" i="5"/>
  <c r="L26" i="5"/>
  <c r="L22" i="5"/>
  <c r="L18" i="5"/>
  <c r="L14" i="5"/>
  <c r="L10" i="5"/>
  <c r="L2" i="5"/>
  <c r="L69" i="5"/>
  <c r="L65" i="5"/>
  <c r="L61" i="5"/>
  <c r="L57" i="5"/>
  <c r="L53" i="5"/>
  <c r="L49" i="5"/>
  <c r="L45" i="5"/>
  <c r="L41" i="5"/>
  <c r="L37" i="5"/>
  <c r="L33" i="5"/>
  <c r="L29" i="5"/>
  <c r="L25" i="5"/>
  <c r="L21" i="5"/>
  <c r="L17" i="5"/>
  <c r="L13" i="5"/>
  <c r="L9" i="5"/>
  <c r="L5" i="5"/>
  <c r="L4" i="5"/>
  <c r="L68" i="5"/>
  <c r="L64" i="5"/>
  <c r="L60" i="5"/>
  <c r="L56" i="5"/>
  <c r="L52" i="5"/>
  <c r="L48" i="5"/>
  <c r="L44" i="5"/>
  <c r="L40" i="5"/>
  <c r="L36" i="5"/>
  <c r="L32" i="5"/>
  <c r="L28" i="5"/>
  <c r="L24" i="5"/>
  <c r="L20" i="5"/>
  <c r="L16" i="5"/>
  <c r="L12" i="5"/>
  <c r="L8" i="5"/>
  <c r="L67" i="5"/>
  <c r="L63" i="5"/>
  <c r="L59" i="5"/>
  <c r="L55" i="5"/>
  <c r="L51" i="5"/>
  <c r="L47" i="5"/>
  <c r="L43" i="5"/>
  <c r="L39" i="5"/>
  <c r="L35" i="5"/>
  <c r="L31" i="5"/>
  <c r="L27" i="5"/>
  <c r="L23" i="5"/>
  <c r="L19" i="5"/>
  <c r="L15" i="5"/>
  <c r="L11" i="5"/>
  <c r="L7" i="5"/>
  <c r="L3" i="5"/>
  <c r="L6" i="5"/>
  <c r="Q67" i="5"/>
  <c r="Q63" i="5"/>
  <c r="Q59" i="5"/>
  <c r="Q55" i="5"/>
  <c r="Q51" i="5"/>
  <c r="Q47" i="5"/>
  <c r="Q43" i="5"/>
  <c r="Q39" i="5"/>
  <c r="Q35" i="5"/>
  <c r="Q31" i="5"/>
  <c r="Q27" i="5"/>
  <c r="Q23" i="5"/>
  <c r="Q19" i="5"/>
  <c r="Q15" i="5"/>
  <c r="Q11" i="5"/>
  <c r="Q7" i="5"/>
  <c r="Q70" i="5"/>
  <c r="Q66" i="5"/>
  <c r="Q62" i="5"/>
  <c r="Q58" i="5"/>
  <c r="Q54" i="5"/>
  <c r="Q50" i="5"/>
  <c r="Q46" i="5"/>
  <c r="Q42" i="5"/>
  <c r="Q38" i="5"/>
  <c r="Q34" i="5"/>
  <c r="Q30" i="5"/>
  <c r="Q26" i="5"/>
  <c r="Q22" i="5"/>
  <c r="Q18" i="5"/>
  <c r="Q14" i="5"/>
  <c r="Q10" i="5"/>
  <c r="Q6" i="5"/>
  <c r="Q2" i="5"/>
  <c r="Q69" i="5"/>
  <c r="Q65" i="5"/>
  <c r="Q61" i="5"/>
  <c r="Q57" i="5"/>
  <c r="Q53" i="5"/>
  <c r="Q49" i="5"/>
  <c r="Q45" i="5"/>
  <c r="Q41" i="5"/>
  <c r="Q37" i="5"/>
  <c r="Q33" i="5"/>
  <c r="Q29" i="5"/>
  <c r="Q25" i="5"/>
  <c r="Q21" i="5"/>
  <c r="Q17" i="5"/>
  <c r="Q13" i="5"/>
  <c r="Q9" i="5"/>
  <c r="Q5" i="5"/>
  <c r="Q68" i="5"/>
  <c r="Q64" i="5"/>
  <c r="Q60" i="5"/>
  <c r="Q56" i="5"/>
  <c r="Q52" i="5"/>
  <c r="Q48" i="5"/>
  <c r="Q44" i="5"/>
  <c r="Q40" i="5"/>
  <c r="Q36" i="5"/>
  <c r="Q32" i="5"/>
  <c r="Q28" i="5"/>
  <c r="Q24" i="5"/>
  <c r="F13" i="5" s="1"/>
  <c r="Q20" i="5"/>
  <c r="Q16" i="5"/>
  <c r="Q12" i="5"/>
  <c r="Q8" i="5"/>
  <c r="Q4" i="5"/>
  <c r="Q3" i="5"/>
  <c r="O68" i="5"/>
  <c r="O64" i="5"/>
  <c r="O60" i="5"/>
  <c r="O56" i="5"/>
  <c r="O52" i="5"/>
  <c r="O48" i="5"/>
  <c r="O44" i="5"/>
  <c r="O40" i="5"/>
  <c r="O36" i="5"/>
  <c r="O32" i="5"/>
  <c r="O28" i="5"/>
  <c r="O24" i="5"/>
  <c r="O20" i="5"/>
  <c r="O16" i="5"/>
  <c r="O12" i="5"/>
  <c r="O8" i="5"/>
  <c r="O67" i="5"/>
  <c r="O63" i="5"/>
  <c r="O59" i="5"/>
  <c r="O55" i="5"/>
  <c r="O51" i="5"/>
  <c r="O47" i="5"/>
  <c r="O43" i="5"/>
  <c r="O39" i="5"/>
  <c r="O35" i="5"/>
  <c r="O31" i="5"/>
  <c r="O27" i="5"/>
  <c r="O23" i="5"/>
  <c r="O19" i="5"/>
  <c r="O15" i="5"/>
  <c r="O11" i="5"/>
  <c r="O7" i="5"/>
  <c r="O3" i="5"/>
  <c r="O70" i="5"/>
  <c r="O66" i="5"/>
  <c r="O62" i="5"/>
  <c r="O58" i="5"/>
  <c r="O54" i="5"/>
  <c r="O50" i="5"/>
  <c r="O46" i="5"/>
  <c r="O42" i="5"/>
  <c r="O38" i="5"/>
  <c r="O34" i="5"/>
  <c r="O30" i="5"/>
  <c r="O26" i="5"/>
  <c r="O22" i="5"/>
  <c r="O18" i="5"/>
  <c r="O14" i="5"/>
  <c r="O10" i="5"/>
  <c r="O6" i="5"/>
  <c r="O2" i="5"/>
  <c r="O4" i="5"/>
  <c r="O69" i="5"/>
  <c r="O65" i="5"/>
  <c r="O61" i="5"/>
  <c r="O57" i="5"/>
  <c r="O53" i="5"/>
  <c r="O49" i="5"/>
  <c r="O45" i="5"/>
  <c r="O41" i="5"/>
  <c r="O37" i="5"/>
  <c r="O33" i="5"/>
  <c r="O29" i="5"/>
  <c r="O25" i="5"/>
  <c r="O21" i="5"/>
  <c r="O17" i="5"/>
  <c r="O13" i="5"/>
  <c r="O9" i="5"/>
  <c r="O5" i="5"/>
  <c r="M69" i="5"/>
  <c r="M65" i="5"/>
  <c r="M61" i="5"/>
  <c r="M57" i="5"/>
  <c r="M53" i="5"/>
  <c r="M49" i="5"/>
  <c r="M45" i="5"/>
  <c r="M41" i="5"/>
  <c r="M37" i="5"/>
  <c r="M33" i="5"/>
  <c r="M29" i="5"/>
  <c r="M25" i="5"/>
  <c r="M21" i="5"/>
  <c r="M17" i="5"/>
  <c r="M13" i="5"/>
  <c r="M9" i="5"/>
  <c r="M5" i="5"/>
  <c r="M68" i="5"/>
  <c r="M64" i="5"/>
  <c r="M60" i="5"/>
  <c r="M56" i="5"/>
  <c r="M52" i="5"/>
  <c r="M48" i="5"/>
  <c r="M44" i="5"/>
  <c r="M40" i="5"/>
  <c r="M36" i="5"/>
  <c r="M32" i="5"/>
  <c r="M28" i="5"/>
  <c r="M24" i="5"/>
  <c r="M20" i="5"/>
  <c r="M16" i="5"/>
  <c r="M12" i="5"/>
  <c r="M8" i="5"/>
  <c r="M4" i="5"/>
  <c r="M67" i="5"/>
  <c r="M63" i="5"/>
  <c r="M59" i="5"/>
  <c r="M55" i="5"/>
  <c r="M51" i="5"/>
  <c r="M47" i="5"/>
  <c r="M43" i="5"/>
  <c r="M39" i="5"/>
  <c r="M35" i="5"/>
  <c r="M31" i="5"/>
  <c r="M27" i="5"/>
  <c r="M23" i="5"/>
  <c r="M19" i="5"/>
  <c r="M15" i="5"/>
  <c r="M11" i="5"/>
  <c r="M7" i="5"/>
  <c r="M3" i="5"/>
  <c r="M70" i="5"/>
  <c r="M66" i="5"/>
  <c r="M62" i="5"/>
  <c r="M58" i="5"/>
  <c r="M54" i="5"/>
  <c r="M50" i="5"/>
  <c r="M46" i="5"/>
  <c r="M42" i="5"/>
  <c r="M38" i="5"/>
  <c r="M34" i="5"/>
  <c r="M30" i="5"/>
  <c r="M26" i="5"/>
  <c r="M22" i="5"/>
  <c r="M18" i="5"/>
  <c r="M14" i="5"/>
  <c r="M10" i="5"/>
  <c r="M6" i="5"/>
  <c r="M2" i="5"/>
  <c r="L43" i="3"/>
  <c r="L11" i="3"/>
  <c r="L28" i="3"/>
  <c r="D10" i="6"/>
  <c r="L23" i="3"/>
  <c r="L39" i="3"/>
  <c r="L30" i="3"/>
  <c r="L33" i="3"/>
  <c r="L18" i="3"/>
  <c r="L40" i="3"/>
  <c r="L38" i="3"/>
  <c r="L24" i="3"/>
  <c r="L29" i="3"/>
  <c r="L31" i="3"/>
  <c r="L20" i="3"/>
  <c r="L41" i="3"/>
  <c r="L25" i="3"/>
  <c r="L4" i="3"/>
  <c r="L26" i="3"/>
  <c r="L19" i="3"/>
  <c r="L22" i="3"/>
  <c r="L14" i="3"/>
  <c r="L35" i="3"/>
  <c r="L8" i="3"/>
  <c r="L36" i="3"/>
  <c r="L32" i="3"/>
  <c r="L27" i="3"/>
  <c r="L15" i="3"/>
  <c r="D11" i="6"/>
  <c r="E9" i="3"/>
  <c r="C10" i="6"/>
  <c r="D9" i="4"/>
  <c r="N45" i="3"/>
  <c r="N36" i="3"/>
  <c r="N38" i="3"/>
  <c r="N33" i="3"/>
  <c r="N7" i="3"/>
  <c r="N22" i="3"/>
  <c r="N23" i="3"/>
  <c r="N40" i="3"/>
  <c r="N4" i="3"/>
  <c r="N21" i="3"/>
  <c r="N31" i="3"/>
  <c r="N43" i="3"/>
  <c r="N3" i="3"/>
  <c r="N32" i="3"/>
  <c r="N18" i="3"/>
  <c r="N11" i="3"/>
  <c r="N6" i="3"/>
  <c r="N15" i="3"/>
  <c r="N39" i="3"/>
  <c r="N44" i="3"/>
  <c r="N42" i="3"/>
  <c r="N16" i="3"/>
  <c r="N17" i="3"/>
  <c r="N26" i="3"/>
  <c r="N41" i="3"/>
  <c r="N34" i="3"/>
  <c r="N46" i="3"/>
  <c r="N9" i="3"/>
  <c r="N24" i="3"/>
  <c r="N8" i="3"/>
  <c r="N13" i="3"/>
  <c r="N14" i="3"/>
  <c r="N28" i="3"/>
  <c r="N2" i="3"/>
  <c r="N20" i="3"/>
  <c r="N30" i="3"/>
  <c r="N10" i="3"/>
  <c r="N5" i="3"/>
  <c r="N37" i="3"/>
  <c r="N29" i="3"/>
  <c r="N25" i="3"/>
  <c r="N27" i="3"/>
  <c r="N35" i="3"/>
  <c r="N12" i="3"/>
  <c r="N19" i="3"/>
  <c r="R40" i="3"/>
  <c r="R12" i="3"/>
  <c r="R4" i="3"/>
  <c r="R44" i="3"/>
  <c r="R39" i="3"/>
  <c r="R23" i="3"/>
  <c r="R17" i="3"/>
  <c r="R36" i="3"/>
  <c r="R5" i="3"/>
  <c r="R24" i="3"/>
  <c r="R25" i="3"/>
  <c r="R14" i="3"/>
  <c r="R38" i="3"/>
  <c r="R22" i="3"/>
  <c r="R31" i="3"/>
  <c r="R9" i="3"/>
  <c r="R18" i="3"/>
  <c r="R46" i="3"/>
  <c r="R11" i="3"/>
  <c r="R43" i="3"/>
  <c r="R20" i="3"/>
  <c r="R37" i="3"/>
  <c r="R33" i="3"/>
  <c r="R10" i="3"/>
  <c r="R21" i="3"/>
  <c r="R27" i="3"/>
  <c r="R45" i="3"/>
  <c r="R26" i="3"/>
  <c r="R30" i="3"/>
  <c r="R3" i="3"/>
  <c r="R6" i="3"/>
  <c r="R29" i="3"/>
  <c r="R13" i="3"/>
  <c r="R28" i="3"/>
  <c r="R41" i="3"/>
  <c r="R8" i="3"/>
  <c r="R16" i="3"/>
  <c r="R7" i="3"/>
  <c r="R34" i="3"/>
  <c r="R42" i="3"/>
  <c r="R19" i="3"/>
  <c r="R2" i="3"/>
  <c r="R35" i="3"/>
  <c r="R32" i="3"/>
  <c r="R15" i="3"/>
  <c r="S73" i="2"/>
  <c r="G5" i="4" s="1"/>
  <c r="G9" i="4" s="1"/>
  <c r="S74" i="2"/>
  <c r="O8" i="3"/>
  <c r="O27" i="3"/>
  <c r="O35" i="3"/>
  <c r="O36" i="3"/>
  <c r="O34" i="3"/>
  <c r="O42" i="3"/>
  <c r="O2" i="3"/>
  <c r="O25" i="3"/>
  <c r="O9" i="3"/>
  <c r="O28" i="3"/>
  <c r="O7" i="3"/>
  <c r="O24" i="3"/>
  <c r="O19" i="3"/>
  <c r="O40" i="3"/>
  <c r="O23" i="3"/>
  <c r="O12" i="3"/>
  <c r="O37" i="3"/>
  <c r="O29" i="3"/>
  <c r="O13" i="3"/>
  <c r="O32" i="3"/>
  <c r="O11" i="3"/>
  <c r="O33" i="3"/>
  <c r="O16" i="3"/>
  <c r="O6" i="3"/>
  <c r="O41" i="3"/>
  <c r="O3" i="3"/>
  <c r="O20" i="3"/>
  <c r="O22" i="3"/>
  <c r="O15" i="3"/>
  <c r="O39" i="3"/>
  <c r="O38" i="3"/>
  <c r="O17" i="3"/>
  <c r="O43" i="3"/>
  <c r="O5" i="3"/>
  <c r="O30" i="3"/>
  <c r="O21" i="3"/>
  <c r="O26" i="3"/>
  <c r="O10" i="3"/>
  <c r="O45" i="3"/>
  <c r="O4" i="3"/>
  <c r="O31" i="3"/>
  <c r="O44" i="3"/>
  <c r="O46" i="3"/>
  <c r="O14" i="3"/>
  <c r="O18" i="3"/>
  <c r="C9" i="4"/>
  <c r="C9" i="6"/>
  <c r="M8" i="3"/>
  <c r="M37" i="3"/>
  <c r="M2" i="3"/>
  <c r="M35" i="3"/>
  <c r="M42" i="3"/>
  <c r="M16" i="3"/>
  <c r="M20" i="3"/>
  <c r="M32" i="3"/>
  <c r="M25" i="3"/>
  <c r="M12" i="3"/>
  <c r="M41" i="3"/>
  <c r="M45" i="3"/>
  <c r="M26" i="3"/>
  <c r="M23" i="3"/>
  <c r="M5" i="3"/>
  <c r="M9" i="3"/>
  <c r="M44" i="3"/>
  <c r="M6" i="3"/>
  <c r="M3" i="3"/>
  <c r="M15" i="3"/>
  <c r="M17" i="3"/>
  <c r="M34" i="3"/>
  <c r="M36" i="3"/>
  <c r="M24" i="3"/>
  <c r="M11" i="3"/>
  <c r="M29" i="3"/>
  <c r="M4" i="3"/>
  <c r="M13" i="3"/>
  <c r="M28" i="3"/>
  <c r="M43" i="3"/>
  <c r="M40" i="3"/>
  <c r="M22" i="3"/>
  <c r="M18" i="3"/>
  <c r="M27" i="3"/>
  <c r="M10" i="3"/>
  <c r="M14" i="3"/>
  <c r="M21" i="3"/>
  <c r="M39" i="3"/>
  <c r="M19" i="3"/>
  <c r="M7" i="3"/>
  <c r="M33" i="3"/>
  <c r="M46" i="3"/>
  <c r="M38" i="3"/>
  <c r="M30" i="3"/>
  <c r="M31" i="3"/>
  <c r="B9" i="4"/>
  <c r="C8" i="6"/>
  <c r="E9" i="4"/>
  <c r="C11" i="6"/>
  <c r="G13" i="5" l="1"/>
  <c r="C13" i="3"/>
  <c r="D17" i="6" s="1"/>
  <c r="I17" i="6" s="1"/>
  <c r="A13" i="3"/>
  <c r="P67" i="4"/>
  <c r="P63" i="4"/>
  <c r="P59" i="4"/>
  <c r="P55" i="4"/>
  <c r="P51" i="4"/>
  <c r="P47" i="4"/>
  <c r="P43" i="4"/>
  <c r="P39" i="4"/>
  <c r="P35" i="4"/>
  <c r="P31" i="4"/>
  <c r="P27" i="4"/>
  <c r="P23" i="4"/>
  <c r="P19" i="4"/>
  <c r="P15" i="4"/>
  <c r="P11" i="4"/>
  <c r="P7" i="4"/>
  <c r="P3" i="4"/>
  <c r="P70" i="4"/>
  <c r="P66" i="4"/>
  <c r="P62" i="4"/>
  <c r="P58" i="4"/>
  <c r="P54" i="4"/>
  <c r="P50" i="4"/>
  <c r="P46" i="4"/>
  <c r="P42" i="4"/>
  <c r="P38" i="4"/>
  <c r="P34" i="4"/>
  <c r="P69" i="4"/>
  <c r="P65" i="4"/>
  <c r="P61" i="4"/>
  <c r="P57" i="4"/>
  <c r="P53" i="4"/>
  <c r="P49" i="4"/>
  <c r="P45" i="4"/>
  <c r="P41" i="4"/>
  <c r="P37" i="4"/>
  <c r="P33" i="4"/>
  <c r="P29" i="4"/>
  <c r="P25" i="4"/>
  <c r="P21" i="4"/>
  <c r="P17" i="4"/>
  <c r="P13" i="4"/>
  <c r="P9" i="4"/>
  <c r="P5" i="4"/>
  <c r="P26" i="4"/>
  <c r="P24" i="4"/>
  <c r="P22" i="4"/>
  <c r="P20" i="4"/>
  <c r="P18" i="4"/>
  <c r="P16" i="4"/>
  <c r="P14" i="4"/>
  <c r="P12" i="4"/>
  <c r="P10" i="4"/>
  <c r="P8" i="4"/>
  <c r="P6" i="4"/>
  <c r="P4" i="4"/>
  <c r="P2" i="4"/>
  <c r="P64" i="4"/>
  <c r="P32" i="4"/>
  <c r="P48" i="4"/>
  <c r="P28" i="4"/>
  <c r="P68" i="4"/>
  <c r="P52" i="4"/>
  <c r="P36" i="4"/>
  <c r="P30" i="4"/>
  <c r="P56" i="4"/>
  <c r="P40" i="4"/>
  <c r="P60" i="4"/>
  <c r="P44" i="4"/>
  <c r="M69" i="4"/>
  <c r="M65" i="4"/>
  <c r="M61" i="4"/>
  <c r="M57" i="4"/>
  <c r="M53" i="4"/>
  <c r="M49" i="4"/>
  <c r="M45" i="4"/>
  <c r="M41" i="4"/>
  <c r="M37" i="4"/>
  <c r="M33" i="4"/>
  <c r="M29" i="4"/>
  <c r="M68" i="4"/>
  <c r="M64" i="4"/>
  <c r="M60" i="4"/>
  <c r="M56" i="4"/>
  <c r="M52" i="4"/>
  <c r="M48" i="4"/>
  <c r="M44" i="4"/>
  <c r="M40" i="4"/>
  <c r="M36" i="4"/>
  <c r="M32" i="4"/>
  <c r="M28" i="4"/>
  <c r="M70" i="4"/>
  <c r="M67" i="4"/>
  <c r="M51" i="4"/>
  <c r="M35" i="4"/>
  <c r="M58" i="4"/>
  <c r="M42" i="4"/>
  <c r="M8" i="4"/>
  <c r="M55" i="4"/>
  <c r="M39" i="4"/>
  <c r="M26" i="4"/>
  <c r="M24" i="4"/>
  <c r="M22" i="4"/>
  <c r="M20" i="4"/>
  <c r="M18" i="4"/>
  <c r="M16" i="4"/>
  <c r="M14" i="4"/>
  <c r="M12" i="4"/>
  <c r="M10" i="4"/>
  <c r="M2" i="4"/>
  <c r="M62" i="4"/>
  <c r="M46" i="4"/>
  <c r="M27" i="4"/>
  <c r="M25" i="4"/>
  <c r="M23" i="4"/>
  <c r="M21" i="4"/>
  <c r="M19" i="4"/>
  <c r="M17" i="4"/>
  <c r="M15" i="4"/>
  <c r="M13" i="4"/>
  <c r="M11" i="4"/>
  <c r="M9" i="4"/>
  <c r="M7" i="4"/>
  <c r="M5" i="4"/>
  <c r="M3" i="4"/>
  <c r="M4" i="4"/>
  <c r="M59" i="4"/>
  <c r="M43" i="4"/>
  <c r="M63" i="4"/>
  <c r="M47" i="4"/>
  <c r="M6" i="4"/>
  <c r="M66" i="4"/>
  <c r="M50" i="4"/>
  <c r="M34" i="4"/>
  <c r="M30" i="4"/>
  <c r="M54" i="4"/>
  <c r="M38" i="4"/>
  <c r="M31" i="4"/>
  <c r="O68" i="4"/>
  <c r="O64" i="4"/>
  <c r="O60" i="4"/>
  <c r="O56" i="4"/>
  <c r="O52" i="4"/>
  <c r="O48" i="4"/>
  <c r="O44" i="4"/>
  <c r="O40" i="4"/>
  <c r="O36" i="4"/>
  <c r="O32" i="4"/>
  <c r="O28" i="4"/>
  <c r="O67" i="4"/>
  <c r="O63" i="4"/>
  <c r="O59" i="4"/>
  <c r="O55" i="4"/>
  <c r="O51" i="4"/>
  <c r="O47" i="4"/>
  <c r="O43" i="4"/>
  <c r="O39" i="4"/>
  <c r="O35" i="4"/>
  <c r="O31" i="4"/>
  <c r="O70" i="4"/>
  <c r="O58" i="4"/>
  <c r="O42" i="4"/>
  <c r="O27" i="4"/>
  <c r="O23" i="4"/>
  <c r="O21" i="4"/>
  <c r="O19" i="4"/>
  <c r="O17" i="4"/>
  <c r="O14" i="4"/>
  <c r="O12" i="4"/>
  <c r="O10" i="4"/>
  <c r="O7" i="4"/>
  <c r="O5" i="4"/>
  <c r="O2" i="4"/>
  <c r="O25" i="4"/>
  <c r="O16" i="4"/>
  <c r="O8" i="4"/>
  <c r="O3" i="4"/>
  <c r="O62" i="4"/>
  <c r="O46" i="4"/>
  <c r="O65" i="4"/>
  <c r="O49" i="4"/>
  <c r="O33" i="4"/>
  <c r="O66" i="4"/>
  <c r="O50" i="4"/>
  <c r="O34" i="4"/>
  <c r="O30" i="4"/>
  <c r="O29" i="4"/>
  <c r="O54" i="4"/>
  <c r="O38" i="4"/>
  <c r="O69" i="4"/>
  <c r="O53" i="4"/>
  <c r="O37" i="4"/>
  <c r="O57" i="4"/>
  <c r="O41" i="4"/>
  <c r="O61" i="4"/>
  <c r="O45" i="4"/>
  <c r="O26" i="4"/>
  <c r="O24" i="4"/>
  <c r="O22" i="4"/>
  <c r="O20" i="4"/>
  <c r="O18" i="4"/>
  <c r="O15" i="4"/>
  <c r="O13" i="4"/>
  <c r="O11" i="4"/>
  <c r="O9" i="4"/>
  <c r="O6" i="4"/>
  <c r="O4" i="4"/>
  <c r="N68" i="4"/>
  <c r="N64" i="4"/>
  <c r="N60" i="4"/>
  <c r="N56" i="4"/>
  <c r="N52" i="4"/>
  <c r="N48" i="4"/>
  <c r="N44" i="4"/>
  <c r="N40" i="4"/>
  <c r="N36" i="4"/>
  <c r="N32" i="4"/>
  <c r="N28" i="4"/>
  <c r="N24" i="4"/>
  <c r="N20" i="4"/>
  <c r="N16" i="4"/>
  <c r="N12" i="4"/>
  <c r="N8" i="4"/>
  <c r="N4" i="4"/>
  <c r="N67" i="4"/>
  <c r="N63" i="4"/>
  <c r="N59" i="4"/>
  <c r="N55" i="4"/>
  <c r="N51" i="4"/>
  <c r="N47" i="4"/>
  <c r="N43" i="4"/>
  <c r="N39" i="4"/>
  <c r="N35" i="4"/>
  <c r="N70" i="4"/>
  <c r="N66" i="4"/>
  <c r="N62" i="4"/>
  <c r="N58" i="4"/>
  <c r="N54" i="4"/>
  <c r="N50" i="4"/>
  <c r="N46" i="4"/>
  <c r="N42" i="4"/>
  <c r="N38" i="4"/>
  <c r="N34" i="4"/>
  <c r="N30" i="4"/>
  <c r="N26" i="4"/>
  <c r="N22" i="4"/>
  <c r="N18" i="4"/>
  <c r="N14" i="4"/>
  <c r="N10" i="4"/>
  <c r="N6" i="4"/>
  <c r="N2" i="4"/>
  <c r="N57" i="4"/>
  <c r="N41" i="4"/>
  <c r="N61" i="4"/>
  <c r="N45" i="4"/>
  <c r="N27" i="4"/>
  <c r="N25" i="4"/>
  <c r="N23" i="4"/>
  <c r="N21" i="4"/>
  <c r="N19" i="4"/>
  <c r="N17" i="4"/>
  <c r="N15" i="4"/>
  <c r="N13" i="4"/>
  <c r="N11" i="4"/>
  <c r="N5" i="4"/>
  <c r="N3" i="4"/>
  <c r="N31" i="4"/>
  <c r="N65" i="4"/>
  <c r="N49" i="4"/>
  <c r="N33" i="4"/>
  <c r="N69" i="4"/>
  <c r="N29" i="4"/>
  <c r="N53" i="4"/>
  <c r="N37" i="4"/>
  <c r="N7" i="4"/>
  <c r="N9" i="4"/>
  <c r="P60" i="3"/>
  <c r="P61" i="3"/>
  <c r="P62" i="3"/>
  <c r="P70" i="3"/>
  <c r="P63" i="3"/>
  <c r="P48" i="3"/>
  <c r="P50" i="3"/>
  <c r="P51" i="3"/>
  <c r="P66" i="3"/>
  <c r="P67" i="3"/>
  <c r="P52" i="3"/>
  <c r="P53" i="3"/>
  <c r="P56" i="3"/>
  <c r="P54" i="3"/>
  <c r="P55" i="3"/>
  <c r="P68" i="3"/>
  <c r="P57" i="3"/>
  <c r="P58" i="3"/>
  <c r="P59" i="3"/>
  <c r="P69" i="3"/>
  <c r="P47" i="3"/>
  <c r="P65" i="3"/>
  <c r="P49" i="3"/>
  <c r="P64" i="3"/>
  <c r="A13" i="5"/>
  <c r="R70" i="4"/>
  <c r="R66" i="4"/>
  <c r="R62" i="4"/>
  <c r="R58" i="4"/>
  <c r="R54" i="4"/>
  <c r="R50" i="4"/>
  <c r="R46" i="4"/>
  <c r="R42" i="4"/>
  <c r="R38" i="4"/>
  <c r="R34" i="4"/>
  <c r="R30" i="4"/>
  <c r="R26" i="4"/>
  <c r="R22" i="4"/>
  <c r="R18" i="4"/>
  <c r="R14" i="4"/>
  <c r="R10" i="4"/>
  <c r="R6" i="4"/>
  <c r="R2" i="4"/>
  <c r="R69" i="4"/>
  <c r="R65" i="4"/>
  <c r="R61" i="4"/>
  <c r="R57" i="4"/>
  <c r="R53" i="4"/>
  <c r="R49" i="4"/>
  <c r="R45" i="4"/>
  <c r="R41" i="4"/>
  <c r="R37" i="4"/>
  <c r="R33" i="4"/>
  <c r="R68" i="4"/>
  <c r="R64" i="4"/>
  <c r="R60" i="4"/>
  <c r="R56" i="4"/>
  <c r="R52" i="4"/>
  <c r="R48" i="4"/>
  <c r="R44" i="4"/>
  <c r="R40" i="4"/>
  <c r="R36" i="4"/>
  <c r="R32" i="4"/>
  <c r="R28" i="4"/>
  <c r="R24" i="4"/>
  <c r="R20" i="4"/>
  <c r="R16" i="4"/>
  <c r="R12" i="4"/>
  <c r="R8" i="4"/>
  <c r="R4" i="4"/>
  <c r="R55" i="4"/>
  <c r="R39" i="4"/>
  <c r="R29" i="4"/>
  <c r="R59" i="4"/>
  <c r="R43" i="4"/>
  <c r="R63" i="4"/>
  <c r="R47" i="4"/>
  <c r="R31" i="4"/>
  <c r="R67" i="4"/>
  <c r="R51" i="4"/>
  <c r="R35" i="4"/>
  <c r="R27" i="4"/>
  <c r="R25" i="4"/>
  <c r="R23" i="4"/>
  <c r="R21" i="4"/>
  <c r="R19" i="4"/>
  <c r="R17" i="4"/>
  <c r="R15" i="4"/>
  <c r="R13" i="4"/>
  <c r="R11" i="4"/>
  <c r="R9" i="4"/>
  <c r="R7" i="4"/>
  <c r="R5" i="4"/>
  <c r="R3" i="4"/>
  <c r="B13" i="5"/>
  <c r="B16" i="6" s="1"/>
  <c r="G16" i="6" s="1"/>
  <c r="B13" i="3"/>
  <c r="D16" i="6" s="1"/>
  <c r="I16" i="6" s="1"/>
  <c r="A13" i="4"/>
  <c r="D13" i="5"/>
  <c r="B18" i="6" s="1"/>
  <c r="G18" i="6" s="1"/>
  <c r="C13" i="5"/>
  <c r="B17" i="6" s="1"/>
  <c r="G17" i="6" s="1"/>
  <c r="G13" i="3"/>
  <c r="E13" i="5"/>
  <c r="B19" i="6" s="1"/>
  <c r="G19" i="6" s="1"/>
  <c r="D13" i="3"/>
  <c r="D18" i="6" s="1"/>
  <c r="I18" i="6" s="1"/>
  <c r="F13" i="4"/>
  <c r="P22" i="3"/>
  <c r="P26" i="3"/>
  <c r="P36" i="3"/>
  <c r="P33" i="3"/>
  <c r="P3" i="3"/>
  <c r="P13" i="3"/>
  <c r="P39" i="3"/>
  <c r="P15" i="3"/>
  <c r="P14" i="3"/>
  <c r="P35" i="3"/>
  <c r="P9" i="3"/>
  <c r="P43" i="3"/>
  <c r="P30" i="3"/>
  <c r="P45" i="3"/>
  <c r="P24" i="3"/>
  <c r="P17" i="3"/>
  <c r="P11" i="3"/>
  <c r="P8" i="3"/>
  <c r="P6" i="3"/>
  <c r="P21" i="3"/>
  <c r="P28" i="3"/>
  <c r="P4" i="3"/>
  <c r="P7" i="3"/>
  <c r="P16" i="3"/>
  <c r="P25" i="3"/>
  <c r="P40" i="3"/>
  <c r="P29" i="3"/>
  <c r="P31" i="3"/>
  <c r="P38" i="3"/>
  <c r="P41" i="3"/>
  <c r="P46" i="3"/>
  <c r="P37" i="3"/>
  <c r="P2" i="3"/>
  <c r="P27" i="3"/>
  <c r="P42" i="3"/>
  <c r="P10" i="3"/>
  <c r="P5" i="3"/>
  <c r="P19" i="3"/>
  <c r="P18" i="3"/>
  <c r="P12" i="3"/>
  <c r="P32" i="3"/>
  <c r="P23" i="3"/>
  <c r="P34" i="3"/>
  <c r="P20" i="3"/>
  <c r="P44" i="3"/>
  <c r="E13" i="3" l="1"/>
  <c r="D19" i="6" s="1"/>
  <c r="I19" i="6" s="1"/>
  <c r="D13" i="4"/>
  <c r="C18" i="6" s="1"/>
  <c r="H18" i="6" s="1"/>
  <c r="G13" i="4"/>
  <c r="E13" i="4"/>
  <c r="C19" i="6" s="1"/>
  <c r="H19" i="6" s="1"/>
  <c r="B13" i="4"/>
  <c r="C16" i="6" s="1"/>
  <c r="H16" i="6" s="1"/>
  <c r="C13" i="4"/>
  <c r="C17" i="6" s="1"/>
  <c r="H17" i="6" s="1"/>
  <c r="H22" i="6" l="1"/>
</calcChain>
</file>

<file path=xl/sharedStrings.xml><?xml version="1.0" encoding="utf-8"?>
<sst xmlns="http://schemas.openxmlformats.org/spreadsheetml/2006/main" count="327" uniqueCount="125">
  <si>
    <t>Conformer Relative Populations</t>
  </si>
  <si>
    <t>Conv. Hartree to kcal/mol</t>
  </si>
  <si>
    <t>r (in kcal/(K*mol))</t>
  </si>
  <si>
    <t>Temp (K)</t>
  </si>
  <si>
    <t>Sum of Rel Pop</t>
  </si>
  <si>
    <t>Sum of Weights</t>
  </si>
  <si>
    <t>Energy (hartrees)</t>
  </si>
  <si>
    <t>Energy (kcal)</t>
  </si>
  <si>
    <t>Rel E</t>
  </si>
  <si>
    <t>Gibbs Energy (hartree)</t>
  </si>
  <si>
    <t>Conformer</t>
  </si>
  <si>
    <t>Classification</t>
  </si>
  <si>
    <t>Rotamer</t>
  </si>
  <si>
    <t>rel G</t>
  </si>
  <si>
    <t>rel Pop</t>
  </si>
  <si>
    <t>weight</t>
  </si>
  <si>
    <t>Notes</t>
  </si>
  <si>
    <t>4H6</t>
  </si>
  <si>
    <t>6H4</t>
  </si>
  <si>
    <t>5C12</t>
  </si>
  <si>
    <t>12C5</t>
  </si>
  <si>
    <t>Boltzmann Contribution</t>
  </si>
  <si>
    <t>Average E</t>
  </si>
  <si>
    <t xml:space="preserve">Conf2   </t>
  </si>
  <si>
    <t xml:space="preserve">Conf3   </t>
  </si>
  <si>
    <t xml:space="preserve">Conf4   </t>
  </si>
  <si>
    <t xml:space="preserve">Conf6   </t>
  </si>
  <si>
    <t xml:space="preserve">Conf7   </t>
  </si>
  <si>
    <t xml:space="preserve">Conf8   </t>
  </si>
  <si>
    <t xml:space="preserve">Conf9   </t>
  </si>
  <si>
    <t xml:space="preserve">Conf15   </t>
  </si>
  <si>
    <t xml:space="preserve">Conf16   </t>
  </si>
  <si>
    <t xml:space="preserve">Conf17   </t>
  </si>
  <si>
    <t xml:space="preserve">Conf19   </t>
  </si>
  <si>
    <t xml:space="preserve">Conf20   </t>
  </si>
  <si>
    <t xml:space="preserve">Conf21   </t>
  </si>
  <si>
    <t xml:space="preserve">Conf24   </t>
  </si>
  <si>
    <t xml:space="preserve">Conf26   </t>
  </si>
  <si>
    <t xml:space="preserve">Conf27   </t>
  </si>
  <si>
    <t xml:space="preserve">Conf30   </t>
  </si>
  <si>
    <t xml:space="preserve">Conf34   </t>
  </si>
  <si>
    <t xml:space="preserve">Conf38   </t>
  </si>
  <si>
    <t xml:space="preserve">Conf39   </t>
  </si>
  <si>
    <t xml:space="preserve">Conf41   </t>
  </si>
  <si>
    <t xml:space="preserve">Conf48   </t>
  </si>
  <si>
    <t xml:space="preserve">Conf57   </t>
  </si>
  <si>
    <t xml:space="preserve">Conf59   </t>
  </si>
  <si>
    <t xml:space="preserve">Conf72   </t>
  </si>
  <si>
    <t xml:space="preserve">Conf73   </t>
  </si>
  <si>
    <t xml:space="preserve">Conf76   </t>
  </si>
  <si>
    <t xml:space="preserve">Conf78   </t>
  </si>
  <si>
    <t xml:space="preserve">Conf86   </t>
  </si>
  <si>
    <t xml:space="preserve">Conf103   </t>
  </si>
  <si>
    <t xml:space="preserve">Conf109   </t>
  </si>
  <si>
    <t xml:space="preserve">Conf123   </t>
  </si>
  <si>
    <t xml:space="preserve">Conf128   </t>
  </si>
  <si>
    <t xml:space="preserve">Conf135   </t>
  </si>
  <si>
    <t xml:space="preserve">Conf142   </t>
  </si>
  <si>
    <t xml:space="preserve">Conf143   </t>
  </si>
  <si>
    <t xml:space="preserve">Conf144   </t>
  </si>
  <si>
    <t xml:space="preserve">Conf145   </t>
  </si>
  <si>
    <t xml:space="preserve">Conf166   </t>
  </si>
  <si>
    <t xml:space="preserve">Conf173   </t>
  </si>
  <si>
    <t xml:space="preserve">Conf193   </t>
  </si>
  <si>
    <t xml:space="preserve">Conf215   </t>
  </si>
  <si>
    <t xml:space="preserve">Conf241   </t>
  </si>
  <si>
    <t xml:space="preserve">Conf278   </t>
  </si>
  <si>
    <t>J1,2</t>
  </si>
  <si>
    <t>J2,3</t>
  </si>
  <si>
    <t>J34</t>
  </si>
  <si>
    <t>J45</t>
  </si>
  <si>
    <t>J56</t>
  </si>
  <si>
    <t>J67</t>
  </si>
  <si>
    <t>J77'</t>
  </si>
  <si>
    <t>J67'</t>
  </si>
  <si>
    <t>classification</t>
  </si>
  <si>
    <t>Column1</t>
  </si>
  <si>
    <t>Sum of Chair Weights</t>
  </si>
  <si>
    <t>Column2</t>
  </si>
  <si>
    <t>J1,23</t>
  </si>
  <si>
    <t>J2,34</t>
  </si>
  <si>
    <t>J345</t>
  </si>
  <si>
    <t>J456</t>
  </si>
  <si>
    <t>J567</t>
  </si>
  <si>
    <t>J678</t>
  </si>
  <si>
    <t>J67'9</t>
  </si>
  <si>
    <t>J77'10</t>
  </si>
  <si>
    <t>RMSD</t>
  </si>
  <si>
    <t>Exp (Hz)</t>
  </si>
  <si>
    <t>DFT (Hz)</t>
  </si>
  <si>
    <t>Scaled DFT (Hz)</t>
  </si>
  <si>
    <t>weighted</t>
  </si>
  <si>
    <t>Average</t>
  </si>
  <si>
    <t>SdDev</t>
  </si>
  <si>
    <t>J23</t>
  </si>
  <si>
    <t>SD</t>
  </si>
  <si>
    <t xml:space="preserve">Conf14   </t>
  </si>
  <si>
    <t xml:space="preserve">Conf125   </t>
  </si>
  <si>
    <t xml:space="preserve">Conf23   </t>
  </si>
  <si>
    <t xml:space="preserve">Conf45   </t>
  </si>
  <si>
    <t xml:space="preserve">Conf104   </t>
  </si>
  <si>
    <t xml:space="preserve">Conf106   </t>
  </si>
  <si>
    <t xml:space="preserve">Conf107   </t>
  </si>
  <si>
    <t xml:space="preserve">Conf197   </t>
  </si>
  <si>
    <t xml:space="preserve">Conf208   </t>
  </si>
  <si>
    <t xml:space="preserve">Conf212   </t>
  </si>
  <si>
    <t xml:space="preserve">Conf219   </t>
  </si>
  <si>
    <t xml:space="preserve">Conf220   </t>
  </si>
  <si>
    <t xml:space="preserve">Conf272   </t>
  </si>
  <si>
    <t xml:space="preserve">Conf276   </t>
  </si>
  <si>
    <t xml:space="preserve">Conf283   </t>
  </si>
  <si>
    <t xml:space="preserve">Conf290   </t>
  </si>
  <si>
    <t xml:space="preserve">Conf333   </t>
  </si>
  <si>
    <t xml:space="preserve">Conf373   </t>
  </si>
  <si>
    <t>125B</t>
  </si>
  <si>
    <t xml:space="preserve">Conf22   </t>
  </si>
  <si>
    <t xml:space="preserve">Conf33   </t>
  </si>
  <si>
    <t xml:space="preserve">Conf94   </t>
  </si>
  <si>
    <t xml:space="preserve">Conf101   </t>
  </si>
  <si>
    <t xml:space="preserve">Conf136   </t>
  </si>
  <si>
    <t xml:space="preserve">Conf191   </t>
  </si>
  <si>
    <t xml:space="preserve">Conf396   </t>
  </si>
  <si>
    <t>45TH</t>
  </si>
  <si>
    <t>56TH</t>
  </si>
  <si>
    <t>TH45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</si>
</sst>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B0F0"/>
      <name val="Arial"/>
      <family val="2"/>
    </font>
    <font>
      <sz val="8"/>
      <name val="Calibri"/>
      <family val="2"/>
      <scheme val="minor"/>
    </font>
    <font>
      <sz val="10"/>
      <color rgb="FF000000"/>
      <name val="Lucida Console"/>
      <family val="3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NumberFormat="1"/>
    <xf numFmtId="0" fontId="0" fillId="0" borderId="1" xfId="0" applyBorder="1"/>
    <xf numFmtId="2" fontId="0" fillId="0" borderId="0" xfId="0" applyNumberFormat="1"/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Font="1"/>
    <xf numFmtId="164" fontId="0" fillId="0" borderId="0" xfId="0" applyNumberFormat="1"/>
    <xf numFmtId="0" fontId="0" fillId="0" borderId="1" xfId="0" applyFont="1" applyBorder="1"/>
    <xf numFmtId="0" fontId="0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NumberFormat="1" applyFont="1"/>
  </cellXfs>
  <cellStyles count="1">
    <cellStyle name="Normal" xfId="0" builtinId="0"/>
  </cellStyles>
  <dxfs count="3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006100"/>
      </font>
      <fill>
        <patternFill>
          <bgColor rgb="FFC6EF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000"/>
    </dxf>
    <dxf>
      <numFmt numFmtId="164" formatCode="0.0000"/>
    </dxf>
    <dxf>
      <numFmt numFmtId="164" formatCode="0.00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Boltzmann</a:t>
            </a:r>
            <a:r>
              <a:rPr lang="en-US" baseline="0"/>
              <a:t> Distribution of Mannose-based Oxepine in Chloroform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ED-4924-AC9A-58265F8E50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DED-4924-AC9A-58265F8E50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DED-4924-AC9A-58265F8E50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DED-4924-AC9A-58265F8E50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DED-4924-AC9A-58265F8E505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FF2-484B-A412-18A487F8933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FF2-484B-A412-18A487F89330}"/>
              </c:ext>
            </c:extLst>
          </c:dPt>
          <c:dLbls>
            <c:dLbl>
              <c:idx val="5"/>
              <c:layout>
                <c:manualLayout>
                  <c:x val="2.2405074365704287E-2"/>
                  <c:y val="5.50621172353455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F2-484B-A412-18A487F893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chloroform!$N$7:$N$13</c:f>
              <c:strCache>
                <c:ptCount val="7"/>
                <c:pt idx="0">
                  <c:v>4H6</c:v>
                </c:pt>
                <c:pt idx="1">
                  <c:v>45TH</c:v>
                </c:pt>
                <c:pt idx="2">
                  <c:v>5C12</c:v>
                </c:pt>
                <c:pt idx="3">
                  <c:v>56TH</c:v>
                </c:pt>
                <c:pt idx="4">
                  <c:v>12C5</c:v>
                </c:pt>
                <c:pt idx="5">
                  <c:v>6H4</c:v>
                </c:pt>
                <c:pt idx="6">
                  <c:v>TH45</c:v>
                </c:pt>
              </c:strCache>
            </c:strRef>
          </c:cat>
          <c:val>
            <c:numRef>
              <c:f>chloroform!$O$7:$O$13</c:f>
              <c:numCache>
                <c:formatCode>General</c:formatCode>
                <c:ptCount val="7"/>
                <c:pt idx="0">
                  <c:v>0.63222900898975809</c:v>
                </c:pt>
                <c:pt idx="1">
                  <c:v>0.24943967149327839</c:v>
                </c:pt>
                <c:pt idx="2">
                  <c:v>9.8559244805712487E-2</c:v>
                </c:pt>
                <c:pt idx="3">
                  <c:v>1.2243023219322142E-2</c:v>
                </c:pt>
                <c:pt idx="4">
                  <c:v>2.3660973821314083E-3</c:v>
                </c:pt>
                <c:pt idx="5">
                  <c:v>4.9305117691462721E-3</c:v>
                </c:pt>
                <c:pt idx="6">
                  <c:v>2.3244234065140262E-4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7-4FFD-BFD3-5EBF4F45B71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Populations</a:t>
            </a:r>
            <a:r>
              <a:rPr lang="en-US" baseline="0"/>
              <a:t> in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C-4E7D-BC79-5900030166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C-4E7D-BC79-5900030166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C-4E7D-BC79-5900030166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Sheet6!$M$9:$M$11</c:f>
              <c:strCache>
                <c:ptCount val="3"/>
                <c:pt idx="0">
                  <c:v>4H6</c:v>
                </c:pt>
                <c:pt idx="1">
                  <c:v>5C12</c:v>
                </c:pt>
                <c:pt idx="2">
                  <c:v>45TH</c:v>
                </c:pt>
              </c:strCache>
            </c:strRef>
          </c:cat>
          <c:val>
            <c:numRef>
              <c:f>Sheet6!$N$9:$N$11</c:f>
              <c:numCache>
                <c:formatCode>General</c:formatCode>
                <c:ptCount val="3"/>
                <c:pt idx="0">
                  <c:v>0.62649999999999995</c:v>
                </c:pt>
                <c:pt idx="1">
                  <c:v>0.3448</c:v>
                </c:pt>
                <c:pt idx="2">
                  <c:v>2.87E-2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4-4B7E-84DF-1A0D32F9891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205740</xdr:colOff>
      <xdr:row>19</xdr:row>
      <xdr:rowOff>0</xdr:rowOff>
    </xdr:from>
    <xdr:to>
      <xdr:col>19</xdr:col>
      <xdr:colOff>510540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D88416-F6C6-4E8B-BF60-08E01D1EC4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280987</xdr:colOff>
      <xdr:row>14</xdr:row>
      <xdr:rowOff>98107</xdr:rowOff>
    </xdr:from>
    <xdr:to>
      <xdr:col>21</xdr:col>
      <xdr:colOff>585787</xdr:colOff>
      <xdr:row>28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9369B8-BB4E-49C6-825A-729EE5C9D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0F378A-7FF5-477E-9F58-AA57ACA0A4EA}" name="Table1" displayName="Table1" ref="A6:K75" totalsRowShown="0">
  <autoFilter ref="A6:K75" xr:uid="{D2222DA1-7940-4CAF-B639-69BE9EB6EC23}"/>
  <sortState xmlns:xlrd2="http://schemas.microsoft.com/office/spreadsheetml/2017/richdata2" ref="A7:K75">
    <sortCondition ref="E6:E75"/>
  </sortState>
  <tableColumns count="11">
    <tableColumn id="1" xr3:uid="{FEE07942-27E5-496C-9CE0-57C74379E5FA}" name="Energy (hartrees)" dataDxfId="29">
      <calculatedColumnFormula>Table1[[#This Row],[Gibbs Energy (hartree)]]</calculatedColumnFormula>
    </tableColumn>
    <tableColumn id="2" xr3:uid="{63BAC07D-9EEB-4F2C-8811-E61BDC1C21EA}" name="Energy (kcal)" dataDxfId="28">
      <calculatedColumnFormula>Table1[[#This Row],[Energy (hartrees)]]*$C$2</calculatedColumnFormula>
    </tableColumn>
    <tableColumn id="3" xr3:uid="{12894FA1-734B-45A6-9EF2-5148A247DA7B}" name="Rel E" dataDxfId="27">
      <calculatedColumnFormula>Table1[[#This Row],[Energy (kcal)]]-MIN(Table1[Energy (kcal)])</calculatedColumnFormula>
    </tableColumn>
    <tableColumn id="4" xr3:uid="{54C0F622-FA42-47B1-9E9E-743875831B4F}" name="Gibbs Energy (hartree)" dataDxfId="26"/>
    <tableColumn id="5" xr3:uid="{BDB0ECDE-37A8-4A43-A3CD-DD9087669A2C}" name="Conformer" dataCellStyle="Normal"/>
    <tableColumn id="6" xr3:uid="{21628E59-03EB-4814-A6DC-64A3C143958C}" name="Classification"/>
    <tableColumn id="7" xr3:uid="{AA0E77B5-E211-487E-B49A-CB97CCF7EB4C}" name="Rotamer"/>
    <tableColumn id="8" xr3:uid="{C8505BC0-77EE-412B-881D-63638FDCF736}" name="rel G" dataDxfId="25">
      <calculatedColumnFormula>Table1[[#This Row],[Rel E]]</calculatedColumnFormula>
    </tableColumn>
    <tableColumn id="9" xr3:uid="{EBC562E8-B9B1-406E-97BC-1FF976A70B16}" name="rel Pop" dataDxfId="24">
      <calculatedColumnFormula>IF(Table1[[#This Row],[rel G]]&lt;5,EXP(-H7/(D$2*E$2)),0)</calculatedColumnFormula>
    </tableColumn>
    <tableColumn id="10" xr3:uid="{7DDF65B3-2008-4EF1-B471-33FC09D4BF35}" name="weight" dataDxfId="23">
      <calculatedColumnFormula>IF(Table1[[#This Row],[rel G]]&lt;5,I7/$F$2,0)</calculatedColumnFormula>
    </tableColumn>
    <tableColumn id="11" xr3:uid="{89EB24DF-08B1-411D-9901-685CD4A89140}" name="Not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20E235-C4B7-40BE-BA2F-32B5A8BAB326}" name="Table2" displayName="Table2" ref="A1:T70" totalsRowShown="0">
  <autoFilter ref="A1:T70" xr:uid="{80F3E59D-79C5-4B7B-9568-C30BCF944036}"/>
  <tableColumns count="20">
    <tableColumn id="1" xr3:uid="{2198BB88-6605-48FF-B11D-ABBAC4DF32C9}" name="Column1"/>
    <tableColumn id="2" xr3:uid="{ECA138EF-DFE0-4FA2-8395-F326AA2F3EC0}" name="J1,2"/>
    <tableColumn id="3" xr3:uid="{B9719F06-DA97-4A47-A1D7-7DB788F1468E}" name="J2,3"/>
    <tableColumn id="4" xr3:uid="{433F98E4-42A0-4622-9B85-6ED7E3978782}" name="J34"/>
    <tableColumn id="5" xr3:uid="{0D07CCDF-37DB-4EE9-8CAB-117F3F1CC3F9}" name="J45"/>
    <tableColumn id="6" xr3:uid="{35492A16-3276-4B47-BBDF-0FEDEEFEA748}" name="J56"/>
    <tableColumn id="7" xr3:uid="{CAAE7FE1-3744-44F8-AF5E-3389DFAB73C4}" name="J67"/>
    <tableColumn id="8" xr3:uid="{9D491360-065E-4CBB-9EB5-7812C352DDD6}" name="J77'"/>
    <tableColumn id="9" xr3:uid="{16E42B76-E02F-4E7A-B038-1A1894011742}" name="J67'"/>
    <tableColumn id="10" xr3:uid="{A5ABFF3F-34FD-4AA6-A6B0-B78B399F171C}" name="weight" dataDxfId="22">
      <calculatedColumnFormula>chloroform!J7</calculatedColumnFormula>
    </tableColumn>
    <tableColumn id="11" xr3:uid="{F5D86611-FEEF-4B78-86A2-EDD564E6E521}" name="classification">
      <calculatedColumnFormula>chloroform!F7</calculatedColumnFormula>
    </tableColumn>
    <tableColumn id="12" xr3:uid="{BA3D2A2B-257F-4BF1-8E9D-90AD4EBF46A9}" name="Column2"/>
    <tableColumn id="13" xr3:uid="{5F435E63-4F32-4514-99E6-0CED455594F8}" name="J1,23">
      <calculatedColumnFormula>0.9155*Table2[[#This Row],[J1,2]]*Table2[[#This Row],[weight]]</calculatedColumnFormula>
    </tableColumn>
    <tableColumn id="14" xr3:uid="{D5A178FE-CB99-47E9-8362-119DC69FD52C}" name="J2,34">
      <calculatedColumnFormula>0.9155*Table2[[#This Row],[J2,3]]*Table2[[#This Row],[weight]]</calculatedColumnFormula>
    </tableColumn>
    <tableColumn id="15" xr3:uid="{8DCD0B45-C5C6-4C5E-B29A-BB6B1BB901BE}" name="J345">
      <calculatedColumnFormula>0.9155*Table2[[#This Row],[J34]]*Table2[[#This Row],[weight]]</calculatedColumnFormula>
    </tableColumn>
    <tableColumn id="16" xr3:uid="{38299B99-8E91-4F27-81EB-5940CBE11CD5}" name="J456">
      <calculatedColumnFormula>0.9155*Table2[[#This Row],[J45]]*Table2[[#This Row],[weight]]</calculatedColumnFormula>
    </tableColumn>
    <tableColumn id="17" xr3:uid="{ABCC17F3-244D-4473-80F1-D83E9E5DB0D9}" name="J567">
      <calculatedColumnFormula>0.9155*Table2[[#This Row],[J56]]*Table2[[#This Row],[weight]]</calculatedColumnFormula>
    </tableColumn>
    <tableColumn id="18" xr3:uid="{31B4933A-A11E-45C2-895C-F766E90CEA50}" name="J678">
      <calculatedColumnFormula>0.9155*Table2[[#This Row],[J67]]*Table2[[#This Row],[weight]]</calculatedColumnFormula>
    </tableColumn>
    <tableColumn id="19" xr3:uid="{91FA6AC6-01C4-442E-910F-0358D29D2E39}" name="J67'9">
      <calculatedColumnFormula>0.9155*Table2[[#This Row],[J67'']]*Table2[[#This Row],[weight]]</calculatedColumnFormula>
    </tableColumn>
    <tableColumn id="20" xr3:uid="{5A98559C-FB8A-42AD-8563-88BCBF6953A2}" name="J77'10">
      <calculatedColumnFormula>0.9155*Table2[[#This Row],[J77'']]*Table2[[#This Row],[weight]]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C9683B3-1EAE-460D-8A60-9BB936A5D5B7}" name="Table3" displayName="Table3" ref="K1:T70" totalsRowShown="0">
  <autoFilter ref="K1:T70" xr:uid="{D8941E95-9795-4A93-81A8-7906E931066E}"/>
  <tableColumns count="10">
    <tableColumn id="1" xr3:uid="{502316A8-00C9-483C-A55E-042B44DAC480}" name="Column1">
      <calculatedColumnFormula>chloroform!E7</calculatedColumnFormula>
    </tableColumn>
    <tableColumn id="2" xr3:uid="{0E2E6069-2A77-412C-ADA4-C97F3F31DD5A}" name="J1,2" dataDxfId="21">
      <calculatedColumnFormula>Table3[[#This Row],[weight]]*(0.9155*Table2[[#This Row],[J1,2]]-A$9)^2</calculatedColumnFormula>
    </tableColumn>
    <tableColumn id="3" xr3:uid="{99C8AE46-1D36-4558-BECE-2A9182B49057}" name="J2,3" dataDxfId="20">
      <calculatedColumnFormula>Table3[[#This Row],[weight]]*(0.9155*Table2[[#This Row],[J2,3]]-B$9)^2</calculatedColumnFormula>
    </tableColumn>
    <tableColumn id="4" xr3:uid="{803275AF-CFEE-4850-AA59-B7DB234A210B}" name="J34" dataDxfId="19">
      <calculatedColumnFormula>Table3[[#This Row],[weight]]*(0.9155*Table2[[#This Row],[J34]]-C$9)^2</calculatedColumnFormula>
    </tableColumn>
    <tableColumn id="5" xr3:uid="{AD807DCB-A3B0-4EB1-BD30-22361475CD38}" name="J45" dataDxfId="18">
      <calculatedColumnFormula>Table3[[#This Row],[weight]]*(0.9155*Table2[[#This Row],[J45]]-D$9)^2</calculatedColumnFormula>
    </tableColumn>
    <tableColumn id="6" xr3:uid="{37B27F45-4581-4973-9AE8-D34D9029691D}" name="J56" dataDxfId="17">
      <calculatedColumnFormula>Table3[[#This Row],[weight]]*(0.9155*Table2[[#This Row],[J56]]-E$9)^2</calculatedColumnFormula>
    </tableColumn>
    <tableColumn id="7" xr3:uid="{BF4C5F4D-3601-4174-8A18-5C730E7E580B}" name="J67" dataDxfId="16">
      <calculatedColumnFormula>Table3[[#This Row],[weight]]*(0.9155*Table2[[#This Row],[J67]]-F$9)^2</calculatedColumnFormula>
    </tableColumn>
    <tableColumn id="8" xr3:uid="{8B48EF87-E5AD-478B-B6EE-9EF474E2BF1E}" name="J67'" dataDxfId="15">
      <calculatedColumnFormula>Table3[[#This Row],[weight]]*(0.9155*Table2[[#This Row],[J67'']]-G$9)^2</calculatedColumnFormula>
    </tableColumn>
    <tableColumn id="9" xr3:uid="{23ACD263-BA0B-4F2B-A70A-089C885DE580}" name="weight">
      <calculatedColumnFormula>chloroform!J7</calculatedColumnFormula>
    </tableColumn>
    <tableColumn id="10" xr3:uid="{B8477986-80BC-40E3-A47B-C498CC76E9FD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9990A7D-F08D-45EC-8330-F088888D87E7}" name="Table4" displayName="Table4" ref="K1:T70" totalsRowShown="0">
  <autoFilter ref="K1:T70" xr:uid="{4F6235A9-2023-4B62-B342-F82B4F81652B}"/>
  <tableColumns count="10">
    <tableColumn id="1" xr3:uid="{5B9CA255-F4EB-4BA1-9F23-B3010FB265F8}" name="Column1">
      <calculatedColumnFormula>chloroform!E7</calculatedColumnFormula>
    </tableColumn>
    <tableColumn id="2" xr3:uid="{AFCE0D9A-0221-486C-9779-B132188E694D}" name="J1,2" dataDxfId="14">
      <calculatedColumnFormula>Table3[[#This Row],[weight]]*(0.9155*Table2[[#This Row],[J1,2]]-A$9)^2</calculatedColumnFormula>
    </tableColumn>
    <tableColumn id="3" xr3:uid="{BC0FF307-497E-4FCE-8FED-D07A264094F7}" name="J2,3" dataDxfId="13">
      <calculatedColumnFormula>Table3[[#This Row],[weight]]*(0.9155*Table2[[#This Row],[J2,3]]-B$9)^2</calculatedColumnFormula>
    </tableColumn>
    <tableColumn id="4" xr3:uid="{42A112DC-DE7A-4ED7-BE47-C9179C10D485}" name="J34" dataDxfId="12">
      <calculatedColumnFormula>Table3[[#This Row],[weight]]*(0.9155*Table2[[#This Row],[J34]]-C$9)^2</calculatedColumnFormula>
    </tableColumn>
    <tableColumn id="5" xr3:uid="{E539553D-57EB-4732-A8E5-359F42069025}" name="J45" dataDxfId="11">
      <calculatedColumnFormula>Table3[[#This Row],[weight]]*(0.9155*Table2[[#This Row],[J45]]-D$9)^2</calculatedColumnFormula>
    </tableColumn>
    <tableColumn id="6" xr3:uid="{37B63D85-DB86-4579-B791-957465BF93B6}" name="J56" dataDxfId="10">
      <calculatedColumnFormula>Table3[[#This Row],[weight]]*(0.9155*Table2[[#This Row],[J56]]-E$9)^2</calculatedColumnFormula>
    </tableColumn>
    <tableColumn id="7" xr3:uid="{8F331390-F594-461F-984E-59C28C29DB64}" name="J67" dataDxfId="9">
      <calculatedColumnFormula>Table3[[#This Row],[weight]]*(0.9155*Table2[[#This Row],[J67]]-F$9)^2</calculatedColumnFormula>
    </tableColumn>
    <tableColumn id="8" xr3:uid="{10E7EDE2-9C64-4F79-A89A-2F9F4A7441CB}" name="J67'" dataDxfId="8">
      <calculatedColumnFormula>Table3[[#This Row],[weight]]*(0.9155*Table2[[#This Row],[J67'']]-G$9)^2</calculatedColumnFormula>
    </tableColumn>
    <tableColumn id="9" xr3:uid="{5DC7A02F-F6F6-40A5-AF33-C35C8FA56DBB}" name="weight">
      <calculatedColumnFormula>chloroform!J7</calculatedColumnFormula>
    </tableColumn>
    <tableColumn id="10" xr3:uid="{98B8F559-A649-4983-8224-F55C307297F5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41CADD4-BC5A-4C62-A1DD-8B2ACB42A230}" name="Table412" displayName="Table412" ref="K1:T70" totalsRowShown="0">
  <autoFilter ref="K1:T70" xr:uid="{1806F2C9-8FD9-4610-A72B-2F8BDF927ED4}"/>
  <tableColumns count="10">
    <tableColumn id="1" xr3:uid="{89A33290-2469-4E8E-BD7B-5BA4CA99D366}" name="Column1">
      <calculatedColumnFormula>chloroform!E7</calculatedColumnFormula>
    </tableColumn>
    <tableColumn id="2" xr3:uid="{94F061F3-AB05-4D67-AA4A-2028D7B5CD10}" name="J1,2" dataDxfId="6">
      <calculatedColumnFormula>Table3[[#This Row],[weight]]*(0.9155*Table2[[#This Row],[J1,2]]-A$9)^2</calculatedColumnFormula>
    </tableColumn>
    <tableColumn id="3" xr3:uid="{2D7C7D69-3E91-4640-AF04-B9CC191C2A07}" name="J2,3" dataDxfId="5">
      <calculatedColumnFormula>Table3[[#This Row],[weight]]*(0.9155*Table2[[#This Row],[J2,3]]-B$9)^2</calculatedColumnFormula>
    </tableColumn>
    <tableColumn id="4" xr3:uid="{A97DBE92-A35B-4666-BF5E-6AEC54E9B882}" name="J34" dataDxfId="4">
      <calculatedColumnFormula>Table3[[#This Row],[weight]]*(0.9155*Table2[[#This Row],[J34]]-C$9)^2</calculatedColumnFormula>
    </tableColumn>
    <tableColumn id="5" xr3:uid="{9A2341B3-24AE-4078-8254-F52F4524C242}" name="J45" dataDxfId="3">
      <calculatedColumnFormula>Table3[[#This Row],[weight]]*(0.9155*Table2[[#This Row],[J45]]-D$9)^2</calculatedColumnFormula>
    </tableColumn>
    <tableColumn id="6" xr3:uid="{5A4E9992-292D-49F5-9013-B8D2F5B01F8A}" name="J56" dataDxfId="2">
      <calculatedColumnFormula>Table3[[#This Row],[weight]]*(0.9155*Table2[[#This Row],[J56]]-E$9)^2</calculatedColumnFormula>
    </tableColumn>
    <tableColumn id="7" xr3:uid="{40297247-3FCF-4DDF-BF44-7D824AE90E7B}" name="J67" dataDxfId="1">
      <calculatedColumnFormula>Table3[[#This Row],[weight]]*(0.9155*Table2[[#This Row],[J67]]-F$9)^2</calculatedColumnFormula>
    </tableColumn>
    <tableColumn id="8" xr3:uid="{046CDBAF-0325-4EAD-AE5F-9E1CD7E09D19}" name="J67'" dataDxfId="0">
      <calculatedColumnFormula>Table3[[#This Row],[weight]]*(0.9155*Table2[[#This Row],[J67'']]-G$9)^2</calculatedColumnFormula>
    </tableColumn>
    <tableColumn id="9" xr3:uid="{C84FDD17-032C-4844-A1EB-FAC55434AC5E}" name="weight">
      <calculatedColumnFormula>chloroform!J7</calculatedColumnFormula>
    </tableColumn>
    <tableColumn id="10" xr3:uid="{39377053-392F-4CFC-B2C6-4E63FCAA601D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78BB-2BC0-4325-8544-70B963963355}">
  <dimension ref="A1:Q91"/>
  <sheetViews>
    <sheetView zoomScale="70" zoomScaleNormal="70" workbookViewId="0">
      <selection activeCell="M44" sqref="M44"/>
    </sheetView>
  </sheetViews>
  <sheetFormatPr defaultRowHeight="15" x14ac:dyDescent="0.25"/>
  <cols>
    <col min="1" max="1" width="16.7109375" customWidth="1"/>
    <col min="2" max="2" width="13.140625" customWidth="1"/>
    <col min="4" max="4" width="20.7109375" customWidth="1"/>
    <col min="5" max="5" width="11.7109375" customWidth="1"/>
    <col min="6" max="6" width="13.7109375" customWidth="1"/>
    <col min="7" max="7" width="10" customWidth="1"/>
    <col min="8" max="8" width="11.140625" bestFit="1" customWidth="1"/>
    <col min="9" max="10" width="9.7109375" bestFit="1" customWidth="1"/>
    <col min="15" max="15" width="24.28515625" customWidth="1"/>
    <col min="24" max="24" width="11" bestFit="1" customWidth="1"/>
  </cols>
  <sheetData>
    <row r="1" spans="1:16" x14ac:dyDescent="0.25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16" x14ac:dyDescent="0.25">
      <c r="A2" s="3"/>
      <c r="B2" s="2"/>
      <c r="C2" s="2">
        <v>627.51</v>
      </c>
      <c r="D2" s="2">
        <v>1.9858800000000002E-3</v>
      </c>
      <c r="E2" s="2">
        <v>298.2</v>
      </c>
      <c r="F2">
        <f>SUMIF(Table1[rel G],"&lt;5",Table1[rel Pop])</f>
        <v>5.216859775471467</v>
      </c>
      <c r="G2">
        <f>SUM(J7:J121)</f>
        <v>1</v>
      </c>
    </row>
    <row r="6" spans="1:16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12</v>
      </c>
      <c r="H6" t="s">
        <v>13</v>
      </c>
      <c r="I6" t="s">
        <v>14</v>
      </c>
      <c r="J6" t="s">
        <v>15</v>
      </c>
      <c r="K6" t="s">
        <v>16</v>
      </c>
      <c r="O6" t="s">
        <v>21</v>
      </c>
      <c r="P6" t="s">
        <v>22</v>
      </c>
    </row>
    <row r="7" spans="1:16" x14ac:dyDescent="0.25">
      <c r="A7">
        <f>Table1[[#This Row],[Gibbs Energy (hartree)]]</f>
        <v>-1260.0183197255401</v>
      </c>
      <c r="B7">
        <f>Table1[[#This Row],[Energy (hartrees)]]*$C$2</f>
        <v>-790674.09581097367</v>
      </c>
      <c r="C7">
        <f>Table1[[#This Row],[Energy (kcal)]]-MIN(Table1[Energy (kcal)])</f>
        <v>1.358721888391301</v>
      </c>
      <c r="D7">
        <v>-1260.0183197255401</v>
      </c>
      <c r="E7">
        <v>2</v>
      </c>
      <c r="F7" t="s">
        <v>17</v>
      </c>
      <c r="H7" s="10">
        <f>Table1[[#This Row],[Rel E]]</f>
        <v>1.358721888391301</v>
      </c>
      <c r="I7" s="10">
        <f>IF(Table1[[#This Row],[rel G]]&lt;5,EXP(-H7/(D$2*E$2)),0)</f>
        <v>0.10082144392138424</v>
      </c>
      <c r="J7" s="10">
        <f>IF(Table1[[#This Row],[rel G]]&lt;5,I7/$F$2,0)</f>
        <v>1.9326078955663063E-2</v>
      </c>
      <c r="M7">
        <f>COUNTIF(Table1[Classification],N7)</f>
        <v>17</v>
      </c>
      <c r="N7" t="s">
        <v>17</v>
      </c>
      <c r="O7">
        <f>SUMIF(Table1[Classification],N7,Table1[weight])</f>
        <v>0.63222900898975809</v>
      </c>
      <c r="P7">
        <f>AVERAGEIF(Table1[Classification],N7,Table1[rel G])</f>
        <v>2.3663822513498256</v>
      </c>
    </row>
    <row r="8" spans="1:16" x14ac:dyDescent="0.25">
      <c r="A8">
        <f>Table1[[#This Row],[Gibbs Energy (hartree)]]</f>
        <v>-1260.0185994042999</v>
      </c>
      <c r="B8">
        <f>Table1[[#This Row],[Energy (hartrees)]]*$C$2</f>
        <v>-790674.2713121922</v>
      </c>
      <c r="C8">
        <f>Table1[[#This Row],[Energy (kcal)]]-MIN(Table1[Energy (kcal)])</f>
        <v>1.1832206698600203</v>
      </c>
      <c r="D8">
        <v>-1260.0185994042999</v>
      </c>
      <c r="E8">
        <v>3</v>
      </c>
      <c r="F8" t="s">
        <v>17</v>
      </c>
      <c r="H8" s="10">
        <f>Table1[[#This Row],[Rel E]]</f>
        <v>1.1832206698600203</v>
      </c>
      <c r="I8" s="10">
        <f>IF(Table1[[#This Row],[rel G]]&lt;5,EXP(-H8/(D$2*E$2)),0)</f>
        <v>0.13560022139266845</v>
      </c>
      <c r="J8" s="10">
        <f>IF(Table1[[#This Row],[rel G]]&lt;5,I8/$F$2,0)</f>
        <v>2.5992690474494064E-2</v>
      </c>
      <c r="M8">
        <f>COUNTIF(Table1[Classification],N8)</f>
        <v>15</v>
      </c>
      <c r="N8" t="s">
        <v>122</v>
      </c>
      <c r="O8">
        <f>SUMIF(Table1[Classification],N8,Table1[weight])</f>
        <v>0.24943967149327839</v>
      </c>
      <c r="P8">
        <f>AVERAGEIF(Table1[Classification],N8,Table1[rel G])</f>
        <v>3.0659569737268613</v>
      </c>
    </row>
    <row r="9" spans="1:16" x14ac:dyDescent="0.25">
      <c r="A9">
        <f>Table1[[#This Row],[Gibbs Energy (hartree)]]</f>
        <v>-1260.0197712623401</v>
      </c>
      <c r="B9">
        <f>Table1[[#This Row],[Energy (hartrees)]]*$C$2</f>
        <v>-790675.00666483107</v>
      </c>
      <c r="C9">
        <f>Table1[[#This Row],[Energy (kcal)]]-MIN(Table1[Energy (kcal)])</f>
        <v>0.44786803098395467</v>
      </c>
      <c r="D9">
        <v>-1260.0197712623401</v>
      </c>
      <c r="E9">
        <v>4</v>
      </c>
      <c r="F9" t="s">
        <v>17</v>
      </c>
      <c r="H9" s="10">
        <f>Table1[[#This Row],[Rel E]]</f>
        <v>0.44786803098395467</v>
      </c>
      <c r="I9" s="10">
        <f>IF(Table1[[#This Row],[rel G]]&lt;5,EXP(-H9/(D$2*E$2)),0)</f>
        <v>0.46940382195310199</v>
      </c>
      <c r="J9" s="10">
        <f>IF(Table1[[#This Row],[rel G]]&lt;5,I9/$F$2,0)</f>
        <v>8.9978232529870944E-2</v>
      </c>
      <c r="M9">
        <f>COUNTIF(Table1[Classification],N9)</f>
        <v>11</v>
      </c>
      <c r="N9" t="s">
        <v>19</v>
      </c>
      <c r="O9">
        <f>SUMIF(Table1[Classification],N9,Table1[weight])</f>
        <v>9.8559244805712487E-2</v>
      </c>
      <c r="P9">
        <f>AVERAGEIF(Table1[Classification],N9,Table1[rel G])</f>
        <v>3.3838394187306138</v>
      </c>
    </row>
    <row r="10" spans="1:16" x14ac:dyDescent="0.25">
      <c r="A10">
        <f>Table1[[#This Row],[Gibbs Energy (hartree)]]</f>
        <v>-1260.0204849848801</v>
      </c>
      <c r="B10">
        <f>Table1[[#This Row],[Energy (hartrees)]]*$C$2</f>
        <v>-790675.45453286206</v>
      </c>
      <c r="C10">
        <f>Table1[[#This Row],[Energy (kcal)]]-MIN(Table1[Energy (kcal)])</f>
        <v>0</v>
      </c>
      <c r="D10">
        <v>-1260.0204849848801</v>
      </c>
      <c r="E10">
        <v>6</v>
      </c>
      <c r="F10" t="s">
        <v>17</v>
      </c>
      <c r="H10" s="10">
        <f>Table1[[#This Row],[Rel E]]</f>
        <v>0</v>
      </c>
      <c r="I10" s="10">
        <f>IF(Table1[[#This Row],[rel G]]&lt;5,EXP(-H10/(D$2*E$2)),0)</f>
        <v>1</v>
      </c>
      <c r="J10" s="10">
        <f>IF(Table1[[#This Row],[rel G]]&lt;5,I10/$F$2,0)</f>
        <v>0.19168619495999895</v>
      </c>
      <c r="M10">
        <f>COUNTIF(Table1[Classification],N10)</f>
        <v>3</v>
      </c>
      <c r="N10" t="s">
        <v>123</v>
      </c>
      <c r="O10">
        <f>SUMIF(Table1[Classification],N10,Table1[weight])</f>
        <v>1.2243023219322142E-2</v>
      </c>
      <c r="P10">
        <f>AVERAGEIF(Table1[Classification],N10,Table1[rel G])</f>
        <v>3.3672703793660426</v>
      </c>
    </row>
    <row r="11" spans="1:16" x14ac:dyDescent="0.25">
      <c r="A11">
        <f>Table1[[#This Row],[Gibbs Energy (hartree)]]</f>
        <v>-1260.01776904486</v>
      </c>
      <c r="B11">
        <f>Table1[[#This Row],[Energy (hartrees)]]*$C$2</f>
        <v>-790673.75025334011</v>
      </c>
      <c r="C11">
        <f>Table1[[#This Row],[Energy (kcal)]]-MIN(Table1[Energy (kcal)])</f>
        <v>1.704279521945864</v>
      </c>
      <c r="D11">
        <v>-1260.01776904486</v>
      </c>
      <c r="E11">
        <v>7</v>
      </c>
      <c r="F11" t="s">
        <v>122</v>
      </c>
      <c r="H11" s="10">
        <f>Table1[[#This Row],[Rel E]]</f>
        <v>1.704279521945864</v>
      </c>
      <c r="I11" s="10">
        <f>IF(Table1[[#This Row],[rel G]]&lt;5,EXP(-H11/(D$2*E$2)),0)</f>
        <v>5.6251097724323372E-2</v>
      </c>
      <c r="J11" s="10">
        <f>IF(Table1[[#This Row],[rel G]]&lt;5,I11/$F$2,0)</f>
        <v>1.0782558885098603E-2</v>
      </c>
      <c r="M11">
        <f>COUNTIF(Table1[Classification],N12)</f>
        <v>6</v>
      </c>
      <c r="N11" t="s">
        <v>20</v>
      </c>
      <c r="O11">
        <f>SUMIF(Table1[Classification],N11,Table1[weight])</f>
        <v>2.3660973821314083E-3</v>
      </c>
      <c r="P11">
        <f>AVERAGEIF(Table1[Classification],N12,Table1[rel G])</f>
        <v>4.1317872722089914</v>
      </c>
    </row>
    <row r="12" spans="1:16" x14ac:dyDescent="0.25">
      <c r="A12">
        <f>Table1[[#This Row],[Gibbs Energy (hartree)]]</f>
        <v>-1260.0197030363499</v>
      </c>
      <c r="B12">
        <f>Table1[[#This Row],[Energy (hartrees)]]*$C$2</f>
        <v>-790674.96385233989</v>
      </c>
      <c r="C12">
        <f>Table1[[#This Row],[Energy (kcal)]]-MIN(Table1[Energy (kcal)])</f>
        <v>0.4906805221689865</v>
      </c>
      <c r="D12">
        <v>-1260.0197030363499</v>
      </c>
      <c r="E12">
        <v>8</v>
      </c>
      <c r="F12" t="s">
        <v>17</v>
      </c>
      <c r="H12" s="10">
        <f>Table1[[#This Row],[Rel E]]</f>
        <v>0.4906805221689865</v>
      </c>
      <c r="I12" s="10">
        <f>IF(Table1[[#This Row],[rel G]]&lt;5,EXP(-H12/(D$2*E$2)),0)</f>
        <v>0.43666580745957495</v>
      </c>
      <c r="J12" s="10">
        <f>IF(Table1[[#This Row],[rel G]]&lt;5,I12/$F$2,0)</f>
        <v>8.3702807101061455E-2</v>
      </c>
      <c r="M12">
        <f>COUNTIF(Table1[Classification],N11)</f>
        <v>12</v>
      </c>
      <c r="N12" t="s">
        <v>18</v>
      </c>
      <c r="O12">
        <f>SUMIF(Table1[Classification],N12,Table1[weight])</f>
        <v>4.9305117691462721E-3</v>
      </c>
      <c r="P12">
        <f>AVERAGEIF(Table1[Classification],N11,Table1[rel G])</f>
        <v>4.461985197519728</v>
      </c>
    </row>
    <row r="13" spans="1:16" x14ac:dyDescent="0.25">
      <c r="A13">
        <f>Table1[[#This Row],[Gibbs Energy (hartree)]]</f>
        <v>-1260.0185004663999</v>
      </c>
      <c r="B13">
        <f>Table1[[#This Row],[Energy (hartrees)]]*$C$2</f>
        <v>-790674.20922767057</v>
      </c>
      <c r="C13">
        <f>Table1[[#This Row],[Energy (kcal)]]-MIN(Table1[Energy (kcal)])</f>
        <v>1.2453051914926618</v>
      </c>
      <c r="D13">
        <v>-1260.0185004663999</v>
      </c>
      <c r="E13">
        <v>9</v>
      </c>
      <c r="F13" t="s">
        <v>17</v>
      </c>
      <c r="H13" s="10">
        <f>Table1[[#This Row],[Rel E]]</f>
        <v>1.2453051914926618</v>
      </c>
      <c r="I13" s="10">
        <f>IF(Table1[[#This Row],[rel G]]&lt;5,EXP(-H13/(D$2*E$2)),0)</f>
        <v>0.12210386678950523</v>
      </c>
      <c r="J13" s="10">
        <f>IF(Table1[[#This Row],[rel G]]&lt;5,I13/$F$2,0)</f>
        <v>2.3405625614782842E-2</v>
      </c>
      <c r="M13">
        <f>COUNTIF(Table1[Classification],N13)</f>
        <v>4</v>
      </c>
      <c r="N13" t="s">
        <v>124</v>
      </c>
      <c r="O13">
        <f>SUMIF(Table1[Classification],N13,Table1[weight])</f>
        <v>2.3244234065140262E-4</v>
      </c>
      <c r="P13">
        <f>AVERAGEIF(Table1[Classification],N13,Table1[rel G])</f>
        <v>4.8971251148905139</v>
      </c>
    </row>
    <row r="14" spans="1:16" x14ac:dyDescent="0.25">
      <c r="A14">
        <f>Table1[[#This Row],[Gibbs Energy (hartree)]]</f>
        <v>-1260.01018443425</v>
      </c>
      <c r="B14">
        <f>Table1[[#This Row],[Energy (hartrees)]]*$C$2</f>
        <v>-790668.99083433626</v>
      </c>
      <c r="C14">
        <f>Table1[[#This Row],[Energy (kcal)]]-MIN(Table1[Energy (kcal)])</f>
        <v>6.4636985257966444</v>
      </c>
      <c r="D14">
        <v>-1260.01018443425</v>
      </c>
      <c r="E14">
        <v>14</v>
      </c>
      <c r="F14" t="s">
        <v>122</v>
      </c>
      <c r="H14" s="10">
        <f>Table1[[#This Row],[Rel E]]</f>
        <v>6.4636985257966444</v>
      </c>
      <c r="I14" s="10">
        <f>IF(Table1[[#This Row],[rel G]]&lt;5,EXP(-H14/(D$2*E$2)),0)</f>
        <v>0</v>
      </c>
      <c r="J14" s="10">
        <f>IF(Table1[[#This Row],[rel G]]&lt;5,I14/$F$2,0)</f>
        <v>0</v>
      </c>
      <c r="O14">
        <f>SUM(O7:O13)</f>
        <v>1.0000000000000002</v>
      </c>
    </row>
    <row r="15" spans="1:16" x14ac:dyDescent="0.25">
      <c r="A15">
        <f>Table1[[#This Row],[Gibbs Energy (hartree)]]</f>
        <v>-1260.0186237969499</v>
      </c>
      <c r="B15">
        <f>Table1[[#This Row],[Energy (hartrees)]]*$C$2</f>
        <v>-790674.286618824</v>
      </c>
      <c r="C15">
        <f>Table1[[#This Row],[Energy (kcal)]]-MIN(Table1[Energy (kcal)])</f>
        <v>1.1679140380583704</v>
      </c>
      <c r="D15">
        <v>-1260.0186237969499</v>
      </c>
      <c r="E15">
        <v>15</v>
      </c>
      <c r="F15" t="s">
        <v>122</v>
      </c>
      <c r="H15" s="10">
        <f>Table1[[#This Row],[Rel E]]</f>
        <v>1.1679140380583704</v>
      </c>
      <c r="I15" s="10">
        <f>IF(Table1[[#This Row],[rel G]]&lt;5,EXP(-H15/(D$2*E$2)),0)</f>
        <v>0.13915084144591991</v>
      </c>
      <c r="J15" s="10">
        <f>IF(Table1[[#This Row],[rel G]]&lt;5,I15/$F$2,0)</f>
        <v>2.6673295322250507E-2</v>
      </c>
    </row>
    <row r="16" spans="1:16" x14ac:dyDescent="0.25">
      <c r="A16">
        <f>Table1[[#This Row],[Gibbs Energy (hartree)]]</f>
        <v>-1260.0191903039799</v>
      </c>
      <c r="B16">
        <f>Table1[[#This Row],[Energy (hartrees)]]*$C$2</f>
        <v>-790674.6421076504</v>
      </c>
      <c r="C16">
        <f>Table1[[#This Row],[Energy (kcal)]]-MIN(Table1[Energy (kcal)])</f>
        <v>0.81242521165404469</v>
      </c>
      <c r="D16">
        <v>-1260.0191903039799</v>
      </c>
      <c r="E16">
        <v>16</v>
      </c>
      <c r="F16" t="s">
        <v>17</v>
      </c>
      <c r="H16" s="10">
        <f>Table1[[#This Row],[Rel E]]</f>
        <v>0.81242521165404469</v>
      </c>
      <c r="I16" s="10">
        <f>IF(Table1[[#This Row],[rel G]]&lt;5,EXP(-H16/(D$2*E$2)),0)</f>
        <v>0.2536243783572637</v>
      </c>
      <c r="J16" s="10">
        <f>IF(Table1[[#This Row],[rel G]]&lt;5,I16/$F$2,0)</f>
        <v>4.8616292036398993E-2</v>
      </c>
    </row>
    <row r="17" spans="1:15" x14ac:dyDescent="0.25">
      <c r="A17">
        <f>Table1[[#This Row],[Gibbs Energy (hartree)]]</f>
        <v>-1260.02005773371</v>
      </c>
      <c r="B17">
        <f>Table1[[#This Row],[Energy (hartrees)]]*$C$2</f>
        <v>-790675.18642848032</v>
      </c>
      <c r="C17">
        <f>Table1[[#This Row],[Energy (kcal)]]-MIN(Table1[Energy (kcal)])</f>
        <v>0.2681043817428872</v>
      </c>
      <c r="D17">
        <v>-1260.02005773371</v>
      </c>
      <c r="E17">
        <v>17</v>
      </c>
      <c r="F17" t="s">
        <v>122</v>
      </c>
      <c r="H17" s="10">
        <f>Table1[[#This Row],[Rel E]]</f>
        <v>0.2681043817428872</v>
      </c>
      <c r="I17" s="10">
        <f>IF(Table1[[#This Row],[rel G]]&lt;5,EXP(-H17/(D$2*E$2)),0)</f>
        <v>0.63588715118126082</v>
      </c>
      <c r="J17" s="10">
        <f>IF(Table1[[#This Row],[rel G]]&lt;5,I17/$F$2,0)</f>
        <v>0.12189078843388949</v>
      </c>
      <c r="O17">
        <f>SUM(O7:O9)</f>
        <v>0.98022792528874891</v>
      </c>
    </row>
    <row r="18" spans="1:15" x14ac:dyDescent="0.25">
      <c r="A18">
        <f>Table1[[#This Row],[Gibbs Energy (hartree)]]</f>
        <v>-1260.0165367300201</v>
      </c>
      <c r="B18">
        <f>Table1[[#This Row],[Energy (hartrees)]]*$C$2</f>
        <v>-790672.97696345486</v>
      </c>
      <c r="C18">
        <f>Table1[[#This Row],[Energy (kcal)]]-MIN(Table1[Energy (kcal)])</f>
        <v>2.4775694072013721</v>
      </c>
      <c r="D18">
        <v>-1260.0165367300201</v>
      </c>
      <c r="E18">
        <v>19</v>
      </c>
      <c r="F18" t="s">
        <v>18</v>
      </c>
      <c r="H18" s="10">
        <f>Table1[[#This Row],[Rel E]]</f>
        <v>2.4775694072013721</v>
      </c>
      <c r="I18" s="10">
        <f>IF(Table1[[#This Row],[rel G]]&lt;5,EXP(-H18/(D$2*E$2)),0)</f>
        <v>1.5241324403597456E-2</v>
      </c>
      <c r="J18" s="10">
        <f>IF(Table1[[#This Row],[rel G]]&lt;5,I18/$F$2,0)</f>
        <v>2.9215514810765719E-3</v>
      </c>
    </row>
    <row r="19" spans="1:15" x14ac:dyDescent="0.25">
      <c r="A19">
        <f>Table1[[#This Row],[Gibbs Energy (hartree)]]</f>
        <v>-1260.0189961646499</v>
      </c>
      <c r="B19">
        <f>Table1[[#This Row],[Energy (hartrees)]]*$C$2</f>
        <v>-790674.52028327947</v>
      </c>
      <c r="C19">
        <f>Table1[[#This Row],[Energy (kcal)]]-MIN(Table1[Energy (kcal)])</f>
        <v>0.93424958258401603</v>
      </c>
      <c r="D19">
        <v>-1260.0189961646499</v>
      </c>
      <c r="E19">
        <v>20</v>
      </c>
      <c r="F19" t="s">
        <v>17</v>
      </c>
      <c r="H19" s="10">
        <f>Table1[[#This Row],[Rel E]]</f>
        <v>0.93424958258401603</v>
      </c>
      <c r="I19" s="10">
        <f>IF(Table1[[#This Row],[rel G]]&lt;5,EXP(-H19/(D$2*E$2)),0)</f>
        <v>0.20646600174075572</v>
      </c>
      <c r="J19" s="10">
        <f>IF(Table1[[#This Row],[rel G]]&lt;5,I19/$F$2,0)</f>
        <v>3.9576682262289983E-2</v>
      </c>
    </row>
    <row r="20" spans="1:15" x14ac:dyDescent="0.25">
      <c r="A20">
        <f>Table1[[#This Row],[Gibbs Energy (hartree)]]</f>
        <v>-1260.01346296985</v>
      </c>
      <c r="B20">
        <f>Table1[[#This Row],[Energy (hartrees)]]*$C$2</f>
        <v>-790671.04814821063</v>
      </c>
      <c r="C20">
        <f>Table1[[#This Row],[Energy (kcal)]]-MIN(Table1[Energy (kcal)])</f>
        <v>4.4063846514327452</v>
      </c>
      <c r="D20">
        <v>-1260.01346296985</v>
      </c>
      <c r="E20">
        <v>21</v>
      </c>
      <c r="F20" t="s">
        <v>124</v>
      </c>
      <c r="H20" s="10">
        <f>Table1[[#This Row],[Rel E]]</f>
        <v>4.4063846514327452</v>
      </c>
      <c r="I20" s="10">
        <f>IF(Table1[[#This Row],[rel G]]&lt;5,EXP(-H20/(D$2*E$2)),0)</f>
        <v>5.8679410921873244E-4</v>
      </c>
      <c r="J20" s="10">
        <f>IF(Table1[[#This Row],[rel G]]&lt;5,I20/$F$2,0)</f>
        <v>1.1248033002108086E-4</v>
      </c>
    </row>
    <row r="21" spans="1:15" x14ac:dyDescent="0.25">
      <c r="A21">
        <f>Table1[[#This Row],[Gibbs Energy (hartree)]]</f>
        <v>-1260.01470267577</v>
      </c>
      <c r="B21">
        <f>Table1[[#This Row],[Energy (hartrees)]]*$C$2</f>
        <v>-790671.82607607241</v>
      </c>
      <c r="C21">
        <f>Table1[[#This Row],[Energy (kcal)]]-MIN(Table1[Energy (kcal)])</f>
        <v>3.6284567896509543</v>
      </c>
      <c r="D21">
        <v>-1260.01470267577</v>
      </c>
      <c r="E21">
        <v>22</v>
      </c>
      <c r="F21" t="s">
        <v>122</v>
      </c>
      <c r="H21" s="10">
        <f>Table1[[#This Row],[Rel E]]</f>
        <v>3.6284567896509543</v>
      </c>
      <c r="I21" s="10">
        <f>IF(Table1[[#This Row],[rel G]]&lt;5,EXP(-H21/(D$2*E$2)),0)</f>
        <v>2.1827067798059897E-3</v>
      </c>
      <c r="J21" s="10">
        <f>IF(Table1[[#This Row],[rel G]]&lt;5,I21/$F$2,0)</f>
        <v>4.1839475733440249E-4</v>
      </c>
    </row>
    <row r="22" spans="1:15" x14ac:dyDescent="0.25">
      <c r="A22">
        <f>Table1[[#This Row],[Gibbs Energy (hartree)]]</f>
        <v>-1260.01217725479</v>
      </c>
      <c r="B22">
        <f>Table1[[#This Row],[Energy (hartrees)]]*$C$2</f>
        <v>-790670.24134915322</v>
      </c>
      <c r="C22">
        <f>Table1[[#This Row],[Energy (kcal)]]-MIN(Table1[Energy (kcal)])</f>
        <v>5.2131837088381872</v>
      </c>
      <c r="D22">
        <v>-1260.01217725479</v>
      </c>
      <c r="E22">
        <v>23</v>
      </c>
      <c r="F22" t="s">
        <v>124</v>
      </c>
      <c r="H22" s="10">
        <f>Table1[[#This Row],[Rel E]]</f>
        <v>5.2131837088381872</v>
      </c>
      <c r="I22" s="10">
        <f>IF(Table1[[#This Row],[rel G]]&lt;5,EXP(-H22/(D$2*E$2)),0)</f>
        <v>0</v>
      </c>
      <c r="J22" s="10">
        <f>IF(Table1[[#This Row],[rel G]]&lt;5,I22/$F$2,0)</f>
        <v>0</v>
      </c>
    </row>
    <row r="23" spans="1:15" x14ac:dyDescent="0.25">
      <c r="A23">
        <f>Table1[[#This Row],[Gibbs Energy (hartree)]]</f>
        <v>-1260.01563150426</v>
      </c>
      <c r="B23">
        <f>Table1[[#This Row],[Energy (hartrees)]]*$C$2</f>
        <v>-790672.40892523818</v>
      </c>
      <c r="C23">
        <f>Table1[[#This Row],[Energy (kcal)]]-MIN(Table1[Energy (kcal)])</f>
        <v>3.0456076238770038</v>
      </c>
      <c r="D23">
        <v>-1260.01563150426</v>
      </c>
      <c r="E23">
        <v>24</v>
      </c>
      <c r="F23" t="s">
        <v>122</v>
      </c>
      <c r="H23" s="10">
        <f>Table1[[#This Row],[Rel E]]</f>
        <v>3.0456076238770038</v>
      </c>
      <c r="I23" s="10">
        <f>IF(Table1[[#This Row],[rel G]]&lt;5,EXP(-H23/(D$2*E$2)),0)</f>
        <v>5.8403652958149751E-3</v>
      </c>
      <c r="J23" s="10">
        <f>IF(Table1[[#This Row],[rel G]]&lt;5,I23/$F$2,0)</f>
        <v>1.1195174007312013E-3</v>
      </c>
    </row>
    <row r="24" spans="1:15" x14ac:dyDescent="0.25">
      <c r="A24">
        <f>Table1[[#This Row],[Gibbs Energy (hartree)]]</f>
        <v>-1260.01774452525</v>
      </c>
      <c r="B24">
        <f>Table1[[#This Row],[Energy (hartrees)]]*$C$2</f>
        <v>-790673.7348670396</v>
      </c>
      <c r="C24">
        <f>Table1[[#This Row],[Energy (kcal)]]-MIN(Table1[Energy (kcal)])</f>
        <v>1.7196658224565908</v>
      </c>
      <c r="D24">
        <v>-1260.01774452525</v>
      </c>
      <c r="E24">
        <v>26</v>
      </c>
      <c r="F24" t="s">
        <v>122</v>
      </c>
      <c r="H24" s="10">
        <f>Table1[[#This Row],[Rel E]]</f>
        <v>1.7196658224565908</v>
      </c>
      <c r="I24" s="10">
        <f>IF(Table1[[#This Row],[rel G]]&lt;5,EXP(-H24/(D$2*E$2)),0)</f>
        <v>5.4808401635257575E-2</v>
      </c>
      <c r="J24" s="10">
        <f>IF(Table1[[#This Row],[rel G]]&lt;5,I24/$F$2,0)</f>
        <v>1.0506013961301909E-2</v>
      </c>
    </row>
    <row r="25" spans="1:15" x14ac:dyDescent="0.25">
      <c r="A25">
        <f>Table1[[#This Row],[Gibbs Energy (hartree)]]</f>
        <v>-1260.01872503443</v>
      </c>
      <c r="B25">
        <f>Table1[[#This Row],[Energy (hartrees)]]*$C$2</f>
        <v>-790674.35014635511</v>
      </c>
      <c r="C25">
        <f>Table1[[#This Row],[Energy (kcal)]]-MIN(Table1[Energy (kcal)])</f>
        <v>1.104386506951414</v>
      </c>
      <c r="D25">
        <v>-1260.01872503443</v>
      </c>
      <c r="E25">
        <v>27</v>
      </c>
      <c r="F25" t="s">
        <v>17</v>
      </c>
      <c r="H25" s="10">
        <f>Table1[[#This Row],[Rel E]]</f>
        <v>1.104386506951414</v>
      </c>
      <c r="I25" s="10">
        <f>IF(Table1[[#This Row],[rel G]]&lt;5,EXP(-H25/(D$2*E$2)),0)</f>
        <v>0.15490843956316949</v>
      </c>
      <c r="J25" s="10">
        <f>IF(Table1[[#This Row],[rel G]]&lt;5,I25/$F$2,0)</f>
        <v>2.9693809347054925E-2</v>
      </c>
    </row>
    <row r="26" spans="1:15" x14ac:dyDescent="0.25">
      <c r="A26">
        <f>Table1[[#This Row],[Gibbs Energy (hartree)]]</f>
        <v>-1260.01522512425</v>
      </c>
      <c r="B26">
        <f>Table1[[#This Row],[Energy (hartrees)]]*$C$2</f>
        <v>-790672.1539177181</v>
      </c>
      <c r="C26">
        <f>Table1[[#This Row],[Energy (kcal)]]-MIN(Table1[Energy (kcal)])</f>
        <v>3.3006151439622045</v>
      </c>
      <c r="D26">
        <v>-1260.01522512425</v>
      </c>
      <c r="E26">
        <v>30</v>
      </c>
      <c r="F26" t="s">
        <v>18</v>
      </c>
      <c r="H26" s="10">
        <f>Table1[[#This Row],[Rel E]]</f>
        <v>3.3006151439622045</v>
      </c>
      <c r="I26" s="10">
        <f>IF(Table1[[#This Row],[rel G]]&lt;5,EXP(-H26/(D$2*E$2)),0)</f>
        <v>3.7968629252807563E-3</v>
      </c>
      <c r="J26" s="10">
        <f>IF(Table1[[#This Row],[rel G]]&lt;5,I26/$F$2,0)</f>
        <v>7.2780620693175906E-4</v>
      </c>
    </row>
    <row r="27" spans="1:15" x14ac:dyDescent="0.25">
      <c r="A27">
        <f>Table1[[#This Row],[Gibbs Energy (hartree)]]</f>
        <v>-1260.01603047002</v>
      </c>
      <c r="B27">
        <f>Table1[[#This Row],[Energy (hartrees)]]*$C$2</f>
        <v>-790672.65928024228</v>
      </c>
      <c r="C27">
        <f>Table1[[#This Row],[Energy (kcal)]]-MIN(Table1[Energy (kcal)])</f>
        <v>2.7952526197768748</v>
      </c>
      <c r="D27">
        <v>-1260.01603047002</v>
      </c>
      <c r="E27">
        <v>33</v>
      </c>
      <c r="F27" t="s">
        <v>122</v>
      </c>
      <c r="H27" s="10">
        <f>Table1[[#This Row],[Rel E]]</f>
        <v>2.7952526197768748</v>
      </c>
      <c r="I27" s="10">
        <f>IF(Table1[[#This Row],[rel G]]&lt;5,EXP(-H27/(D$2*E$2)),0)</f>
        <v>8.9133936082771807E-3</v>
      </c>
      <c r="J27" s="10">
        <f>IF(Table1[[#This Row],[rel G]]&lt;5,I27/$F$2,0)</f>
        <v>1.7085745049514281E-3</v>
      </c>
    </row>
    <row r="28" spans="1:15" x14ac:dyDescent="0.25">
      <c r="A28">
        <f>Table1[[#This Row],[Gibbs Energy (hartree)]]</f>
        <v>-1260.01505252385</v>
      </c>
      <c r="B28">
        <f>Table1[[#This Row],[Energy (hartrees)]]*$C$2</f>
        <v>-790672.04560924112</v>
      </c>
      <c r="C28">
        <f>Table1[[#This Row],[Energy (kcal)]]-MIN(Table1[Energy (kcal)])</f>
        <v>3.4089236209401861</v>
      </c>
      <c r="D28">
        <v>-1260.01505252385</v>
      </c>
      <c r="E28">
        <v>34</v>
      </c>
      <c r="F28" t="s">
        <v>18</v>
      </c>
      <c r="H28" s="10">
        <f>Table1[[#This Row],[Rel E]]</f>
        <v>3.4089236209401861</v>
      </c>
      <c r="I28" s="10">
        <f>IF(Table1[[#This Row],[rel G]]&lt;5,EXP(-H28/(D$2*E$2)),0)</f>
        <v>3.1622385869244638E-3</v>
      </c>
      <c r="J28" s="10">
        <f>IF(Table1[[#This Row],[rel G]]&lt;5,I28/$F$2,0)</f>
        <v>6.0615748228323436E-4</v>
      </c>
    </row>
    <row r="29" spans="1:15" x14ac:dyDescent="0.25">
      <c r="A29">
        <f>Table1[[#This Row],[Gibbs Energy (hartree)]]</f>
        <v>-1260.01900574502</v>
      </c>
      <c r="B29">
        <f>Table1[[#This Row],[Energy (hartrees)]]*$C$2</f>
        <v>-790674.5262950575</v>
      </c>
      <c r="C29">
        <f>Table1[[#This Row],[Energy (kcal)]]-MIN(Table1[Energy (kcal)])</f>
        <v>0.92823780456092209</v>
      </c>
      <c r="D29">
        <v>-1260.01900574502</v>
      </c>
      <c r="E29">
        <v>38</v>
      </c>
      <c r="F29" t="s">
        <v>122</v>
      </c>
      <c r="H29" s="10">
        <f>Table1[[#This Row],[Rel E]]</f>
        <v>0.92823780456092209</v>
      </c>
      <c r="I29" s="10">
        <f>IF(Table1[[#This Row],[rel G]]&lt;5,EXP(-H29/(D$2*E$2)),0)</f>
        <v>0.20857267479034</v>
      </c>
      <c r="J29" s="10">
        <f>IF(Table1[[#This Row],[rel G]]&lt;5,I29/$F$2,0)</f>
        <v>3.9980502403189573E-2</v>
      </c>
    </row>
    <row r="30" spans="1:15" x14ac:dyDescent="0.25">
      <c r="A30">
        <f>Table1[[#This Row],[Gibbs Energy (hartree)]]</f>
        <v>-1260.0192299983901</v>
      </c>
      <c r="B30">
        <f>Table1[[#This Row],[Energy (hartrees)]]*$C$2</f>
        <v>-790674.66701628978</v>
      </c>
      <c r="C30">
        <f>Table1[[#This Row],[Energy (kcal)]]-MIN(Table1[Energy (kcal)])</f>
        <v>0.78751657227985561</v>
      </c>
      <c r="D30">
        <v>-1260.0192299983901</v>
      </c>
      <c r="E30">
        <v>39</v>
      </c>
      <c r="F30" t="s">
        <v>17</v>
      </c>
      <c r="H30" s="10">
        <f>Table1[[#This Row],[Rel E]]</f>
        <v>0.78751657227985561</v>
      </c>
      <c r="I30" s="10">
        <f>IF(Table1[[#This Row],[rel G]]&lt;5,EXP(-H30/(D$2*E$2)),0)</f>
        <v>0.2645198493654865</v>
      </c>
      <c r="J30" s="10">
        <f>IF(Table1[[#This Row],[rel G]]&lt;5,I30/$F$2,0)</f>
        <v>5.0704803416262205E-2</v>
      </c>
    </row>
    <row r="31" spans="1:15" x14ac:dyDescent="0.25">
      <c r="A31">
        <f>Table1[[#This Row],[Gibbs Energy (hartree)]]</f>
        <v>-1260.01859580939</v>
      </c>
      <c r="B31">
        <f>Table1[[#This Row],[Energy (hartrees)]]*$C$2</f>
        <v>-790674.26905635034</v>
      </c>
      <c r="C31">
        <f>Table1[[#This Row],[Energy (kcal)]]-MIN(Table1[Energy (kcal)])</f>
        <v>1.1854765117168427</v>
      </c>
      <c r="D31">
        <v>-1260.01859580939</v>
      </c>
      <c r="E31">
        <v>41</v>
      </c>
      <c r="F31" t="s">
        <v>17</v>
      </c>
      <c r="H31" s="10">
        <f>Table1[[#This Row],[Rel E]]</f>
        <v>1.1854765117168427</v>
      </c>
      <c r="I31" s="10">
        <f>IF(Table1[[#This Row],[rel G]]&lt;5,EXP(-H31/(D$2*E$2)),0)</f>
        <v>0.13508465869632164</v>
      </c>
      <c r="J31" s="10">
        <f>IF(Table1[[#This Row],[rel G]]&lt;5,I31/$F$2,0)</f>
        <v>2.5893864222968029E-2</v>
      </c>
    </row>
    <row r="32" spans="1:15" x14ac:dyDescent="0.25">
      <c r="A32">
        <f>Table1[[#This Row],[Gibbs Energy (hartree)]]</f>
        <v>-1260.01167985077</v>
      </c>
      <c r="B32">
        <f>Table1[[#This Row],[Energy (hartrees)]]*$C$2</f>
        <v>-790669.92922315665</v>
      </c>
      <c r="C32">
        <f>Table1[[#This Row],[Energy (kcal)]]-MIN(Table1[Energy (kcal)])</f>
        <v>5.52530970540829</v>
      </c>
      <c r="D32">
        <v>-1260.01167985077</v>
      </c>
      <c r="E32">
        <v>45</v>
      </c>
      <c r="F32" t="s">
        <v>122</v>
      </c>
      <c r="H32" s="10">
        <f>Table1[[#This Row],[Rel E]]</f>
        <v>5.52530970540829</v>
      </c>
      <c r="I32" s="10">
        <f>IF(Table1[[#This Row],[rel G]]&lt;5,EXP(-H32/(D$2*E$2)),0)</f>
        <v>0</v>
      </c>
      <c r="J32" s="10">
        <f>IF(Table1[[#This Row],[rel G]]&lt;5,I32/$F$2,0)</f>
        <v>0</v>
      </c>
    </row>
    <row r="33" spans="1:17" x14ac:dyDescent="0.25">
      <c r="A33">
        <f>Table1[[#This Row],[Gibbs Energy (hartree)]]</f>
        <v>-1260.0176442534701</v>
      </c>
      <c r="B33">
        <f>Table1[[#This Row],[Energy (hartrees)]]*$C$2</f>
        <v>-790673.67194549495</v>
      </c>
      <c r="C33">
        <f>Table1[[#This Row],[Energy (kcal)]]-MIN(Table1[Energy (kcal)])</f>
        <v>1.7825873671099544</v>
      </c>
      <c r="D33">
        <v>-1260.0176442534701</v>
      </c>
      <c r="E33">
        <v>48</v>
      </c>
      <c r="F33" t="s">
        <v>123</v>
      </c>
      <c r="H33" s="10">
        <f>Table1[[#This Row],[Rel E]]</f>
        <v>1.7825873671099544</v>
      </c>
      <c r="I33" s="10">
        <f>IF(Table1[[#This Row],[rel G]]&lt;5,EXP(-H33/(D$2*E$2)),0)</f>
        <v>4.9283586775889301E-2</v>
      </c>
      <c r="J33" s="10">
        <f>IF(Table1[[#This Row],[rel G]]&lt;5,I33/$F$2,0)</f>
        <v>9.4469832230511426E-3</v>
      </c>
    </row>
    <row r="34" spans="1:17" x14ac:dyDescent="0.25">
      <c r="A34">
        <f>Table1[[#This Row],[Gibbs Energy (hartree)]]</f>
        <v>-1260.01515403702</v>
      </c>
      <c r="B34">
        <f>Table1[[#This Row],[Energy (hartrees)]]*$C$2</f>
        <v>-790672.1093097704</v>
      </c>
      <c r="C34">
        <f>Table1[[#This Row],[Energy (kcal)]]-MIN(Table1[Energy (kcal)])</f>
        <v>3.3452230916591361</v>
      </c>
      <c r="D34">
        <v>-1260.01515403702</v>
      </c>
      <c r="E34">
        <v>57</v>
      </c>
      <c r="F34" t="s">
        <v>18</v>
      </c>
      <c r="H34" s="10">
        <f>Table1[[#This Row],[Rel E]]</f>
        <v>3.3452230916591361</v>
      </c>
      <c r="I34" s="10">
        <f>IF(Table1[[#This Row],[rel G]]&lt;5,EXP(-H34/(D$2*E$2)),0)</f>
        <v>3.5213626051451706E-3</v>
      </c>
      <c r="J34" s="10">
        <f>IF(Table1[[#This Row],[rel G]]&lt;5,I34/$F$2,0)</f>
        <v>6.7499659885470701E-4</v>
      </c>
    </row>
    <row r="35" spans="1:17" x14ac:dyDescent="0.25">
      <c r="A35">
        <f>Table1[[#This Row],[Gibbs Energy (hartree)]]</f>
        <v>-1260.01312898638</v>
      </c>
      <c r="B35">
        <f>Table1[[#This Row],[Energy (hartrees)]]*$C$2</f>
        <v>-790670.83857024333</v>
      </c>
      <c r="C35">
        <f>Table1[[#This Row],[Energy (kcal)]]-MIN(Table1[Energy (kcal)])</f>
        <v>4.6159626187290996</v>
      </c>
      <c r="D35">
        <v>-1260.01312898638</v>
      </c>
      <c r="E35">
        <v>59</v>
      </c>
      <c r="F35" t="s">
        <v>122</v>
      </c>
      <c r="H35" s="10">
        <f>Table1[[#This Row],[Rel E]]</f>
        <v>4.6159626187290996</v>
      </c>
      <c r="I35" s="10">
        <f>IF(Table1[[#This Row],[rel G]]&lt;5,EXP(-H35/(D$2*E$2)),0)</f>
        <v>4.1189580033407935E-4</v>
      </c>
      <c r="J35" s="10">
        <f>IF(Table1[[#This Row],[rel G]]&lt;5,I35/$F$2,0)</f>
        <v>7.8954738686043137E-5</v>
      </c>
    </row>
    <row r="36" spans="1:17" x14ac:dyDescent="0.25">
      <c r="A36">
        <f>Table1[[#This Row],[Gibbs Energy (hartree)]]</f>
        <v>-1260.0167473106001</v>
      </c>
      <c r="B36">
        <f>Table1[[#This Row],[Energy (hartrees)]]*$C$2</f>
        <v>-790673.10910487466</v>
      </c>
      <c r="C36">
        <f>Table1[[#This Row],[Energy (kcal)]]-MIN(Table1[Energy (kcal)])</f>
        <v>2.3454279873985797</v>
      </c>
      <c r="D36">
        <v>-1260.0167473106001</v>
      </c>
      <c r="E36">
        <v>72</v>
      </c>
      <c r="F36" t="s">
        <v>17</v>
      </c>
      <c r="H36" s="10">
        <f>Table1[[#This Row],[Rel E]]</f>
        <v>2.3454279873985797</v>
      </c>
      <c r="I36" s="10">
        <f>IF(Table1[[#This Row],[rel G]]&lt;5,EXP(-H36/(D$2*E$2)),0)</f>
        <v>1.9051596645626161E-2</v>
      </c>
      <c r="J36" s="10">
        <f>IF(Table1[[#This Row],[rel G]]&lt;5,I36/$F$2,0)</f>
        <v>3.6519280689127583E-3</v>
      </c>
    </row>
    <row r="37" spans="1:17" x14ac:dyDescent="0.25">
      <c r="A37">
        <f>Table1[[#This Row],[Gibbs Energy (hartree)]]</f>
        <v>-1260.0196411828099</v>
      </c>
      <c r="B37">
        <f>Table1[[#This Row],[Energy (hartrees)]]*$C$2</f>
        <v>-790674.92503862502</v>
      </c>
      <c r="C37">
        <f>Table1[[#This Row],[Energy (kcal)]]-MIN(Table1[Energy (kcal)])</f>
        <v>0.52949423703830689</v>
      </c>
      <c r="D37">
        <v>-1260.0196411828099</v>
      </c>
      <c r="E37">
        <v>73</v>
      </c>
      <c r="F37" t="s">
        <v>19</v>
      </c>
      <c r="H37" s="10">
        <f>Table1[[#This Row],[Rel E]]</f>
        <v>0.52949423703830689</v>
      </c>
      <c r="I37" s="10">
        <f>IF(Table1[[#This Row],[rel G]]&lt;5,EXP(-H37/(D$2*E$2)),0)</f>
        <v>0.40896330097290823</v>
      </c>
      <c r="J37" s="10">
        <f>IF(Table1[[#This Row],[rel G]]&lt;5,I37/$F$2,0)</f>
        <v>7.839261904177762E-2</v>
      </c>
    </row>
    <row r="38" spans="1:17" x14ac:dyDescent="0.25">
      <c r="A38">
        <f>Table1[[#This Row],[Gibbs Energy (hartree)]]</f>
        <v>-1260.0135237419099</v>
      </c>
      <c r="B38">
        <f>Table1[[#This Row],[Energy (hartrees)]]*$C$2</f>
        <v>-790671.08628328587</v>
      </c>
      <c r="C38">
        <f>Table1[[#This Row],[Energy (kcal)]]-MIN(Table1[Energy (kcal)])</f>
        <v>4.3682495761895552</v>
      </c>
      <c r="D38">
        <v>-1260.0135237419099</v>
      </c>
      <c r="E38">
        <v>76</v>
      </c>
      <c r="F38" t="s">
        <v>124</v>
      </c>
      <c r="H38" s="10">
        <f>Table1[[#This Row],[Rel E]]</f>
        <v>4.3682495761895552</v>
      </c>
      <c r="I38" s="10">
        <f>IF(Table1[[#This Row],[rel G]]&lt;5,EXP(-H38/(D$2*E$2)),0)</f>
        <v>6.2582498784200609E-4</v>
      </c>
      <c r="J38" s="10">
        <f>IF(Table1[[#This Row],[rel G]]&lt;5,I38/$F$2,0)</f>
        <v>1.1996201063032175E-4</v>
      </c>
    </row>
    <row r="39" spans="1:17" x14ac:dyDescent="0.25">
      <c r="A39">
        <f>Table1[[#This Row],[Gibbs Energy (hartree)]]</f>
        <v>-1260.0186000312799</v>
      </c>
      <c r="B39">
        <f>Table1[[#This Row],[Energy (hartrees)]]*$C$2</f>
        <v>-790674.27170562849</v>
      </c>
      <c r="C39">
        <f>Table1[[#This Row],[Energy (kcal)]]-MIN(Table1[Energy (kcal)])</f>
        <v>1.1828272335696965</v>
      </c>
      <c r="D39">
        <v>-1260.0186000312799</v>
      </c>
      <c r="E39">
        <v>78</v>
      </c>
      <c r="F39" t="s">
        <v>122</v>
      </c>
      <c r="H39" s="10">
        <f>Table1[[#This Row],[Rel E]]</f>
        <v>1.1828272335696965</v>
      </c>
      <c r="I39" s="10">
        <f>IF(Table1[[#This Row],[rel G]]&lt;5,EXP(-H39/(D$2*E$2)),0)</f>
        <v>0.13569034082539475</v>
      </c>
      <c r="J39" s="10">
        <f>IF(Table1[[#This Row],[rel G]]&lt;5,I39/$F$2,0)</f>
        <v>2.6009965125645323E-2</v>
      </c>
      <c r="Q39" s="11"/>
    </row>
    <row r="40" spans="1:17" x14ac:dyDescent="0.25">
      <c r="A40">
        <f>Table1[[#This Row],[Gibbs Energy (hartree)]]</f>
        <v>-1260.0133442940501</v>
      </c>
      <c r="B40">
        <f>Table1[[#This Row],[Energy (hartrees)]]*$C$2</f>
        <v>-790670.97367795929</v>
      </c>
      <c r="C40">
        <f>Table1[[#This Row],[Energy (kcal)]]-MIN(Table1[Energy (kcal)])</f>
        <v>4.4808549027657136</v>
      </c>
      <c r="D40">
        <v>-1260.0133442940501</v>
      </c>
      <c r="E40">
        <v>86</v>
      </c>
      <c r="F40" t="s">
        <v>20</v>
      </c>
      <c r="H40" s="10">
        <f>Table1[[#This Row],[Rel E]]</f>
        <v>4.4808549027657136</v>
      </c>
      <c r="I40" s="10">
        <f>IF(Table1[[#This Row],[rel G]]&lt;5,EXP(-H40/(D$2*E$2)),0)</f>
        <v>5.1745362114313939E-4</v>
      </c>
      <c r="J40" s="10">
        <f>IF(Table1[[#This Row],[rel G]]&lt;5,I40/$F$2,0)</f>
        <v>9.9188715705201253E-5</v>
      </c>
      <c r="Q40" s="11"/>
    </row>
    <row r="41" spans="1:17" x14ac:dyDescent="0.25">
      <c r="A41">
        <f>Table1[[#This Row],[Gibbs Energy (hartree)]]</f>
        <v>-1260.01008934316</v>
      </c>
      <c r="B41">
        <f>Table1[[#This Row],[Energy (hartrees)]]*$C$2</f>
        <v>-790668.93116372626</v>
      </c>
      <c r="C41">
        <f>Table1[[#This Row],[Energy (kcal)]]-MIN(Table1[Energy (kcal)])</f>
        <v>6.5233691358007491</v>
      </c>
      <c r="D41">
        <v>-1260.01008934316</v>
      </c>
      <c r="E41">
        <v>94</v>
      </c>
      <c r="F41" t="s">
        <v>18</v>
      </c>
      <c r="H41" s="10">
        <f>Table1[[#This Row],[Rel E]]</f>
        <v>6.5233691358007491</v>
      </c>
      <c r="I41" s="10">
        <f>IF(Table1[[#This Row],[rel G]]&lt;5,EXP(-H41/(D$2*E$2)),0)</f>
        <v>0</v>
      </c>
      <c r="J41" s="10">
        <f>IF(Table1[[#This Row],[rel G]]&lt;5,I41/$F$2,0)</f>
        <v>0</v>
      </c>
      <c r="Q41" s="11"/>
    </row>
    <row r="42" spans="1:17" x14ac:dyDescent="0.25">
      <c r="A42">
        <f>Table1[[#This Row],[Gibbs Energy (hartree)]]</f>
        <v>-1260.01155973664</v>
      </c>
      <c r="B42">
        <f>Table1[[#This Row],[Energy (hartrees)]]*$C$2</f>
        <v>-790669.85385033896</v>
      </c>
      <c r="C42">
        <f>Table1[[#This Row],[Energy (kcal)]]-MIN(Table1[Energy (kcal)])</f>
        <v>5.6006825231015682</v>
      </c>
      <c r="D42">
        <v>-1260.01155973664</v>
      </c>
      <c r="E42">
        <v>101</v>
      </c>
      <c r="F42" t="s">
        <v>124</v>
      </c>
      <c r="H42" s="10">
        <f>Table1[[#This Row],[Rel E]]</f>
        <v>5.6006825231015682</v>
      </c>
      <c r="I42" s="10">
        <f>IF(Table1[[#This Row],[rel G]]&lt;5,EXP(-H42/(D$2*E$2)),0)</f>
        <v>0</v>
      </c>
      <c r="J42" s="10">
        <f>IF(Table1[[#This Row],[rel G]]&lt;5,I42/$F$2,0)</f>
        <v>0</v>
      </c>
      <c r="Q42" s="11"/>
    </row>
    <row r="43" spans="1:17" x14ac:dyDescent="0.25">
      <c r="A43">
        <f>Table1[[#This Row],[Gibbs Energy (hartree)]]</f>
        <v>-1260.01784201757</v>
      </c>
      <c r="B43">
        <f>Table1[[#This Row],[Energy (hartrees)]]*$C$2</f>
        <v>-790673.79604444536</v>
      </c>
      <c r="C43">
        <f>Table1[[#This Row],[Energy (kcal)]]-MIN(Table1[Energy (kcal)])</f>
        <v>1.658488416695036</v>
      </c>
      <c r="D43">
        <v>-1260.01784201757</v>
      </c>
      <c r="E43">
        <v>103</v>
      </c>
      <c r="F43" t="s">
        <v>19</v>
      </c>
      <c r="H43" s="10">
        <f>Table1[[#This Row],[Rel E]]</f>
        <v>1.658488416695036</v>
      </c>
      <c r="I43" s="10">
        <f>IF(Table1[[#This Row],[rel G]]&lt;5,EXP(-H43/(D$2*E$2)),0)</f>
        <v>6.0773306518789462E-2</v>
      </c>
      <c r="J43" s="10">
        <f>IF(Table1[[#This Row],[rel G]]&lt;5,I43/$F$2,0)</f>
        <v>1.1649403881724453E-2</v>
      </c>
      <c r="Q43" s="11"/>
    </row>
    <row r="44" spans="1:17" x14ac:dyDescent="0.25">
      <c r="A44">
        <f>Table1[[#This Row],[Gibbs Energy (hartree)]]</f>
        <v>-1260.00916871602</v>
      </c>
      <c r="B44">
        <f>Table1[[#This Row],[Energy (hartrees)]]*$C$2</f>
        <v>-790668.35346098966</v>
      </c>
      <c r="C44">
        <f>Table1[[#This Row],[Energy (kcal)]]-MIN(Table1[Energy (kcal)])</f>
        <v>7.1010718723991886</v>
      </c>
      <c r="D44">
        <v>-1260.00916871602</v>
      </c>
      <c r="E44">
        <v>104</v>
      </c>
      <c r="F44" t="s">
        <v>122</v>
      </c>
      <c r="H44" s="10">
        <f>Table1[[#This Row],[Rel E]]</f>
        <v>7.1010718723991886</v>
      </c>
      <c r="I44" s="10">
        <f>IF(Table1[[#This Row],[rel G]]&lt;5,EXP(-H44/(D$2*E$2)),0)</f>
        <v>0</v>
      </c>
      <c r="J44" s="10">
        <f>IF(Table1[[#This Row],[rel G]]&lt;5,I44/$F$2,0)</f>
        <v>0</v>
      </c>
      <c r="Q44" s="11"/>
    </row>
    <row r="45" spans="1:17" x14ac:dyDescent="0.25">
      <c r="A45">
        <f>Table1[[#This Row],[Gibbs Energy (hartree)]]</f>
        <v>-1260.0113456512699</v>
      </c>
      <c r="B45">
        <f>Table1[[#This Row],[Energy (hartrees)]]*$C$2</f>
        <v>-790669.71950962837</v>
      </c>
      <c r="C45">
        <f>Table1[[#This Row],[Energy (kcal)]]-MIN(Table1[Energy (kcal)])</f>
        <v>5.7350232336902991</v>
      </c>
      <c r="D45">
        <v>-1260.0113456512699</v>
      </c>
      <c r="E45">
        <v>106</v>
      </c>
      <c r="F45" t="s">
        <v>18</v>
      </c>
      <c r="H45" s="10">
        <f>Table1[[#This Row],[Rel E]]</f>
        <v>5.7350232336902991</v>
      </c>
      <c r="I45" s="10">
        <f>IF(Table1[[#This Row],[rel G]]&lt;5,EXP(-H45/(D$2*E$2)),0)</f>
        <v>0</v>
      </c>
      <c r="J45" s="10">
        <f>IF(Table1[[#This Row],[rel G]]&lt;5,I45/$F$2,0)</f>
        <v>0</v>
      </c>
      <c r="Q45" s="11"/>
    </row>
    <row r="46" spans="1:17" x14ac:dyDescent="0.25">
      <c r="A46">
        <f>Table1[[#This Row],[Gibbs Energy (hartree)]]</f>
        <v>-1260.01181803138</v>
      </c>
      <c r="B46">
        <f>Table1[[#This Row],[Energy (hartrees)]]*$C$2</f>
        <v>-790670.01593287126</v>
      </c>
      <c r="C46">
        <f>Table1[[#This Row],[Energy (kcal)]]-MIN(Table1[Energy (kcal)])</f>
        <v>5.4385999907972291</v>
      </c>
      <c r="D46">
        <v>-1260.01181803138</v>
      </c>
      <c r="E46">
        <v>107</v>
      </c>
      <c r="F46" t="s">
        <v>20</v>
      </c>
      <c r="H46" s="10">
        <f>Table1[[#This Row],[Rel E]]</f>
        <v>5.4385999907972291</v>
      </c>
      <c r="I46" s="10">
        <f>IF(Table1[[#This Row],[rel G]]&lt;5,EXP(-H46/(D$2*E$2)),0)</f>
        <v>0</v>
      </c>
      <c r="J46" s="10">
        <f>IF(Table1[[#This Row],[rel G]]&lt;5,I46/$F$2,0)</f>
        <v>0</v>
      </c>
      <c r="Q46" s="11"/>
    </row>
    <row r="47" spans="1:17" x14ac:dyDescent="0.25">
      <c r="A47">
        <f>Table1[[#This Row],[Gibbs Energy (hartree)]]</f>
        <v>-1260.01770565332</v>
      </c>
      <c r="B47">
        <f>Table1[[#This Row],[Energy (hartrees)]]*$C$2</f>
        <v>-790673.71047451487</v>
      </c>
      <c r="C47">
        <f>Table1[[#This Row],[Energy (kcal)]]-MIN(Table1[Energy (kcal)])</f>
        <v>1.7440583471907303</v>
      </c>
      <c r="D47">
        <v>-1260.01770565332</v>
      </c>
      <c r="E47">
        <v>109</v>
      </c>
      <c r="F47" t="s">
        <v>122</v>
      </c>
      <c r="H47" s="10">
        <f>Table1[[#This Row],[Rel E]]</f>
        <v>1.7440583471907303</v>
      </c>
      <c r="I47" s="10">
        <f>IF(Table1[[#This Row],[rel G]]&lt;5,EXP(-H47/(D$2*E$2)),0)</f>
        <v>5.2596684576800105E-2</v>
      </c>
      <c r="J47" s="10">
        <f>IF(Table1[[#This Row],[rel G]]&lt;5,I47/$F$2,0)</f>
        <v>1.0082058334038075E-2</v>
      </c>
      <c r="Q47" s="11"/>
    </row>
    <row r="48" spans="1:17" x14ac:dyDescent="0.25">
      <c r="A48">
        <f>Table1[[#This Row],[Gibbs Energy (hartree)]]</f>
        <v>-1260.0158655026501</v>
      </c>
      <c r="B48">
        <f>Table1[[#This Row],[Energy (hartrees)]]*$C$2</f>
        <v>-790672.5557615679</v>
      </c>
      <c r="C48">
        <f>Table1[[#This Row],[Energy (kcal)]]-MIN(Table1[Energy (kcal)])</f>
        <v>2.8987712941598147</v>
      </c>
      <c r="D48">
        <v>-1260.0158655026501</v>
      </c>
      <c r="E48">
        <v>123</v>
      </c>
      <c r="F48" t="s">
        <v>19</v>
      </c>
      <c r="H48" s="10">
        <f>Table1[[#This Row],[Rel E]]</f>
        <v>2.8987712941598147</v>
      </c>
      <c r="I48" s="10">
        <f>IF(Table1[[#This Row],[rel G]]&lt;5,EXP(-H48/(D$2*E$2)),0)</f>
        <v>7.4838573736400044E-3</v>
      </c>
      <c r="J48" s="10">
        <f>IF(Table1[[#This Row],[rel G]]&lt;5,I48/$F$2,0)</f>
        <v>1.4345521435763836E-3</v>
      </c>
      <c r="Q48" s="11"/>
    </row>
    <row r="49" spans="1:17" x14ac:dyDescent="0.25">
      <c r="A49">
        <f>Table1[[#This Row],[Gibbs Energy (hartree)]]</f>
        <v>-1260.0096260652299</v>
      </c>
      <c r="B49">
        <f>Table1[[#This Row],[Energy (hartrees)]]*$C$2</f>
        <v>-790668.6404521924</v>
      </c>
      <c r="C49">
        <f>Table1[[#This Row],[Energy (kcal)]]-MIN(Table1[Energy (kcal)])</f>
        <v>6.8140806696610525</v>
      </c>
      <c r="D49">
        <v>-1260.0096260652299</v>
      </c>
      <c r="E49">
        <v>125</v>
      </c>
      <c r="F49" t="s">
        <v>114</v>
      </c>
      <c r="H49" s="10">
        <f>Table1[[#This Row],[Rel E]]</f>
        <v>6.8140806696610525</v>
      </c>
      <c r="I49" s="10">
        <f>IF(Table1[[#This Row],[rel G]]&lt;5,EXP(-H49/(D$2*E$2)),0)</f>
        <v>0</v>
      </c>
      <c r="J49" s="10">
        <f>IF(Table1[[#This Row],[rel G]]&lt;5,I49/$F$2,0)</f>
        <v>0</v>
      </c>
      <c r="Q49" s="11"/>
    </row>
    <row r="50" spans="1:17" x14ac:dyDescent="0.25">
      <c r="A50">
        <f>Table1[[#This Row],[Gibbs Energy (hartree)]]</f>
        <v>-1260.0141329026801</v>
      </c>
      <c r="B50">
        <f>Table1[[#This Row],[Energy (hartrees)]]*$C$2</f>
        <v>-790671.46853776078</v>
      </c>
      <c r="C50">
        <f>Table1[[#This Row],[Energy (kcal)]]-MIN(Table1[Energy (kcal)])</f>
        <v>3.9859951012767851</v>
      </c>
      <c r="D50">
        <v>-1260.0141329026801</v>
      </c>
      <c r="E50">
        <v>128</v>
      </c>
      <c r="F50" t="s">
        <v>20</v>
      </c>
      <c r="H50" s="10">
        <f>Table1[[#This Row],[Rel E]]</f>
        <v>3.9859951012767851</v>
      </c>
      <c r="I50" s="10">
        <f>IF(Table1[[#This Row],[rel G]]&lt;5,EXP(-H50/(D$2*E$2)),0)</f>
        <v>1.193403221644154E-3</v>
      </c>
      <c r="J50" s="10">
        <f>IF(Table1[[#This Row],[rel G]]&lt;5,I50/$F$2,0)</f>
        <v>2.2875892260997214E-4</v>
      </c>
      <c r="Q50" s="11"/>
    </row>
    <row r="51" spans="1:17" x14ac:dyDescent="0.25">
      <c r="A51">
        <f>Table1[[#This Row],[Gibbs Energy (hartree)]]</f>
        <v>-1260.0164952909399</v>
      </c>
      <c r="B51">
        <f>Table1[[#This Row],[Energy (hartrees)]]*$C$2</f>
        <v>-790672.95096001774</v>
      </c>
      <c r="C51">
        <f>Table1[[#This Row],[Energy (kcal)]]-MIN(Table1[Energy (kcal)])</f>
        <v>2.5035728443181142</v>
      </c>
      <c r="D51">
        <v>-1260.0164952909399</v>
      </c>
      <c r="E51">
        <v>135</v>
      </c>
      <c r="F51" t="s">
        <v>123</v>
      </c>
      <c r="H51" s="10">
        <f>Table1[[#This Row],[Rel E]]</f>
        <v>2.5035728443181142</v>
      </c>
      <c r="I51" s="10">
        <f>IF(Table1[[#This Row],[rel G]]&lt;5,EXP(-H51/(D$2*E$2)),0)</f>
        <v>1.4586548587155567E-2</v>
      </c>
      <c r="J51" s="10">
        <f>IF(Table1[[#This Row],[rel G]]&lt;5,I51/$F$2,0)</f>
        <v>2.7960399962709995E-3</v>
      </c>
      <c r="Q51" s="11"/>
    </row>
    <row r="52" spans="1:17" x14ac:dyDescent="0.25">
      <c r="A52">
        <f>Table1[[#This Row],[Gibbs Energy (hartree)]]</f>
        <v>-1260.0151909588999</v>
      </c>
      <c r="B52">
        <f>Table1[[#This Row],[Energy (hartrees)]]*$C$2</f>
        <v>-790672.13247861923</v>
      </c>
      <c r="C52">
        <f>Table1[[#This Row],[Energy (kcal)]]-MIN(Table1[Energy (kcal)])</f>
        <v>3.3220542428316548</v>
      </c>
      <c r="D52">
        <v>-1260.0151909588999</v>
      </c>
      <c r="E52">
        <v>136</v>
      </c>
      <c r="F52" t="s">
        <v>19</v>
      </c>
      <c r="H52" s="10">
        <f>Table1[[#This Row],[Rel E]]</f>
        <v>3.3220542428316548</v>
      </c>
      <c r="I52" s="10">
        <f>IF(Table1[[#This Row],[rel G]]&lt;5,EXP(-H52/(D$2*E$2)),0)</f>
        <v>3.6618631281376255E-3</v>
      </c>
      <c r="J52" s="10">
        <f>IF(Table1[[#This Row],[rel G]]&lt;5,I52/$F$2,0)</f>
        <v>7.0192860949702055E-4</v>
      </c>
      <c r="Q52" s="11"/>
    </row>
    <row r="53" spans="1:17" x14ac:dyDescent="0.25">
      <c r="A53">
        <f>Table1[[#This Row],[Gibbs Energy (hartree)]]</f>
        <v>-1260.0170280490399</v>
      </c>
      <c r="B53">
        <f>Table1[[#This Row],[Energy (hartrees)]]*$C$2</f>
        <v>-790673.28527105309</v>
      </c>
      <c r="C53">
        <f>Table1[[#This Row],[Energy (kcal)]]-MIN(Table1[Energy (kcal)])</f>
        <v>2.1692618089728057</v>
      </c>
      <c r="D53">
        <v>-1260.0170280490399</v>
      </c>
      <c r="E53">
        <v>142</v>
      </c>
      <c r="F53" t="s">
        <v>19</v>
      </c>
      <c r="H53" s="10">
        <f>Table1[[#This Row],[Rel E]]</f>
        <v>2.1692618089728057</v>
      </c>
      <c r="I53" s="10">
        <f>IF(Table1[[#This Row],[rel G]]&lt;5,EXP(-H53/(D$2*E$2)),0)</f>
        <v>2.5652312747176435E-2</v>
      </c>
      <c r="J53" s="10">
        <f>IF(Table1[[#This Row],[rel G]]&lt;5,I53/$F$2,0)</f>
        <v>4.9171942224301287E-3</v>
      </c>
      <c r="Q53" s="11"/>
    </row>
    <row r="54" spans="1:17" x14ac:dyDescent="0.25">
      <c r="A54">
        <f>Table1[[#This Row],[Gibbs Energy (hartree)]]</f>
        <v>-1260.0139529651501</v>
      </c>
      <c r="B54">
        <f>Table1[[#This Row],[Energy (hartrees)]]*$C$2</f>
        <v>-790671.35562516132</v>
      </c>
      <c r="C54">
        <f>Table1[[#This Row],[Energy (kcal)]]-MIN(Table1[Energy (kcal)])</f>
        <v>4.0989077007398009</v>
      </c>
      <c r="D54">
        <v>-1260.0139529651501</v>
      </c>
      <c r="E54">
        <v>143</v>
      </c>
      <c r="F54" t="s">
        <v>122</v>
      </c>
      <c r="H54" s="10">
        <f>Table1[[#This Row],[Rel E]]</f>
        <v>4.0989077007398009</v>
      </c>
      <c r="I54" s="10">
        <f>IF(Table1[[#This Row],[rel G]]&lt;5,EXP(-H54/(D$2*E$2)),0)</f>
        <v>9.8623495657192378E-4</v>
      </c>
      <c r="J54" s="10">
        <f>IF(Table1[[#This Row],[rel G]]&lt;5,I54/$F$2,0)</f>
        <v>1.8904762616181188E-4</v>
      </c>
      <c r="Q54" s="11"/>
    </row>
    <row r="55" spans="1:17" x14ac:dyDescent="0.25">
      <c r="A55">
        <f>Table1[[#This Row],[Gibbs Energy (hartree)]]</f>
        <v>-1260.01352438702</v>
      </c>
      <c r="B55">
        <f>Table1[[#This Row],[Energy (hartrees)]]*$C$2</f>
        <v>-790671.08668809885</v>
      </c>
      <c r="C55">
        <f>Table1[[#This Row],[Energy (kcal)]]-MIN(Table1[Energy (kcal)])</f>
        <v>4.367844763211906</v>
      </c>
      <c r="D55">
        <v>-1260.01352438702</v>
      </c>
      <c r="E55">
        <v>144</v>
      </c>
      <c r="F55" t="s">
        <v>20</v>
      </c>
      <c r="H55" s="10">
        <f>Table1[[#This Row],[Rel E]]</f>
        <v>4.367844763211906</v>
      </c>
      <c r="I55" s="10">
        <f>IF(Table1[[#This Row],[rel G]]&lt;5,EXP(-H55/(D$2*E$2)),0)</f>
        <v>6.2625293991338041E-4</v>
      </c>
      <c r="J55" s="10">
        <f>IF(Table1[[#This Row],[rel G]]&lt;5,I55/$F$2,0)</f>
        <v>1.2004404313450875E-4</v>
      </c>
      <c r="Q55" s="11"/>
    </row>
    <row r="56" spans="1:17" x14ac:dyDescent="0.25">
      <c r="A56">
        <f>Table1[[#This Row],[Gibbs Energy (hartree)]]</f>
        <v>-1260.0142931867799</v>
      </c>
      <c r="B56">
        <f>Table1[[#This Row],[Energy (hartrees)]]*$C$2</f>
        <v>-790671.5691176363</v>
      </c>
      <c r="C56">
        <f>Table1[[#This Row],[Energy (kcal)]]-MIN(Table1[Energy (kcal)])</f>
        <v>3.8854152257554233</v>
      </c>
      <c r="D56">
        <v>-1260.0142931867799</v>
      </c>
      <c r="E56">
        <v>145</v>
      </c>
      <c r="F56" t="s">
        <v>19</v>
      </c>
      <c r="H56" s="10">
        <f>Table1[[#This Row],[Rel E]]</f>
        <v>3.8854152257554233</v>
      </c>
      <c r="I56" s="10">
        <f>IF(Table1[[#This Row],[rel G]]&lt;5,EXP(-H56/(D$2*E$2)),0)</f>
        <v>1.4143261107148063E-3</v>
      </c>
      <c r="J56" s="10">
        <f>IF(Table1[[#This Row],[rel G]]&lt;5,I56/$F$2,0)</f>
        <v>2.7110679059549544E-4</v>
      </c>
      <c r="Q56" s="11"/>
    </row>
    <row r="57" spans="1:17" x14ac:dyDescent="0.25">
      <c r="A57">
        <f>Table1[[#This Row],[Gibbs Energy (hartree)]]</f>
        <v>-1260.0155252574</v>
      </c>
      <c r="B57">
        <f>Table1[[#This Row],[Energy (hartrees)]]*$C$2</f>
        <v>-790672.34225427103</v>
      </c>
      <c r="C57">
        <f>Table1[[#This Row],[Energy (kcal)]]-MIN(Table1[Energy (kcal)])</f>
        <v>3.112278591026552</v>
      </c>
      <c r="D57">
        <v>-1260.0155252574</v>
      </c>
      <c r="E57">
        <v>166</v>
      </c>
      <c r="F57" t="s">
        <v>19</v>
      </c>
      <c r="H57" s="10">
        <f>Table1[[#This Row],[Rel E]]</f>
        <v>3.112278591026552</v>
      </c>
      <c r="I57" s="10">
        <f>IF(Table1[[#This Row],[rel G]]&lt;5,EXP(-H57/(D$2*E$2)),0)</f>
        <v>5.2184973207533066E-3</v>
      </c>
      <c r="J57" s="10">
        <f>IF(Table1[[#This Row],[rel G]]&lt;5,I57/$F$2,0)</f>
        <v>1.0003138948241506E-3</v>
      </c>
      <c r="Q57" s="11"/>
    </row>
    <row r="58" spans="1:17" x14ac:dyDescent="0.25">
      <c r="A58">
        <f>Table1[[#This Row],[Gibbs Energy (hartree)]]</f>
        <v>-1260.0140707431301</v>
      </c>
      <c r="B58">
        <f>Table1[[#This Row],[Energy (hartrees)]]*$C$2</f>
        <v>-790671.42953202152</v>
      </c>
      <c r="C58">
        <f>Table1[[#This Row],[Energy (kcal)]]-MIN(Table1[Energy (kcal)])</f>
        <v>4.0250008405419067</v>
      </c>
      <c r="D58">
        <v>-1260.0140707431301</v>
      </c>
      <c r="E58">
        <v>173</v>
      </c>
      <c r="F58" t="s">
        <v>20</v>
      </c>
      <c r="H58" s="10">
        <f>Table1[[#This Row],[Rel E]]</f>
        <v>4.0250008405419067</v>
      </c>
      <c r="I58" s="10">
        <f>IF(Table1[[#This Row],[rel G]]&lt;5,EXP(-H58/(D$2*E$2)),0)</f>
        <v>1.1173301862429192E-3</v>
      </c>
      <c r="J58" s="10">
        <f>IF(Table1[[#This Row],[rel G]]&lt;5,I58/$F$2,0)</f>
        <v>2.1417677191485216E-4</v>
      </c>
      <c r="Q58" s="11"/>
    </row>
    <row r="59" spans="1:17" x14ac:dyDescent="0.25">
      <c r="A59">
        <f>Table1[[#This Row],[Gibbs Energy (hartree)]]</f>
        <v>-1260.01334026269</v>
      </c>
      <c r="B59">
        <f>Table1[[#This Row],[Energy (hartrees)]]*$C$2</f>
        <v>-790670.97114824061</v>
      </c>
      <c r="C59">
        <f>Table1[[#This Row],[Energy (kcal)]]-MIN(Table1[Energy (kcal)])</f>
        <v>4.4833846214460209</v>
      </c>
      <c r="D59">
        <v>-1260.01334026269</v>
      </c>
      <c r="E59">
        <v>191</v>
      </c>
      <c r="F59" t="s">
        <v>20</v>
      </c>
      <c r="H59" s="10">
        <f>Table1[[#This Row],[Rel E]]</f>
        <v>4.4833846214460209</v>
      </c>
      <c r="I59" s="10">
        <f>IF(Table1[[#This Row],[rel G]]&lt;5,EXP(-H59/(D$2*E$2)),0)</f>
        <v>5.1524787394469323E-4</v>
      </c>
      <c r="J59" s="10">
        <f>IF(Table1[[#This Row],[rel G]]&lt;5,I59/$F$2,0)</f>
        <v>9.8765904417687437E-5</v>
      </c>
      <c r="Q59" s="11"/>
    </row>
    <row r="60" spans="1:17" x14ac:dyDescent="0.25">
      <c r="A60">
        <f>Table1[[#This Row],[Gibbs Energy (hartree)]]</f>
        <v>-1260.01485448324</v>
      </c>
      <c r="B60">
        <f>Table1[[#This Row],[Energy (hartrees)]]*$C$2</f>
        <v>-790671.92133677797</v>
      </c>
      <c r="C60">
        <f>Table1[[#This Row],[Energy (kcal)]]-MIN(Table1[Energy (kcal)])</f>
        <v>3.5331960840849206</v>
      </c>
      <c r="D60">
        <v>-1260.01485448324</v>
      </c>
      <c r="E60">
        <v>193</v>
      </c>
      <c r="F60" t="s">
        <v>20</v>
      </c>
      <c r="H60" s="10">
        <f>Table1[[#This Row],[Rel E]]</f>
        <v>3.5331960840849206</v>
      </c>
      <c r="I60" s="10">
        <f>IF(Table1[[#This Row],[rel G]]&lt;5,EXP(-H60/(D$2*E$2)),0)</f>
        <v>2.5636387434176365E-3</v>
      </c>
      <c r="J60" s="10">
        <f>IF(Table1[[#This Row],[rel G]]&lt;5,I60/$F$2,0)</f>
        <v>4.9141415597775981E-4</v>
      </c>
      <c r="Q60" s="11"/>
    </row>
    <row r="61" spans="1:17" x14ac:dyDescent="0.25">
      <c r="A61">
        <f>Table1[[#This Row],[Gibbs Energy (hartree)]]</f>
        <v>-1260.01048908398</v>
      </c>
      <c r="B61">
        <f>Table1[[#This Row],[Energy (hartrees)]]*$C$2</f>
        <v>-790669.18200508831</v>
      </c>
      <c r="C61">
        <f>Table1[[#This Row],[Energy (kcal)]]-MIN(Table1[Energy (kcal)])</f>
        <v>6.272527773748152</v>
      </c>
      <c r="D61">
        <v>-1260.01048908398</v>
      </c>
      <c r="E61">
        <v>197</v>
      </c>
      <c r="F61" t="s">
        <v>17</v>
      </c>
      <c r="H61" s="10">
        <f>Table1[[#This Row],[Rel E]]</f>
        <v>6.272527773748152</v>
      </c>
      <c r="I61" s="10">
        <f>IF(Table1[[#This Row],[rel G]]&lt;5,EXP(-H61/(D$2*E$2)),0)</f>
        <v>0</v>
      </c>
      <c r="J61" s="10">
        <f>IF(Table1[[#This Row],[rel G]]&lt;5,I61/$F$2,0)</f>
        <v>0</v>
      </c>
      <c r="Q61" s="11"/>
    </row>
    <row r="62" spans="1:17" x14ac:dyDescent="0.25">
      <c r="A62">
        <f>Table1[[#This Row],[Gibbs Energy (hartree)]]</f>
        <v>-1260.01255751749</v>
      </c>
      <c r="B62">
        <f>Table1[[#This Row],[Energy (hartrees)]]*$C$2</f>
        <v>-790670.47996780009</v>
      </c>
      <c r="C62">
        <f>Table1[[#This Row],[Energy (kcal)]]-MIN(Table1[Energy (kcal)])</f>
        <v>4.9745650619734079</v>
      </c>
      <c r="D62">
        <v>-1260.01255751749</v>
      </c>
      <c r="E62">
        <v>208</v>
      </c>
      <c r="F62" t="s">
        <v>19</v>
      </c>
      <c r="H62" s="10">
        <f>Table1[[#This Row],[Rel E]]</f>
        <v>4.9745650619734079</v>
      </c>
      <c r="I62" s="10">
        <f>IF(Table1[[#This Row],[rel G]]&lt;5,EXP(-H62/(D$2*E$2)),0)</f>
        <v>2.2480127457353104E-4</v>
      </c>
      <c r="J62" s="10">
        <f>IF(Table1[[#This Row],[rel G]]&lt;5,I62/$F$2,0)</f>
        <v>4.3091300945158128E-5</v>
      </c>
      <c r="Q62" s="11"/>
    </row>
    <row r="63" spans="1:17" x14ac:dyDescent="0.25">
      <c r="A63">
        <f>Table1[[#This Row],[Gibbs Energy (hartree)]]</f>
        <v>-1260.0131277775299</v>
      </c>
      <c r="B63">
        <f>Table1[[#This Row],[Energy (hartrees)]]*$C$2</f>
        <v>-790670.83781167783</v>
      </c>
      <c r="C63">
        <f>Table1[[#This Row],[Energy (kcal)]]-MIN(Table1[Energy (kcal)])</f>
        <v>4.6167211842257529</v>
      </c>
      <c r="D63">
        <v>-1260.0131277775299</v>
      </c>
      <c r="E63">
        <v>212</v>
      </c>
      <c r="F63" t="s">
        <v>20</v>
      </c>
      <c r="H63" s="10">
        <f>Table1[[#This Row],[Rel E]]</f>
        <v>4.6167211842257529</v>
      </c>
      <c r="I63" s="10">
        <f>IF(Table1[[#This Row],[rel G]]&lt;5,EXP(-H63/(D$2*E$2)),0)</f>
        <v>4.1136851986801014E-4</v>
      </c>
      <c r="J63" s="10">
        <f>IF(Table1[[#This Row],[rel G]]&lt;5,I63/$F$2,0)</f>
        <v>7.8853666299825601E-5</v>
      </c>
      <c r="Q63" s="11"/>
    </row>
    <row r="64" spans="1:17" x14ac:dyDescent="0.25">
      <c r="A64">
        <f>Table1[[#This Row],[Gibbs Energy (hartree)]]</f>
        <v>-1260.0149853681801</v>
      </c>
      <c r="B64">
        <f>Table1[[#This Row],[Energy (hartrees)]]*$C$2</f>
        <v>-790672.00346838671</v>
      </c>
      <c r="C64">
        <f>Table1[[#This Row],[Energy (kcal)]]-MIN(Table1[Energy (kcal)])</f>
        <v>3.4510644753463566</v>
      </c>
      <c r="D64">
        <v>-1260.0149853681801</v>
      </c>
      <c r="E64">
        <v>215</v>
      </c>
      <c r="F64" t="s">
        <v>20</v>
      </c>
      <c r="H64" s="10">
        <f>Table1[[#This Row],[Rel E]]</f>
        <v>3.4510644753463566</v>
      </c>
      <c r="I64" s="10">
        <f>IF(Table1[[#This Row],[rel G]]&lt;5,EXP(-H64/(D$2*E$2)),0)</f>
        <v>2.9450302342783484E-3</v>
      </c>
      <c r="J64" s="10">
        <f>IF(Table1[[#This Row],[rel G]]&lt;5,I64/$F$2,0)</f>
        <v>5.6452163965097087E-4</v>
      </c>
      <c r="Q64" s="11"/>
    </row>
    <row r="65" spans="1:17" x14ac:dyDescent="0.25">
      <c r="A65">
        <f>Table1[[#This Row],[Gibbs Energy (hartree)]]</f>
        <v>-1260.01258272006</v>
      </c>
      <c r="B65">
        <f>Table1[[#This Row],[Energy (hartrees)]]*$C$2</f>
        <v>-790670.49578266486</v>
      </c>
      <c r="C65">
        <f>Table1[[#This Row],[Energy (kcal)]]-MIN(Table1[Energy (kcal)])</f>
        <v>4.9587501971982419</v>
      </c>
      <c r="D65">
        <v>-1260.01258272006</v>
      </c>
      <c r="E65">
        <v>219</v>
      </c>
      <c r="F65" t="s">
        <v>20</v>
      </c>
      <c r="H65" s="10">
        <f>Table1[[#This Row],[Rel E]]</f>
        <v>4.9587501971982419</v>
      </c>
      <c r="I65" s="10">
        <f>IF(Table1[[#This Row],[rel G]]&lt;5,EXP(-H65/(D$2*E$2)),0)</f>
        <v>2.3088564430856948E-4</v>
      </c>
      <c r="J65" s="10">
        <f>IF(Table1[[#This Row],[rel G]]&lt;5,I65/$F$2,0)</f>
        <v>4.425759062839742E-5</v>
      </c>
      <c r="Q65" s="11"/>
    </row>
    <row r="66" spans="1:17" x14ac:dyDescent="0.25">
      <c r="A66">
        <f>Table1[[#This Row],[Gibbs Energy (hartree)]]</f>
        <v>-1260.0099914751499</v>
      </c>
      <c r="B66">
        <f>Table1[[#This Row],[Energy (hartrees)]]*$C$2</f>
        <v>-790668.86975057132</v>
      </c>
      <c r="C66">
        <f>Table1[[#This Row],[Energy (kcal)]]-MIN(Table1[Energy (kcal)])</f>
        <v>6.584782290738076</v>
      </c>
      <c r="D66">
        <v>-1260.0099914751499</v>
      </c>
      <c r="E66">
        <v>220</v>
      </c>
      <c r="F66" t="s">
        <v>20</v>
      </c>
      <c r="H66" s="10">
        <f>Table1[[#This Row],[Rel E]]</f>
        <v>6.584782290738076</v>
      </c>
      <c r="I66" s="10">
        <f>IF(Table1[[#This Row],[rel G]]&lt;5,EXP(-H66/(D$2*E$2)),0)</f>
        <v>0</v>
      </c>
      <c r="J66" s="10">
        <f>IF(Table1[[#This Row],[rel G]]&lt;5,I66/$F$2,0)</f>
        <v>0</v>
      </c>
      <c r="Q66" s="11"/>
    </row>
    <row r="67" spans="1:17" x14ac:dyDescent="0.25">
      <c r="A67">
        <f>Table1[[#This Row],[Gibbs Energy (hartree)]]</f>
        <v>-1260.01471993266</v>
      </c>
      <c r="B67">
        <f>Table1[[#This Row],[Energy (hartrees)]]*$C$2</f>
        <v>-790671.83690494346</v>
      </c>
      <c r="C67">
        <f>Table1[[#This Row],[Energy (kcal)]]-MIN(Table1[Energy (kcal)])</f>
        <v>3.61762791860383</v>
      </c>
      <c r="D67">
        <v>-1260.01471993266</v>
      </c>
      <c r="E67">
        <v>241</v>
      </c>
      <c r="F67" t="s">
        <v>20</v>
      </c>
      <c r="H67" s="10">
        <f>Table1[[#This Row],[Rel E]]</f>
        <v>3.61762791860383</v>
      </c>
      <c r="I67" s="10">
        <f>IF(Table1[[#This Row],[rel G]]&lt;5,EXP(-H67/(D$2*E$2)),0)</f>
        <v>2.2229872729288332E-3</v>
      </c>
      <c r="J67" s="10">
        <f>IF(Table1[[#This Row],[rel G]]&lt;5,I67/$F$2,0)</f>
        <v>4.2611597179223275E-4</v>
      </c>
      <c r="Q67" s="11"/>
    </row>
    <row r="68" spans="1:17" x14ac:dyDescent="0.25">
      <c r="A68">
        <f>Table1[[#This Row],[Gibbs Energy (hartree)]]</f>
        <v>-1260.01269560425</v>
      </c>
      <c r="B68">
        <f>Table1[[#This Row],[Energy (hartrees)]]*$C$2</f>
        <v>-790670.56661862286</v>
      </c>
      <c r="C68">
        <f>Table1[[#This Row],[Energy (kcal)]]-MIN(Table1[Energy (kcal)])</f>
        <v>4.8879142391961068</v>
      </c>
      <c r="D68">
        <v>-1260.01269560425</v>
      </c>
      <c r="E68">
        <v>272</v>
      </c>
      <c r="F68" t="s">
        <v>19</v>
      </c>
      <c r="H68" s="10">
        <f>Table1[[#This Row],[Rel E]]</f>
        <v>4.8879142391961068</v>
      </c>
      <c r="I68" s="10">
        <f>IF(Table1[[#This Row],[rel G]]&lt;5,EXP(-H68/(D$2*E$2)),0)</f>
        <v>2.6022316857249772E-4</v>
      </c>
      <c r="J68" s="10">
        <f>IF(Table1[[#This Row],[rel G]]&lt;5,I68/$F$2,0)</f>
        <v>4.9881189024096471E-5</v>
      </c>
      <c r="Q68" s="11"/>
    </row>
    <row r="69" spans="1:17" x14ac:dyDescent="0.25">
      <c r="A69">
        <f>Table1[[#This Row],[Gibbs Energy (hartree)]]</f>
        <v>-1260.01236142269</v>
      </c>
      <c r="B69">
        <f>Table1[[#This Row],[Energy (hartrees)]]*$C$2</f>
        <v>-790670.35691635218</v>
      </c>
      <c r="C69">
        <f>Table1[[#This Row],[Energy (kcal)]]-MIN(Table1[Energy (kcal)])</f>
        <v>5.0976165098836645</v>
      </c>
      <c r="D69">
        <v>-1260.01236142269</v>
      </c>
      <c r="E69">
        <v>276</v>
      </c>
      <c r="F69" t="s">
        <v>17</v>
      </c>
      <c r="H69" s="10">
        <f>Table1[[#This Row],[Rel E]]</f>
        <v>5.0976165098836645</v>
      </c>
      <c r="I69" s="10">
        <f>IF(Table1[[#This Row],[rel G]]&lt;5,EXP(-H69/(D$2*E$2)),0)</f>
        <v>0</v>
      </c>
      <c r="J69" s="10">
        <f>IF(Table1[[#This Row],[rel G]]&lt;5,I69/$F$2,0)</f>
        <v>0</v>
      </c>
      <c r="Q69" s="11"/>
    </row>
    <row r="70" spans="1:17" x14ac:dyDescent="0.25">
      <c r="A70">
        <f>Table1[[#This Row],[Gibbs Energy (hartree)]]</f>
        <v>-1260.0126520203601</v>
      </c>
      <c r="B70">
        <f>Table1[[#This Row],[Energy (hartrees)]]*$C$2</f>
        <v>-790670.5392692961</v>
      </c>
      <c r="C70">
        <f>Table1[[#This Row],[Energy (kcal)]]-MIN(Table1[Energy (kcal)])</f>
        <v>4.9152635659556836</v>
      </c>
      <c r="D70">
        <v>-1260.0126520203601</v>
      </c>
      <c r="E70">
        <v>278</v>
      </c>
      <c r="F70" t="s">
        <v>19</v>
      </c>
      <c r="H70" s="10">
        <f>Table1[[#This Row],[Rel E]]</f>
        <v>4.9152635659556836</v>
      </c>
      <c r="I70" s="10">
        <f>IF(Table1[[#This Row],[rel G]]&lt;5,EXP(-H70/(D$2*E$2)),0)</f>
        <v>2.4847846783729245E-4</v>
      </c>
      <c r="J70" s="10">
        <f>IF(Table1[[#This Row],[rel G]]&lt;5,I70/$F$2,0)</f>
        <v>4.7629892029221072E-5</v>
      </c>
      <c r="Q70" s="11"/>
    </row>
    <row r="71" spans="1:17" x14ac:dyDescent="0.25">
      <c r="A71">
        <f>Table1[[#This Row],[Gibbs Energy (hartree)]]</f>
        <v>-1260.0127261811599</v>
      </c>
      <c r="B71">
        <f>Table1[[#This Row],[Energy (hartrees)]]*$C$2</f>
        <v>-790670.58580593963</v>
      </c>
      <c r="C71">
        <f>Table1[[#This Row],[Energy (kcal)]]-MIN(Table1[Energy (kcal)])</f>
        <v>4.8687269224319607</v>
      </c>
      <c r="D71">
        <v>-1260.0127261811599</v>
      </c>
      <c r="E71">
        <v>283</v>
      </c>
      <c r="F71" t="s">
        <v>19</v>
      </c>
      <c r="H71" s="10">
        <f>Table1[[#This Row],[Rel E]]</f>
        <v>4.8687269224319607</v>
      </c>
      <c r="I71" s="10">
        <f>IF(Table1[[#This Row],[rel G]]&lt;5,EXP(-H71/(D$2*E$2)),0)</f>
        <v>2.6879264466340616E-4</v>
      </c>
      <c r="J71" s="10">
        <f>IF(Table1[[#This Row],[rel G]]&lt;5,I71/$F$2,0)</f>
        <v>5.1523839288763394E-5</v>
      </c>
      <c r="Q71" s="11"/>
    </row>
    <row r="72" spans="1:17" x14ac:dyDescent="0.25">
      <c r="A72">
        <f>Table1[[#This Row],[Gibbs Energy (hartree)]]</f>
        <v>-1260.0109365692799</v>
      </c>
      <c r="B72">
        <f>Table1[[#This Row],[Energy (hartrees)]]*$C$2</f>
        <v>-790669.46280658885</v>
      </c>
      <c r="C72">
        <f>Table1[[#This Row],[Energy (kcal)]]-MIN(Table1[Energy (kcal)])</f>
        <v>5.9917262732051313</v>
      </c>
      <c r="D72">
        <v>-1260.0109365692799</v>
      </c>
      <c r="E72">
        <v>290</v>
      </c>
      <c r="F72" t="s">
        <v>17</v>
      </c>
      <c r="H72" s="10">
        <f>Table1[[#This Row],[Rel E]]</f>
        <v>5.9917262732051313</v>
      </c>
      <c r="I72" s="10">
        <f>IF(Table1[[#This Row],[rel G]]&lt;5,EXP(-H72/(D$2*E$2)),0)</f>
        <v>0</v>
      </c>
      <c r="J72" s="10">
        <f>IF(Table1[[#This Row],[rel G]]&lt;5,I72/$F$2,0)</f>
        <v>0</v>
      </c>
      <c r="Q72" s="11"/>
    </row>
    <row r="73" spans="1:17" x14ac:dyDescent="0.25">
      <c r="A73">
        <f>Table1[[#This Row],[Gibbs Energy (hartree)]]</f>
        <v>-1260.0112171629701</v>
      </c>
      <c r="B73">
        <f>Table1[[#This Row],[Energy (hartrees)]]*$C$2</f>
        <v>-790669.63888193539</v>
      </c>
      <c r="C73">
        <f>Table1[[#This Row],[Energy (kcal)]]-MIN(Table1[Energy (kcal)])</f>
        <v>5.8156509266700596</v>
      </c>
      <c r="D73">
        <v>-1260.0112171629701</v>
      </c>
      <c r="E73">
        <v>333</v>
      </c>
      <c r="F73" t="s">
        <v>123</v>
      </c>
      <c r="H73" s="10">
        <f>Table1[[#This Row],[Rel E]]</f>
        <v>5.8156509266700596</v>
      </c>
      <c r="I73" s="10">
        <f>IF(Table1[[#This Row],[rel G]]&lt;5,EXP(-H73/(D$2*E$2)),0)</f>
        <v>0</v>
      </c>
      <c r="J73" s="10">
        <f>IF(Table1[[#This Row],[rel G]]&lt;5,I73/$F$2,0)</f>
        <v>0</v>
      </c>
      <c r="Q73" s="11"/>
    </row>
    <row r="74" spans="1:17" x14ac:dyDescent="0.25">
      <c r="A74">
        <f>Table1[[#This Row],[Gibbs Energy (hartree)]]</f>
        <v>-1260.01163047914</v>
      </c>
      <c r="B74">
        <f>Table1[[#This Row],[Energy (hartrees)]]*$C$2</f>
        <v>-790669.8982419651</v>
      </c>
      <c r="C74">
        <f>Table1[[#This Row],[Energy (kcal)]]-MIN(Table1[Energy (kcal)])</f>
        <v>5.5562908969586715</v>
      </c>
      <c r="D74">
        <v>-1260.01163047914</v>
      </c>
      <c r="E74">
        <v>373</v>
      </c>
      <c r="F74" t="s">
        <v>17</v>
      </c>
      <c r="H74" s="10">
        <f>Table1[[#This Row],[Rel E]]</f>
        <v>5.5562908969586715</v>
      </c>
      <c r="I74" s="10">
        <f>IF(Table1[[#This Row],[rel G]]&lt;5,EXP(-H74/(D$2*E$2)),0)</f>
        <v>0</v>
      </c>
      <c r="J74" s="10">
        <f>IF(Table1[[#This Row],[rel G]]&lt;5,I74/$F$2,0)</f>
        <v>0</v>
      </c>
      <c r="Q74" s="11"/>
    </row>
    <row r="75" spans="1:17" x14ac:dyDescent="0.25">
      <c r="A75">
        <f>Table1[[#This Row],[Gibbs Energy (hartree)]]</f>
        <v>-1260.0118555476699</v>
      </c>
      <c r="B75">
        <f>Table1[[#This Row],[Energy (hartrees)]]*$C$2</f>
        <v>-790670.03947471839</v>
      </c>
      <c r="C75">
        <f>Table1[[#This Row],[Energy (kcal)]]-MIN(Table1[Energy (kcal)])</f>
        <v>5.4150581436697394</v>
      </c>
      <c r="D75">
        <v>-1260.0118555476699</v>
      </c>
      <c r="E75">
        <v>396</v>
      </c>
      <c r="F75" t="s">
        <v>17</v>
      </c>
      <c r="H75" s="10">
        <f>Table1[[#This Row],[Rel E]]</f>
        <v>5.4150581436697394</v>
      </c>
      <c r="I75" s="10">
        <f>IF(Table1[[#This Row],[rel G]]&lt;5,EXP(-H75/(D$2*E$2)),0)</f>
        <v>0</v>
      </c>
      <c r="J75" s="10">
        <f>IF(Table1[[#This Row],[rel G]]&lt;5,I75/$F$2,0)</f>
        <v>0</v>
      </c>
      <c r="Q75" s="11"/>
    </row>
    <row r="76" spans="1:17" x14ac:dyDescent="0.25">
      <c r="C76" s="4"/>
      <c r="H76" s="10"/>
      <c r="I76" s="10"/>
      <c r="J76" s="10"/>
      <c r="Q76" s="11"/>
    </row>
    <row r="77" spans="1:17" x14ac:dyDescent="0.25">
      <c r="C77" s="4"/>
      <c r="H77" s="10"/>
      <c r="I77" s="10"/>
      <c r="J77" s="10"/>
      <c r="Q77" s="11"/>
    </row>
    <row r="78" spans="1:17" x14ac:dyDescent="0.25">
      <c r="C78" s="4"/>
      <c r="H78" s="10"/>
      <c r="I78" s="10"/>
      <c r="J78" s="10"/>
      <c r="Q78" s="11"/>
    </row>
    <row r="79" spans="1:17" x14ac:dyDescent="0.25">
      <c r="C79" s="4"/>
      <c r="H79" s="10"/>
      <c r="I79" s="10"/>
      <c r="J79" s="10"/>
      <c r="Q79" s="11"/>
    </row>
    <row r="80" spans="1:17" x14ac:dyDescent="0.25">
      <c r="C80" s="4"/>
      <c r="H80" s="10"/>
      <c r="I80" s="10"/>
      <c r="J80" s="10"/>
      <c r="Q80" s="11"/>
    </row>
    <row r="81" spans="3:17" x14ac:dyDescent="0.25">
      <c r="C81" s="4"/>
      <c r="H81" s="10"/>
      <c r="I81" s="10"/>
      <c r="J81" s="10"/>
      <c r="Q81" s="11"/>
    </row>
    <row r="82" spans="3:17" x14ac:dyDescent="0.25">
      <c r="C82" s="4"/>
      <c r="H82" s="10"/>
      <c r="I82" s="10"/>
      <c r="J82" s="10"/>
      <c r="Q82" s="11"/>
    </row>
    <row r="83" spans="3:17" x14ac:dyDescent="0.25">
      <c r="C83" s="4"/>
      <c r="H83" s="10"/>
      <c r="I83" s="10"/>
      <c r="J83" s="10"/>
      <c r="Q83" s="12"/>
    </row>
    <row r="84" spans="3:17" x14ac:dyDescent="0.25">
      <c r="C84" s="4"/>
      <c r="H84" s="10"/>
      <c r="I84" s="10"/>
      <c r="J84" s="10"/>
    </row>
    <row r="85" spans="3:17" x14ac:dyDescent="0.25">
      <c r="C85" s="4"/>
      <c r="H85" s="10"/>
      <c r="I85" s="10"/>
      <c r="J85" s="10"/>
    </row>
    <row r="86" spans="3:17" x14ac:dyDescent="0.25">
      <c r="C86" s="4"/>
      <c r="H86" s="10"/>
      <c r="I86" s="10"/>
      <c r="J86" s="10"/>
    </row>
    <row r="87" spans="3:17" x14ac:dyDescent="0.25">
      <c r="C87" s="4"/>
      <c r="H87" s="10"/>
      <c r="I87" s="10"/>
      <c r="J87" s="10"/>
    </row>
    <row r="88" spans="3:17" x14ac:dyDescent="0.25">
      <c r="C88" s="4"/>
      <c r="D88" s="4"/>
      <c r="H88" s="4"/>
      <c r="I88" s="4"/>
      <c r="J88" s="4"/>
    </row>
    <row r="89" spans="3:17" x14ac:dyDescent="0.25">
      <c r="C89" s="4"/>
      <c r="D89" s="4"/>
      <c r="H89" s="4"/>
      <c r="I89" s="4"/>
      <c r="J89" s="4"/>
    </row>
    <row r="90" spans="3:17" x14ac:dyDescent="0.25">
      <c r="C90" s="4"/>
      <c r="D90" s="4"/>
      <c r="H90" s="4"/>
      <c r="I90" s="4"/>
      <c r="J90" s="4"/>
    </row>
    <row r="91" spans="3:17" x14ac:dyDescent="0.25">
      <c r="C91" s="4"/>
      <c r="D91" s="4"/>
      <c r="H91" s="4"/>
      <c r="I91" s="4"/>
      <c r="J91" s="4"/>
    </row>
  </sheetData>
  <sortState xmlns:xlrd2="http://schemas.microsoft.com/office/spreadsheetml/2017/richdata2" ref="M7:P13">
    <sortCondition descending="1" ref="O7:O13"/>
  </sortState>
  <phoneticPr fontId="4" type="noConversion"/>
  <conditionalFormatting sqref="X76:X79">
    <cfRule type="cellIs" dxfId="32" priority="8" operator="greaterThan">
      <formula>5</formula>
    </cfRule>
  </conditionalFormatting>
  <conditionalFormatting sqref="H7:H75">
    <cfRule type="cellIs" dxfId="31" priority="1" operator="lessThan">
      <formula>5</formula>
    </cfRule>
    <cfRule type="cellIs" dxfId="30" priority="2" operator="greaterThan">
      <formula>5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DE23-14B5-4F34-8B41-10E18CB07CA4}">
  <dimension ref="A1:AF85"/>
  <sheetViews>
    <sheetView topLeftCell="A64" workbookViewId="0">
      <selection activeCell="S73" sqref="S73:S74"/>
    </sheetView>
  </sheetViews>
  <sheetFormatPr defaultRowHeight="15" x14ac:dyDescent="0.25"/>
  <cols>
    <col min="1" max="1" width="10.140625" customWidth="1"/>
    <col min="11" max="11" width="13.42578125" customWidth="1"/>
  </cols>
  <sheetData>
    <row r="1" spans="1:31" x14ac:dyDescent="0.25">
      <c r="A1" t="s">
        <v>76</v>
      </c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  <c r="H1" t="s">
        <v>73</v>
      </c>
      <c r="I1" t="s">
        <v>74</v>
      </c>
      <c r="J1" t="s">
        <v>15</v>
      </c>
      <c r="K1" t="s">
        <v>75</v>
      </c>
      <c r="L1" t="s">
        <v>78</v>
      </c>
      <c r="M1" t="s">
        <v>79</v>
      </c>
      <c r="N1" t="s">
        <v>80</v>
      </c>
      <c r="O1" t="s">
        <v>81</v>
      </c>
      <c r="P1" t="s">
        <v>82</v>
      </c>
      <c r="Q1" t="s">
        <v>83</v>
      </c>
      <c r="R1" t="s">
        <v>84</v>
      </c>
      <c r="S1" t="s">
        <v>85</v>
      </c>
      <c r="T1" t="s">
        <v>86</v>
      </c>
    </row>
    <row r="2" spans="1:31" x14ac:dyDescent="0.25">
      <c r="A2" t="s">
        <v>23</v>
      </c>
      <c r="B2">
        <v>7.6769999999999996</v>
      </c>
      <c r="C2">
        <v>8.5869999999999997</v>
      </c>
      <c r="D2">
        <v>6.492</v>
      </c>
      <c r="E2">
        <v>0.92100000000000004</v>
      </c>
      <c r="F2">
        <v>12.112</v>
      </c>
      <c r="G2">
        <v>1.4730000000000001</v>
      </c>
      <c r="H2">
        <v>-12.196</v>
      </c>
      <c r="I2">
        <v>10.313000000000001</v>
      </c>
      <c r="J2" s="9">
        <f>chloroform!J7</f>
        <v>1.9326078955663063E-2</v>
      </c>
      <c r="K2" t="str">
        <f>chloroform!F7</f>
        <v>4H6</v>
      </c>
      <c r="M2">
        <f>0.9155*Table2[[#This Row],[J1,2]]*Table2[[#This Row],[weight]]</f>
        <v>0.13582935510457347</v>
      </c>
      <c r="N2">
        <f>0.9155*Table2[[#This Row],[J2,3]]*Table2[[#This Row],[weight]]</f>
        <v>0.15193000811293117</v>
      </c>
      <c r="O2">
        <f>0.9155*Table2[[#This Row],[J34]]*Table2[[#This Row],[weight]]</f>
        <v>0.11486312014314069</v>
      </c>
      <c r="P2">
        <f>0.9155*Table2[[#This Row],[J45]]*Table2[[#This Row],[weight]]</f>
        <v>1.629527628648068E-2</v>
      </c>
      <c r="Q2">
        <f>0.9155*Table2[[#This Row],[J56]]*Table2[[#This Row],[weight]]</f>
        <v>0.21429792223871227</v>
      </c>
      <c r="R2">
        <f>0.9155*Table2[[#This Row],[J67]]*Table2[[#This Row],[weight]]</f>
        <v>2.6061826243198742E-2</v>
      </c>
      <c r="S2">
        <f>0.9155*Table2[[#This Row],[J67'']]*Table2[[#This Row],[weight]]</f>
        <v>0.18246816975295904</v>
      </c>
      <c r="T2">
        <f>0.9155*Table2[[#This Row],[J77'']]*Table2[[#This Row],[weight]]</f>
        <v>-0.21578413636256066</v>
      </c>
      <c r="Y2">
        <v>7.7371451697936386</v>
      </c>
      <c r="Z2">
        <v>7.6223406092934836</v>
      </c>
      <c r="AA2">
        <v>4.4114338850180577</v>
      </c>
      <c r="AB2">
        <v>3.5152098552688251</v>
      </c>
      <c r="AC2">
        <v>10.009112483138958</v>
      </c>
      <c r="AD2">
        <v>1.6169491914418774</v>
      </c>
      <c r="AE2">
        <v>3.0819887538197386</v>
      </c>
    </row>
    <row r="3" spans="1:31" x14ac:dyDescent="0.25">
      <c r="A3" t="s">
        <v>24</v>
      </c>
      <c r="B3">
        <v>7.8250000000000002</v>
      </c>
      <c r="C3">
        <v>8.1839999999999993</v>
      </c>
      <c r="D3">
        <v>5.9489999999999998</v>
      </c>
      <c r="E3">
        <v>0.56100000000000005</v>
      </c>
      <c r="F3">
        <v>11.586</v>
      </c>
      <c r="G3">
        <v>1.276</v>
      </c>
      <c r="H3">
        <v>-13.053000000000001</v>
      </c>
      <c r="I3">
        <v>10.183</v>
      </c>
      <c r="J3" s="9">
        <f>chloroform!J8</f>
        <v>2.5992690474494064E-2</v>
      </c>
      <c r="K3" t="str">
        <f>chloroform!F8</f>
        <v>4H6</v>
      </c>
      <c r="M3">
        <f>0.9155*Table2[[#This Row],[J1,2]]*Table2[[#This Row],[weight]]</f>
        <v>0.18620611111254964</v>
      </c>
      <c r="N3">
        <f>0.9155*Table2[[#This Row],[J2,3]]*Table2[[#This Row],[weight]]</f>
        <v>0.19474898573100399</v>
      </c>
      <c r="O3">
        <f>0.9155*Table2[[#This Row],[J34]]*Table2[[#This Row],[weight]]</f>
        <v>0.14156423706179652</v>
      </c>
      <c r="P3">
        <f>0.9155*Table2[[#This Row],[J45]]*Table2[[#This Row],[weight]]</f>
        <v>1.3349728860593019E-2</v>
      </c>
      <c r="Q3">
        <f>0.9155*Table2[[#This Row],[J56]]*Table2[[#This Row],[weight]]</f>
        <v>0.27570402598722049</v>
      </c>
      <c r="R3">
        <f>0.9155*Table2[[#This Row],[J67]]*Table2[[#This Row],[weight]]</f>
        <v>3.0364089173113524E-2</v>
      </c>
      <c r="S3">
        <f>0.9155*Table2[[#This Row],[J67'']]*Table2[[#This Row],[weight]]</f>
        <v>0.24231780568167324</v>
      </c>
      <c r="T3">
        <f>0.9155*Table2[[#This Row],[J77'']]*Table2[[#This Row],[weight]]</f>
        <v>-0.31061321001304926</v>
      </c>
      <c r="Y3">
        <v>6.95</v>
      </c>
      <c r="Z3">
        <v>6.15</v>
      </c>
      <c r="AA3">
        <v>5.73</v>
      </c>
      <c r="AB3">
        <v>4.0999999999999996</v>
      </c>
      <c r="AC3">
        <v>9.66</v>
      </c>
      <c r="AD3">
        <v>2.23</v>
      </c>
      <c r="AE3">
        <v>5.15</v>
      </c>
    </row>
    <row r="4" spans="1:31" x14ac:dyDescent="0.25">
      <c r="A4" t="s">
        <v>25</v>
      </c>
      <c r="B4">
        <v>7.86</v>
      </c>
      <c r="C4">
        <v>8.9190000000000005</v>
      </c>
      <c r="D4">
        <v>6.3090000000000002</v>
      </c>
      <c r="E4">
        <v>0.46700000000000003</v>
      </c>
      <c r="F4">
        <v>11.747</v>
      </c>
      <c r="G4">
        <v>0.96399999999999997</v>
      </c>
      <c r="H4">
        <v>-13.75</v>
      </c>
      <c r="I4">
        <v>3.2669999999999999</v>
      </c>
      <c r="J4" s="9">
        <f>chloroform!J9</f>
        <v>8.9978232529870944E-2</v>
      </c>
      <c r="K4" t="str">
        <f>chloroform!F9</f>
        <v>4H6</v>
      </c>
      <c r="M4">
        <f>0.9155*Table2[[#This Row],[J1,2]]*Table2[[#This Row],[weight]]</f>
        <v>0.6474680649854212</v>
      </c>
      <c r="N4">
        <f>0.9155*Table2[[#This Row],[J2,3]]*Table2[[#This Row],[weight]]</f>
        <v>0.73470326610750281</v>
      </c>
      <c r="O4">
        <f>0.9155*Table2[[#This Row],[J34]]*Table2[[#This Row],[weight]]</f>
        <v>0.51970432849783998</v>
      </c>
      <c r="P4">
        <f>0.9155*Table2[[#This Row],[J45]]*Table2[[#This Row],[weight]]</f>
        <v>3.8469158568472231E-2</v>
      </c>
      <c r="Q4">
        <f>0.9155*Table2[[#This Row],[J56]]*Table2[[#This Row],[weight]]</f>
        <v>0.96765996938724463</v>
      </c>
      <c r="R4">
        <f>0.9155*Table2[[#This Row],[J67]]*Table2[[#This Row],[weight]]</f>
        <v>7.9409569293377363E-2</v>
      </c>
      <c r="S4">
        <f>0.9155*Table2[[#This Row],[J67'']]*Table2[[#This Row],[weight]]</f>
        <v>0.26911935983554341</v>
      </c>
      <c r="T4">
        <f>0.9155*Table2[[#This Row],[J77'']]*Table2[[#This Row],[weight]]</f>
        <v>-1.1326572383650817</v>
      </c>
    </row>
    <row r="5" spans="1:31" x14ac:dyDescent="0.25">
      <c r="A5" t="s">
        <v>26</v>
      </c>
      <c r="B5">
        <v>8.0250000000000004</v>
      </c>
      <c r="C5">
        <v>8.577</v>
      </c>
      <c r="D5">
        <v>5.6319999999999997</v>
      </c>
      <c r="E5">
        <v>0.32900000000000001</v>
      </c>
      <c r="F5">
        <v>11.805999999999999</v>
      </c>
      <c r="G5">
        <v>1.1950000000000001</v>
      </c>
      <c r="H5">
        <v>-13.618</v>
      </c>
      <c r="I5">
        <v>2.831</v>
      </c>
      <c r="J5" s="9">
        <f>chloroform!J10</f>
        <v>0.19168619495999895</v>
      </c>
      <c r="K5" t="str">
        <f>chloroform!F10</f>
        <v>4H6</v>
      </c>
      <c r="M5">
        <f>0.9155*Table2[[#This Row],[J1,2]]*Table2[[#This Row],[weight]]</f>
        <v>1.4082969096741793</v>
      </c>
      <c r="N5">
        <f>0.9155*Table2[[#This Row],[J2,3]]*Table2[[#This Row],[weight]]</f>
        <v>1.5051666784143845</v>
      </c>
      <c r="O5">
        <f>0.9155*Table2[[#This Row],[J34]]*Table2[[#This Row],[weight]]</f>
        <v>0.98835242308847071</v>
      </c>
      <c r="P5">
        <f>0.9155*Table2[[#This Row],[J45]]*Table2[[#This Row],[weight]]</f>
        <v>5.7735786078854205E-2</v>
      </c>
      <c r="Q5">
        <f>0.9155*Table2[[#This Row],[J56]]*Table2[[#This Row],[weight]]</f>
        <v>2.0718197278022878</v>
      </c>
      <c r="R5">
        <f>0.9155*Table2[[#This Row],[J67]]*Table2[[#This Row],[weight]]</f>
        <v>0.20970901022562546</v>
      </c>
      <c r="S5">
        <f>0.9155*Table2[[#This Row],[J67'']]*Table2[[#This Row],[weight]]</f>
        <v>0.49680854221652354</v>
      </c>
      <c r="T5">
        <f>0.9155*Table2[[#This Row],[J77'']]*Table2[[#This Row],[weight]]</f>
        <v>-2.3898052730147006</v>
      </c>
    </row>
    <row r="6" spans="1:31" x14ac:dyDescent="0.25">
      <c r="A6" t="s">
        <v>27</v>
      </c>
      <c r="B6">
        <v>8.6199999999999992</v>
      </c>
      <c r="C6">
        <v>9.6829999999999998</v>
      </c>
      <c r="D6">
        <v>2.9089999999999998</v>
      </c>
      <c r="E6">
        <v>6.5730000000000004</v>
      </c>
      <c r="F6">
        <v>9.1850000000000005</v>
      </c>
      <c r="G6">
        <v>1.722</v>
      </c>
      <c r="H6">
        <v>-14.025</v>
      </c>
      <c r="I6">
        <v>2.375</v>
      </c>
      <c r="J6" s="9">
        <f>chloroform!J11</f>
        <v>1.0782558885098603E-2</v>
      </c>
      <c r="K6" t="str">
        <f>chloroform!F11</f>
        <v>45TH</v>
      </c>
      <c r="M6">
        <f>0.9155*Table2[[#This Row],[J1,2]]*Table2[[#This Row],[weight]]</f>
        <v>8.5091749523232979E-2</v>
      </c>
      <c r="N6">
        <f>0.9155*Table2[[#This Row],[J2,3]]*Table2[[#This Row],[weight]]</f>
        <v>9.5585082440077143E-2</v>
      </c>
      <c r="O6">
        <f>0.9155*Table2[[#This Row],[J34]]*Table2[[#This Row],[weight]]</f>
        <v>2.8715997605926302E-2</v>
      </c>
      <c r="P6">
        <f>0.9155*Table2[[#This Row],[J45]]*Table2[[#This Row],[weight]]</f>
        <v>6.4884926869629989E-2</v>
      </c>
      <c r="Q6">
        <f>0.9155*Table2[[#This Row],[J56]]*Table2[[#This Row],[weight]]</f>
        <v>9.0669108975741874E-2</v>
      </c>
      <c r="R6">
        <f>0.9155*Table2[[#This Row],[J67]]*Table2[[#This Row],[weight]]</f>
        <v>1.6998607039327981E-2</v>
      </c>
      <c r="S6">
        <f>0.9155*Table2[[#This Row],[J67'']]*Table2[[#This Row],[weight]]</f>
        <v>2.3444652565855959E-2</v>
      </c>
      <c r="T6">
        <f>0.9155*Table2[[#This Row],[J77'']]*Table2[[#This Row],[weight]]</f>
        <v>-0.1384468430467915</v>
      </c>
      <c r="Z6" t="s">
        <v>88</v>
      </c>
      <c r="AA6" t="s">
        <v>89</v>
      </c>
      <c r="AB6" t="s">
        <v>90</v>
      </c>
    </row>
    <row r="7" spans="1:31" x14ac:dyDescent="0.25">
      <c r="A7" t="s">
        <v>28</v>
      </c>
      <c r="B7">
        <v>8.0510000000000002</v>
      </c>
      <c r="C7">
        <v>9.1110000000000007</v>
      </c>
      <c r="D7">
        <v>5.5350000000000001</v>
      </c>
      <c r="E7">
        <v>0.44900000000000001</v>
      </c>
      <c r="F7">
        <v>11.731</v>
      </c>
      <c r="G7">
        <v>1.379</v>
      </c>
      <c r="H7">
        <v>-13.701000000000001</v>
      </c>
      <c r="I7">
        <v>2.6360000000000001</v>
      </c>
      <c r="J7" s="9">
        <f>chloroform!J12</f>
        <v>8.3702807101061455E-2</v>
      </c>
      <c r="K7" t="str">
        <f>chloroform!F12</f>
        <v>4H6</v>
      </c>
      <c r="M7">
        <f>0.9155*Table2[[#This Row],[J1,2]]*Table2[[#This Row],[weight]]</f>
        <v>0.61694748512312625</v>
      </c>
      <c r="N7">
        <f>0.9155*Table2[[#This Row],[J2,3]]*Table2[[#This Row],[weight]]</f>
        <v>0.69817520021820934</v>
      </c>
      <c r="O7">
        <f>0.9155*Table2[[#This Row],[J34]]*Table2[[#This Row],[weight]]</f>
        <v>0.42414660665215542</v>
      </c>
      <c r="P7">
        <f>0.9155*Table2[[#This Row],[J45]]*Table2[[#This Row],[weight]]</f>
        <v>3.4406834035558775E-2</v>
      </c>
      <c r="Q7">
        <f>0.9155*Table2[[#This Row],[J56]]*Table2[[#This Row],[weight]]</f>
        <v>0.89894559035888633</v>
      </c>
      <c r="R7">
        <f>0.9155*Table2[[#This Row],[J67]]*Table2[[#This Row],[weight]]</f>
        <v>0.105672659543509</v>
      </c>
      <c r="S7">
        <f>0.9155*Table2[[#This Row],[J67'']]*Table2[[#This Row],[weight]]</f>
        <v>0.20199646885909336</v>
      </c>
      <c r="T7">
        <f>0.9155*Table2[[#This Row],[J77'']]*Table2[[#This Row],[weight]]</f>
        <v>-1.0499065325638992</v>
      </c>
      <c r="Z7" s="6">
        <v>6.95</v>
      </c>
      <c r="AA7" s="6">
        <f>AB7/0.9155</f>
        <v>8.4512781756347781</v>
      </c>
      <c r="AB7" s="6">
        <v>7.7371451697936386</v>
      </c>
    </row>
    <row r="8" spans="1:31" x14ac:dyDescent="0.25">
      <c r="A8" t="s">
        <v>29</v>
      </c>
      <c r="B8">
        <v>7.7359999999999998</v>
      </c>
      <c r="C8">
        <v>8.6690000000000005</v>
      </c>
      <c r="D8">
        <v>6.4820000000000002</v>
      </c>
      <c r="E8">
        <v>0.86899999999999999</v>
      </c>
      <c r="F8">
        <v>11.75</v>
      </c>
      <c r="G8">
        <v>2.597</v>
      </c>
      <c r="H8">
        <v>-13.023999999999999</v>
      </c>
      <c r="I8">
        <v>1.232</v>
      </c>
      <c r="J8" s="9">
        <f>chloroform!J13</f>
        <v>2.3405625614782842E-2</v>
      </c>
      <c r="K8" t="str">
        <f>chloroform!F13</f>
        <v>4H6</v>
      </c>
      <c r="M8">
        <f>0.9155*Table2[[#This Row],[J1,2]]*Table2[[#This Row],[weight]]</f>
        <v>0.16576584953658144</v>
      </c>
      <c r="N8">
        <f>0.9155*Table2[[#This Row],[J2,3]]*Table2[[#This Row],[weight]]</f>
        <v>0.18575803382014278</v>
      </c>
      <c r="O8">
        <f>0.9155*Table2[[#This Row],[J34]]*Table2[[#This Row],[weight]]</f>
        <v>0.13889532532266299</v>
      </c>
      <c r="P8">
        <f>0.9155*Table2[[#This Row],[J45]]*Table2[[#This Row],[weight]]</f>
        <v>1.8620801867539977E-2</v>
      </c>
      <c r="Q8">
        <f>0.9155*Table2[[#This Row],[J56]]*Table2[[#This Row],[weight]]</f>
        <v>0.25177724044142091</v>
      </c>
      <c r="R8">
        <f>0.9155*Table2[[#This Row],[J67]]*Table2[[#This Row],[weight]]</f>
        <v>5.5648127100116594E-2</v>
      </c>
      <c r="S8">
        <f>0.9155*Table2[[#This Row],[J67'']]*Table2[[#This Row],[weight]]</f>
        <v>2.6399111508411108E-2</v>
      </c>
      <c r="T8">
        <f>0.9155*Table2[[#This Row],[J77'']]*Table2[[#This Row],[weight]]</f>
        <v>-0.27907632166034596</v>
      </c>
      <c r="Z8" s="6">
        <v>6.15</v>
      </c>
      <c r="AA8" s="6">
        <f t="shared" ref="AA8:AA13" si="0">AB8/0.9155</f>
        <v>8.3258772357110686</v>
      </c>
      <c r="AB8" s="6">
        <v>7.6223406092934836</v>
      </c>
    </row>
    <row r="9" spans="1:31" x14ac:dyDescent="0.25">
      <c r="A9" t="s">
        <v>96</v>
      </c>
      <c r="B9">
        <v>8.5609999999999999</v>
      </c>
      <c r="C9">
        <v>9.6329999999999991</v>
      </c>
      <c r="D9">
        <v>2.177</v>
      </c>
      <c r="E9">
        <v>7.8090000000000002</v>
      </c>
      <c r="F9">
        <v>9.3729999999999993</v>
      </c>
      <c r="G9">
        <v>1.7150000000000001</v>
      </c>
      <c r="H9">
        <v>-14.05</v>
      </c>
      <c r="I9">
        <v>2.335</v>
      </c>
      <c r="J9" s="9">
        <f>chloroform!J14</f>
        <v>0</v>
      </c>
      <c r="K9" t="str">
        <f>chloroform!F14</f>
        <v>45TH</v>
      </c>
      <c r="M9">
        <f>0.9155*Table2[[#This Row],[J1,2]]*Table2[[#This Row],[weight]]</f>
        <v>0</v>
      </c>
      <c r="N9">
        <f>0.9155*Table2[[#This Row],[J2,3]]*Table2[[#This Row],[weight]]</f>
        <v>0</v>
      </c>
      <c r="O9">
        <f>0.9155*Table2[[#This Row],[J34]]*Table2[[#This Row],[weight]]</f>
        <v>0</v>
      </c>
      <c r="P9">
        <f>0.9155*Table2[[#This Row],[J45]]*Table2[[#This Row],[weight]]</f>
        <v>0</v>
      </c>
      <c r="Q9">
        <f>0.9155*Table2[[#This Row],[J56]]*Table2[[#This Row],[weight]]</f>
        <v>0</v>
      </c>
      <c r="R9">
        <f>0.9155*Table2[[#This Row],[J67]]*Table2[[#This Row],[weight]]</f>
        <v>0</v>
      </c>
      <c r="S9">
        <f>0.9155*Table2[[#This Row],[J67'']]*Table2[[#This Row],[weight]]</f>
        <v>0</v>
      </c>
      <c r="T9">
        <f>0.9155*Table2[[#This Row],[J77'']]*Table2[[#This Row],[weight]]</f>
        <v>0</v>
      </c>
      <c r="Z9" s="6">
        <v>5.73</v>
      </c>
      <c r="AA9" s="6">
        <f t="shared" si="0"/>
        <v>4.8186061005112588</v>
      </c>
      <c r="AB9" s="6">
        <v>4.4114338850180577</v>
      </c>
    </row>
    <row r="10" spans="1:31" x14ac:dyDescent="0.25">
      <c r="A10" t="s">
        <v>30</v>
      </c>
      <c r="B10">
        <v>8.7080000000000002</v>
      </c>
      <c r="C10">
        <v>9.1489999999999991</v>
      </c>
      <c r="D10">
        <v>2.19</v>
      </c>
      <c r="E10">
        <v>6.3179999999999996</v>
      </c>
      <c r="F10">
        <v>9.5809999999999995</v>
      </c>
      <c r="G10">
        <v>2.9950000000000001</v>
      </c>
      <c r="H10">
        <v>-12.337999999999999</v>
      </c>
      <c r="I10">
        <v>11.654</v>
      </c>
      <c r="J10" s="9">
        <f>chloroform!J15</f>
        <v>2.6673295322250507E-2</v>
      </c>
      <c r="K10" t="str">
        <f>chloroform!F15</f>
        <v>45TH</v>
      </c>
      <c r="M10">
        <f>0.9155*Table2[[#This Row],[J1,2]]*Table2[[#This Row],[weight]]</f>
        <v>0.21264415146236712</v>
      </c>
      <c r="N10">
        <f>0.9155*Table2[[#This Row],[J2,3]]*Table2[[#This Row],[weight]]</f>
        <v>0.22341310768594355</v>
      </c>
      <c r="O10">
        <f>0.9155*Table2[[#This Row],[J34]]*Table2[[#This Row],[weight]]</f>
        <v>5.3478490089869539E-2</v>
      </c>
      <c r="P10">
        <f>0.9155*Table2[[#This Row],[J45]]*Table2[[#This Row],[weight]]</f>
        <v>0.15428178099899348</v>
      </c>
      <c r="Q10">
        <f>0.9155*Table2[[#This Row],[J56]]*Table2[[#This Row],[weight]]</f>
        <v>0.23396228929271237</v>
      </c>
      <c r="R10">
        <f>0.9155*Table2[[#This Row],[J67]]*Table2[[#This Row],[weight]]</f>
        <v>7.3136108593223406E-2</v>
      </c>
      <c r="S10">
        <f>0.9155*Table2[[#This Row],[J67'']]*Table2[[#This Row],[weight]]</f>
        <v>0.284583709364082</v>
      </c>
      <c r="T10">
        <f>0.9155*Table2[[#This Row],[J77'']]*Table2[[#This Row],[weight]]</f>
        <v>-0.30128658024146587</v>
      </c>
      <c r="Z10" s="6">
        <v>4.0999999999999996</v>
      </c>
      <c r="AA10" s="6">
        <f t="shared" si="0"/>
        <v>3.8396612291303387</v>
      </c>
      <c r="AB10" s="6">
        <v>3.5152098552688251</v>
      </c>
    </row>
    <row r="11" spans="1:31" x14ac:dyDescent="0.25">
      <c r="A11" t="s">
        <v>31</v>
      </c>
      <c r="B11">
        <v>7.907</v>
      </c>
      <c r="C11">
        <v>8.4039999999999999</v>
      </c>
      <c r="D11">
        <v>5.7629999999999999</v>
      </c>
      <c r="E11">
        <v>0.371</v>
      </c>
      <c r="F11">
        <v>11.929</v>
      </c>
      <c r="G11">
        <v>2.4020000000000001</v>
      </c>
      <c r="H11">
        <v>-13.055999999999999</v>
      </c>
      <c r="I11">
        <v>1.373</v>
      </c>
      <c r="J11" s="9">
        <f>chloroform!J16</f>
        <v>4.8616292036398993E-2</v>
      </c>
      <c r="K11" t="str">
        <f>chloroform!F16</f>
        <v>4H6</v>
      </c>
      <c r="M11">
        <f>0.9155*Table2[[#This Row],[J1,2]]*Table2[[#This Row],[weight]]</f>
        <v>0.35192645884616919</v>
      </c>
      <c r="N11">
        <f>0.9155*Table2[[#This Row],[J2,3]]*Table2[[#This Row],[weight]]</f>
        <v>0.37404704187975285</v>
      </c>
      <c r="O11">
        <f>0.9155*Table2[[#This Row],[J34]]*Table2[[#This Row],[weight]]</f>
        <v>0.25650084511578003</v>
      </c>
      <c r="P11">
        <f>0.9155*Table2[[#This Row],[J45]]*Table2[[#This Row],[weight]]</f>
        <v>1.6512547898308933E-2</v>
      </c>
      <c r="Q11">
        <f>0.9155*Table2[[#This Row],[J56]]*Table2[[#This Row],[weight]]</f>
        <v>0.53093850102136741</v>
      </c>
      <c r="R11">
        <f>0.9155*Table2[[#This Row],[J67]]*Table2[[#This Row],[weight]]</f>
        <v>0.10690873329309453</v>
      </c>
      <c r="S11">
        <f>0.9155*Table2[[#This Row],[J67'']]*Table2[[#This Row],[weight]]</f>
        <v>6.1109779688350858E-2</v>
      </c>
      <c r="T11">
        <f>0.9155*Table2[[#This Row],[J77'']]*Table2[[#This Row],[weight]]</f>
        <v>-0.5810992597313247</v>
      </c>
      <c r="Z11" s="6">
        <v>9.66</v>
      </c>
      <c r="AA11" s="6">
        <f t="shared" si="0"/>
        <v>10.932946458917487</v>
      </c>
      <c r="AB11" s="6">
        <v>10.009112483138958</v>
      </c>
    </row>
    <row r="12" spans="1:31" x14ac:dyDescent="0.25">
      <c r="A12" t="s">
        <v>32</v>
      </c>
      <c r="B12">
        <v>8.7279999999999998</v>
      </c>
      <c r="C12">
        <v>9.1859999999999999</v>
      </c>
      <c r="D12">
        <v>2.351</v>
      </c>
      <c r="E12">
        <v>5.9160000000000004</v>
      </c>
      <c r="F12">
        <v>10.324</v>
      </c>
      <c r="G12">
        <v>2.06</v>
      </c>
      <c r="H12">
        <v>-13.089</v>
      </c>
      <c r="I12">
        <v>1.907</v>
      </c>
      <c r="J12" s="9">
        <f>chloroform!J17</f>
        <v>0.12189078843388949</v>
      </c>
      <c r="K12" t="str">
        <f>chloroform!F17</f>
        <v>45TH</v>
      </c>
      <c r="M12">
        <f>0.9155*Table2[[#This Row],[J1,2]]*Table2[[#This Row],[weight]]</f>
        <v>0.97396639472837898</v>
      </c>
      <c r="N12">
        <f>0.9155*Table2[[#This Row],[J2,3]]*Table2[[#This Row],[weight]]</f>
        <v>1.0250750804279203</v>
      </c>
      <c r="O12">
        <f>0.9155*Table2[[#This Row],[J34]]*Table2[[#This Row],[weight]]</f>
        <v>0.26235048052319188</v>
      </c>
      <c r="P12">
        <f>0.9155*Table2[[#This Row],[J45]]*Table2[[#This Row],[weight]]</f>
        <v>0.66017245545521197</v>
      </c>
      <c r="Q12">
        <f>0.9155*Table2[[#This Row],[J56]]*Table2[[#This Row],[weight]]</f>
        <v>1.1520656575590955</v>
      </c>
      <c r="R12">
        <f>0.9155*Table2[[#This Row],[J67]]*Table2[[#This Row],[weight]]</f>
        <v>0.22987749463112522</v>
      </c>
      <c r="S12">
        <f>0.9155*Table2[[#This Row],[J67'']]*Table2[[#This Row],[weight]]</f>
        <v>0.21280406905900764</v>
      </c>
      <c r="T12">
        <f>0.9155*Table2[[#This Row],[J77'']]*Table2[[#This Row],[weight]]</f>
        <v>-1.4606148190421351</v>
      </c>
      <c r="Z12" s="6">
        <v>2.23</v>
      </c>
      <c r="AA12" s="6">
        <f t="shared" si="0"/>
        <v>1.7661924537868678</v>
      </c>
      <c r="AB12" s="6">
        <v>1.6169491914418774</v>
      </c>
    </row>
    <row r="13" spans="1:31" x14ac:dyDescent="0.25">
      <c r="A13" t="s">
        <v>33</v>
      </c>
      <c r="B13">
        <v>8.8230000000000004</v>
      </c>
      <c r="C13">
        <v>2.0190000000000001</v>
      </c>
      <c r="D13">
        <v>11.984999999999999</v>
      </c>
      <c r="E13">
        <v>9.3070000000000004</v>
      </c>
      <c r="F13">
        <v>0.26</v>
      </c>
      <c r="G13">
        <v>12.739000000000001</v>
      </c>
      <c r="H13">
        <v>-11.784000000000001</v>
      </c>
      <c r="I13">
        <v>6</v>
      </c>
      <c r="J13" s="9">
        <f>chloroform!J18</f>
        <v>2.9215514810765719E-3</v>
      </c>
      <c r="K13" t="str">
        <f>chloroform!F18</f>
        <v>6H4</v>
      </c>
      <c r="M13">
        <f>0.9155*Table2[[#This Row],[J1,2]]*Table2[[#This Row],[weight]]</f>
        <v>2.3598705000906585E-2</v>
      </c>
      <c r="N13">
        <f>0.9155*Table2[[#This Row],[J2,3]]*Table2[[#This Row],[weight]]</f>
        <v>5.4001796890887901E-3</v>
      </c>
      <c r="O13">
        <f>0.9155*Table2[[#This Row],[J34]]*Table2[[#This Row],[weight]]</f>
        <v>3.2056044365393332E-2</v>
      </c>
      <c r="P13">
        <f>0.9155*Table2[[#This Row],[J45]]*Table2[[#This Row],[weight]]</f>
        <v>2.4893250305274575E-2</v>
      </c>
      <c r="Q13">
        <f>0.9155*Table2[[#This Row],[J56]]*Table2[[#This Row],[weight]]</f>
        <v>6.954168990406564E-4</v>
      </c>
      <c r="R13">
        <f>0.9155*Table2[[#This Row],[J67]]*Table2[[#This Row],[weight]]</f>
        <v>3.4072753372611238E-2</v>
      </c>
      <c r="S13">
        <f>0.9155*Table2[[#This Row],[J67'']]*Table2[[#This Row],[weight]]</f>
        <v>1.604808228555361E-2</v>
      </c>
      <c r="T13">
        <f>0.9155*Table2[[#This Row],[J77'']]*Table2[[#This Row],[weight]]</f>
        <v>-3.1518433608827286E-2</v>
      </c>
      <c r="Z13" s="6">
        <v>5.15</v>
      </c>
      <c r="AA13" s="6">
        <f t="shared" si="0"/>
        <v>3.3664541276021174</v>
      </c>
      <c r="AB13" s="6">
        <v>3.0819887538197386</v>
      </c>
    </row>
    <row r="14" spans="1:31" x14ac:dyDescent="0.25">
      <c r="A14" t="s">
        <v>34</v>
      </c>
      <c r="B14">
        <v>7.8150000000000004</v>
      </c>
      <c r="C14">
        <v>8.7650000000000006</v>
      </c>
      <c r="D14">
        <v>6.44</v>
      </c>
      <c r="E14">
        <v>0.82299999999999995</v>
      </c>
      <c r="F14">
        <v>11.782999999999999</v>
      </c>
      <c r="G14">
        <v>1.885</v>
      </c>
      <c r="H14">
        <v>-13.999000000000001</v>
      </c>
      <c r="I14">
        <v>2.1230000000000002</v>
      </c>
      <c r="J14" s="9">
        <f>chloroform!J19</f>
        <v>3.9576682262289983E-2</v>
      </c>
      <c r="K14" t="str">
        <f>chloroform!F19</f>
        <v>4H6</v>
      </c>
      <c r="M14">
        <f>0.9155*Table2[[#This Row],[J1,2]]*Table2[[#This Row],[weight]]</f>
        <v>0.28315661715595342</v>
      </c>
      <c r="N14">
        <f>0.9155*Table2[[#This Row],[J2,3]]*Table2[[#This Row],[weight]]</f>
        <v>0.31757744713652364</v>
      </c>
      <c r="O14">
        <f>0.9155*Table2[[#This Row],[J34]]*Table2[[#This Row],[weight]]</f>
        <v>0.23333699481565454</v>
      </c>
      <c r="P14">
        <f>0.9155*Table2[[#This Row],[J45]]*Table2[[#This Row],[weight]]</f>
        <v>2.981930849895709E-2</v>
      </c>
      <c r="Q14">
        <f>0.9155*Table2[[#This Row],[J56]]*Table2[[#This Row],[weight]]</f>
        <v>0.42692698911690324</v>
      </c>
      <c r="R14">
        <f>0.9155*Table2[[#This Row],[J67]]*Table2[[#This Row],[weight]]</f>
        <v>6.8298173171973411E-2</v>
      </c>
      <c r="S14">
        <f>0.9155*Table2[[#This Row],[J67'']]*Table2[[#This Row],[weight]]</f>
        <v>7.6921496893421523E-2</v>
      </c>
      <c r="T14">
        <f>0.9155*Table2[[#This Row],[J77'']]*Table2[[#This Row],[weight]]</f>
        <v>-0.50721810410315959</v>
      </c>
      <c r="Z14" t="s">
        <v>87</v>
      </c>
      <c r="AA14" s="6">
        <f>SQRT(SUMXMY2($Z$7:$Z$13,AA$7:AA$13)/7)</f>
        <v>1.357689162159023</v>
      </c>
      <c r="AB14" s="6">
        <f>SQRT(SUMXMY2($Z7:$Z13,AB7:AB13)/7)</f>
        <v>1.1736610507992684</v>
      </c>
    </row>
    <row r="15" spans="1:31" x14ac:dyDescent="0.25">
      <c r="A15" t="s">
        <v>35</v>
      </c>
      <c r="B15">
        <v>9.7270000000000003</v>
      </c>
      <c r="C15">
        <v>2.7839999999999998</v>
      </c>
      <c r="D15">
        <v>7.343</v>
      </c>
      <c r="E15">
        <v>1.5860000000000001</v>
      </c>
      <c r="F15">
        <v>4.367</v>
      </c>
      <c r="G15">
        <v>4.2720000000000002</v>
      </c>
      <c r="H15">
        <v>-14.541</v>
      </c>
      <c r="I15">
        <v>1.2330000000000001</v>
      </c>
      <c r="J15" s="9">
        <f>chloroform!J20</f>
        <v>1.1248033002108086E-4</v>
      </c>
      <c r="K15" t="str">
        <f>chloroform!F20</f>
        <v>TH45</v>
      </c>
      <c r="M15">
        <f>0.9155*Table2[[#This Row],[J1,2]]*Table2[[#This Row],[weight]]</f>
        <v>1.0016450437403317E-3</v>
      </c>
      <c r="N15">
        <f>0.9155*Table2[[#This Row],[J2,3]]*Table2[[#This Row],[weight]]</f>
        <v>2.8668446610188988E-4</v>
      </c>
      <c r="O15">
        <f>0.9155*Table2[[#This Row],[J34]]*Table2[[#This Row],[weight]]</f>
        <v>7.5615087449216144E-4</v>
      </c>
      <c r="P15">
        <f>0.9155*Table2[[#This Row],[J45]]*Table2[[#This Row],[weight]]</f>
        <v>1.6331952702499907E-4</v>
      </c>
      <c r="Q15">
        <f>0.9155*Table2[[#This Row],[J56]]*Table2[[#This Row],[weight]]</f>
        <v>4.4969506590048603E-4</v>
      </c>
      <c r="R15">
        <f>0.9155*Table2[[#This Row],[J67]]*Table2[[#This Row],[weight]]</f>
        <v>4.3991237039772761E-4</v>
      </c>
      <c r="S15">
        <f>0.9155*Table2[[#This Row],[J67'']]*Table2[[#This Row],[weight]]</f>
        <v>1.2696909005159134E-4</v>
      </c>
      <c r="T15">
        <f>0.9155*Table2[[#This Row],[J77'']]*Table2[[#This Row],[weight]]</f>
        <v>-1.4973702663748495E-3</v>
      </c>
      <c r="AA15" s="6">
        <f>SQRT(SUMXMY2($Z$7:$Z$11,AA$7:AA$11)/5)</f>
        <v>1.3789188307102573</v>
      </c>
      <c r="AB15" s="6">
        <f>SQRT(SUMXMY2($Z$7:$Z$11,AB$7:AB$11)/5)</f>
        <v>0.99898548807686827</v>
      </c>
    </row>
    <row r="16" spans="1:31" x14ac:dyDescent="0.25">
      <c r="A16" t="s">
        <v>115</v>
      </c>
      <c r="B16">
        <v>8.5969999999999995</v>
      </c>
      <c r="C16">
        <v>9.6620000000000008</v>
      </c>
      <c r="D16">
        <v>2.8620000000000001</v>
      </c>
      <c r="E16">
        <v>6.9160000000000004</v>
      </c>
      <c r="F16">
        <v>8.8810000000000002</v>
      </c>
      <c r="G16">
        <v>3.665</v>
      </c>
      <c r="H16">
        <v>-11.833</v>
      </c>
      <c r="I16">
        <v>11.688000000000001</v>
      </c>
      <c r="J16" s="9">
        <f>chloroform!J21</f>
        <v>4.1839475733440249E-4</v>
      </c>
      <c r="K16" t="str">
        <f>chloroform!F21</f>
        <v>45TH</v>
      </c>
      <c r="M16">
        <f>0.9155*Table2[[#This Row],[J1,2]]*Table2[[#This Row],[weight]]</f>
        <v>3.2929983217199321E-3</v>
      </c>
      <c r="N16">
        <f>0.9155*Table2[[#This Row],[J2,3]]*Table2[[#This Row],[weight]]</f>
        <v>3.7009363480816548E-3</v>
      </c>
      <c r="O16">
        <f>0.9155*Table2[[#This Row],[J34]]*Table2[[#This Row],[weight]]</f>
        <v>1.0962616257720653E-3</v>
      </c>
      <c r="P16">
        <f>0.9155*Table2[[#This Row],[J45]]*Table2[[#This Row],[weight]]</f>
        <v>2.6491074087489882E-3</v>
      </c>
      <c r="Q16">
        <f>0.9155*Table2[[#This Row],[J56]]*Table2[[#This Row],[weight]]</f>
        <v>3.4017817954163916E-3</v>
      </c>
      <c r="R16">
        <f>0.9155*Table2[[#This Row],[J67]]*Table2[[#This Row],[weight]]</f>
        <v>1.4038430672448005E-3</v>
      </c>
      <c r="S16">
        <f>0.9155*Table2[[#This Row],[J67'']]*Table2[[#This Row],[weight]]</f>
        <v>4.4769761991697767E-3</v>
      </c>
      <c r="T16">
        <f>0.9155*Table2[[#This Row],[J77'']]*Table2[[#This Row],[weight]]</f>
        <v>-4.5325170572190245E-3</v>
      </c>
    </row>
    <row r="17" spans="1:20" x14ac:dyDescent="0.25">
      <c r="A17" t="s">
        <v>98</v>
      </c>
      <c r="B17">
        <v>9.3859999999999992</v>
      </c>
      <c r="C17">
        <v>3.327</v>
      </c>
      <c r="D17">
        <v>10.962999999999999</v>
      </c>
      <c r="E17">
        <v>0.61799999999999999</v>
      </c>
      <c r="F17">
        <v>5.5819999999999999</v>
      </c>
      <c r="G17">
        <v>5.9370000000000003</v>
      </c>
      <c r="H17">
        <v>-12.641999999999999</v>
      </c>
      <c r="I17">
        <v>0.499</v>
      </c>
      <c r="J17" s="9">
        <f>chloroform!J22</f>
        <v>0</v>
      </c>
      <c r="K17" t="str">
        <f>chloroform!F22</f>
        <v>TH45</v>
      </c>
      <c r="M17">
        <f>0.9155*Table2[[#This Row],[J1,2]]*Table2[[#This Row],[weight]]</f>
        <v>0</v>
      </c>
      <c r="N17">
        <f>0.9155*Table2[[#This Row],[J2,3]]*Table2[[#This Row],[weight]]</f>
        <v>0</v>
      </c>
      <c r="O17">
        <f>0.9155*Table2[[#This Row],[J34]]*Table2[[#This Row],[weight]]</f>
        <v>0</v>
      </c>
      <c r="P17">
        <f>0.9155*Table2[[#This Row],[J45]]*Table2[[#This Row],[weight]]</f>
        <v>0</v>
      </c>
      <c r="Q17">
        <f>0.9155*Table2[[#This Row],[J56]]*Table2[[#This Row],[weight]]</f>
        <v>0</v>
      </c>
      <c r="R17">
        <f>0.9155*Table2[[#This Row],[J67]]*Table2[[#This Row],[weight]]</f>
        <v>0</v>
      </c>
      <c r="S17">
        <f>0.9155*Table2[[#This Row],[J67'']]*Table2[[#This Row],[weight]]</f>
        <v>0</v>
      </c>
      <c r="T17">
        <f>0.9155*Table2[[#This Row],[J77'']]*Table2[[#This Row],[weight]]</f>
        <v>0</v>
      </c>
    </row>
    <row r="18" spans="1:20" x14ac:dyDescent="0.25">
      <c r="A18" t="s">
        <v>36</v>
      </c>
      <c r="B18">
        <v>8.5730000000000004</v>
      </c>
      <c r="C18">
        <v>9.6470000000000002</v>
      </c>
      <c r="D18">
        <v>3.0409999999999999</v>
      </c>
      <c r="E18">
        <v>6.4870000000000001</v>
      </c>
      <c r="F18">
        <v>9.7669999999999995</v>
      </c>
      <c r="G18">
        <v>10.85</v>
      </c>
      <c r="H18">
        <v>-11.714</v>
      </c>
      <c r="I18">
        <v>2.6219999999999999</v>
      </c>
      <c r="J18" s="9">
        <f>chloroform!J23</f>
        <v>1.1195174007312013E-3</v>
      </c>
      <c r="K18" t="str">
        <f>chloroform!F23</f>
        <v>45TH</v>
      </c>
      <c r="M18">
        <f>0.9155*Table2[[#This Row],[J1,2]]*Table2[[#This Row],[weight]]</f>
        <v>8.7866235603069921E-3</v>
      </c>
      <c r="N18">
        <f>0.9155*Table2[[#This Row],[J2,3]]*Table2[[#This Row],[weight]]</f>
        <v>9.887385686023745E-3</v>
      </c>
      <c r="O18">
        <f>0.9155*Table2[[#This Row],[J34]]*Table2[[#This Row],[weight]]</f>
        <v>3.1167761865033899E-3</v>
      </c>
      <c r="P18">
        <f>0.9155*Table2[[#This Row],[J45]]*Table2[[#This Row],[weight]]</f>
        <v>6.6486442360563936E-3</v>
      </c>
      <c r="Q18">
        <f>0.9155*Table2[[#This Row],[J56]]*Table2[[#This Row],[weight]]</f>
        <v>1.0010375867668073E-2</v>
      </c>
      <c r="R18">
        <f>0.9155*Table2[[#This Row],[J67]]*Table2[[#This Row],[weight]]</f>
        <v>1.1120362257008151E-2</v>
      </c>
      <c r="S18">
        <f>0.9155*Table2[[#This Row],[J67'']]*Table2[[#This Row],[weight]]</f>
        <v>2.6873354689286055E-3</v>
      </c>
      <c r="T18">
        <f>0.9155*Table2[[#This Row],[J77'']]*Table2[[#This Row],[weight]]</f>
        <v>-1.2005891564847325E-2</v>
      </c>
    </row>
    <row r="19" spans="1:20" x14ac:dyDescent="0.25">
      <c r="A19" t="s">
        <v>37</v>
      </c>
      <c r="B19">
        <v>8.782</v>
      </c>
      <c r="C19">
        <v>9.2530000000000001</v>
      </c>
      <c r="D19">
        <v>1.7949999999999999</v>
      </c>
      <c r="E19">
        <v>8.3360000000000003</v>
      </c>
      <c r="F19">
        <v>8.6300000000000008</v>
      </c>
      <c r="G19">
        <v>2.008</v>
      </c>
      <c r="H19">
        <v>-13.927</v>
      </c>
      <c r="I19">
        <v>2.0049999999999999</v>
      </c>
      <c r="J19" s="9">
        <f>chloroform!J24</f>
        <v>1.0506013961301909E-2</v>
      </c>
      <c r="K19" t="str">
        <f>chloroform!F24</f>
        <v>45TH</v>
      </c>
      <c r="M19">
        <f>0.9155*Table2[[#This Row],[J1,2]]*Table2[[#This Row],[weight]]</f>
        <v>8.4467522273764403E-2</v>
      </c>
      <c r="N19">
        <f>0.9155*Table2[[#This Row],[J2,3]]*Table2[[#This Row],[weight]]</f>
        <v>8.8997720746884779E-2</v>
      </c>
      <c r="O19">
        <f>0.9155*Table2[[#This Row],[J34]]*Table2[[#This Row],[weight]]</f>
        <v>1.7264769127921555E-2</v>
      </c>
      <c r="P19">
        <f>0.9155*Table2[[#This Row],[J45]]*Table2[[#This Row],[weight]]</f>
        <v>8.0177780195183346E-2</v>
      </c>
      <c r="Q19">
        <f>0.9155*Table2[[#This Row],[J56]]*Table2[[#This Row],[weight]]</f>
        <v>8.300554739496549E-2</v>
      </c>
      <c r="R19">
        <f>0.9155*Table2[[#This Row],[J67]]*Table2[[#This Row],[weight]]</f>
        <v>1.9313457609396373E-2</v>
      </c>
      <c r="S19">
        <f>0.9155*Table2[[#This Row],[J67'']]*Table2[[#This Row],[weight]]</f>
        <v>1.9284602842051655E-2</v>
      </c>
      <c r="T19">
        <f>0.9155*Table2[[#This Row],[J77'']]*Table2[[#This Row],[weight]]</f>
        <v>-0.13395344826995181</v>
      </c>
    </row>
    <row r="20" spans="1:20" x14ac:dyDescent="0.25">
      <c r="A20" t="s">
        <v>38</v>
      </c>
      <c r="B20">
        <v>7.6859999999999999</v>
      </c>
      <c r="C20">
        <v>8.58</v>
      </c>
      <c r="D20">
        <v>6.4980000000000002</v>
      </c>
      <c r="E20">
        <v>0.97299999999999998</v>
      </c>
      <c r="F20">
        <v>12.156000000000001</v>
      </c>
      <c r="G20">
        <v>1.2889999999999999</v>
      </c>
      <c r="H20">
        <v>-13.638</v>
      </c>
      <c r="I20">
        <v>10.845000000000001</v>
      </c>
      <c r="J20" s="9">
        <f>chloroform!J25</f>
        <v>2.9693809347054925E-2</v>
      </c>
      <c r="K20" t="str">
        <f>chloroform!F25</f>
        <v>4H6</v>
      </c>
      <c r="M20">
        <f>0.9155*Table2[[#This Row],[J1,2]]*Table2[[#This Row],[weight]]</f>
        <v>0.2089414693662604</v>
      </c>
      <c r="N20">
        <f>0.9155*Table2[[#This Row],[J2,3]]*Table2[[#This Row],[weight]]</f>
        <v>0.23324457548302296</v>
      </c>
      <c r="O20">
        <f>0.9155*Table2[[#This Row],[J34]]*Table2[[#This Row],[weight]]</f>
        <v>0.17664606660707263</v>
      </c>
      <c r="P20">
        <f>0.9155*Table2[[#This Row],[J45]]*Table2[[#This Row],[weight]]</f>
        <v>2.6450696030883607E-2</v>
      </c>
      <c r="Q20">
        <f>0.9155*Table2[[#This Row],[J56]]*Table2[[#This Row],[weight]]</f>
        <v>0.3304569999500731</v>
      </c>
      <c r="R20">
        <f>0.9155*Table2[[#This Row],[J67]]*Table2[[#This Row],[weight]]</f>
        <v>3.50410556873679E-2</v>
      </c>
      <c r="S20">
        <f>0.9155*Table2[[#This Row],[J67'']]*Table2[[#This Row],[weight]]</f>
        <v>0.29481788124864616</v>
      </c>
      <c r="T20">
        <f>0.9155*Table2[[#This Row],[J77'']]*Table2[[#This Row],[weight]]</f>
        <v>-0.37074469935168614</v>
      </c>
    </row>
    <row r="21" spans="1:20" x14ac:dyDescent="0.25">
      <c r="A21" t="s">
        <v>39</v>
      </c>
      <c r="B21">
        <v>8.4489999999999998</v>
      </c>
      <c r="C21">
        <v>2.0910000000000002</v>
      </c>
      <c r="D21">
        <v>12.23</v>
      </c>
      <c r="E21">
        <v>9.4949999999999992</v>
      </c>
      <c r="F21">
        <v>0.185</v>
      </c>
      <c r="G21">
        <v>12.284000000000001</v>
      </c>
      <c r="H21">
        <v>-12.032</v>
      </c>
      <c r="I21">
        <v>3.82</v>
      </c>
      <c r="J21" s="9">
        <f>chloroform!J26</f>
        <v>7.2780620693175906E-4</v>
      </c>
      <c r="K21" t="str">
        <f>chloroform!F26</f>
        <v>6H4</v>
      </c>
      <c r="M21">
        <f>0.9155*Table2[[#This Row],[J1,2]]*Table2[[#This Row],[weight]]</f>
        <v>5.6296243150864679E-3</v>
      </c>
      <c r="N21">
        <f>0.9155*Table2[[#This Row],[J2,3]]*Table2[[#This Row],[weight]]</f>
        <v>1.3932470638946392E-3</v>
      </c>
      <c r="O21">
        <f>0.9155*Table2[[#This Row],[J34]]*Table2[[#This Row],[weight]]</f>
        <v>8.1489295033148907E-3</v>
      </c>
      <c r="P21">
        <f>0.9155*Table2[[#This Row],[J45]]*Table2[[#This Row],[weight]]</f>
        <v>6.3265810003250104E-3</v>
      </c>
      <c r="Q21">
        <f>0.9155*Table2[[#This Row],[J56]]*Table2[[#This Row],[weight]]</f>
        <v>1.232667177525147E-4</v>
      </c>
      <c r="R21">
        <f>0.9155*Table2[[#This Row],[J67]]*Table2[[#This Row],[weight]]</f>
        <v>8.1849100587669775E-3</v>
      </c>
      <c r="S21">
        <f>0.9155*Table2[[#This Row],[J67'']]*Table2[[#This Row],[weight]]</f>
        <v>2.5452911449438172E-3</v>
      </c>
      <c r="T21">
        <f>0.9155*Table2[[#This Row],[J77'']]*Table2[[#This Row],[weight]]</f>
        <v>-8.0170007999905771E-3</v>
      </c>
    </row>
    <row r="22" spans="1:20" x14ac:dyDescent="0.25">
      <c r="A22" t="s">
        <v>116</v>
      </c>
      <c r="B22">
        <v>8.6150000000000002</v>
      </c>
      <c r="C22">
        <v>9.6999999999999993</v>
      </c>
      <c r="D22">
        <v>2.6789999999999998</v>
      </c>
      <c r="E22">
        <v>6.9969999999999999</v>
      </c>
      <c r="F22">
        <v>9.1300000000000008</v>
      </c>
      <c r="G22">
        <v>2.0739999999999998</v>
      </c>
      <c r="H22">
        <v>-13.391</v>
      </c>
      <c r="I22">
        <v>11.721</v>
      </c>
      <c r="J22" s="9">
        <f>chloroform!J27</f>
        <v>1.7085745049514281E-3</v>
      </c>
      <c r="K22" t="str">
        <f>chloroform!F27</f>
        <v>45TH</v>
      </c>
      <c r="M22">
        <f>0.9155*Table2[[#This Row],[J1,2]]*Table2[[#This Row],[weight]]</f>
        <v>1.3475582649223324E-2</v>
      </c>
      <c r="N22">
        <f>0.9155*Table2[[#This Row],[J2,3]]*Table2[[#This Row],[weight]]</f>
        <v>1.5172739605045414E-2</v>
      </c>
      <c r="O22">
        <f>0.9155*Table2[[#This Row],[J34]]*Table2[[#This Row],[weight]]</f>
        <v>4.1904916909192439E-3</v>
      </c>
      <c r="P22">
        <f>0.9155*Table2[[#This Row],[J45]]*Table2[[#This Row],[weight]]</f>
        <v>1.0944707115103378E-2</v>
      </c>
      <c r="Q22">
        <f>0.9155*Table2[[#This Row],[J56]]*Table2[[#This Row],[weight]]</f>
        <v>1.4281145628254088E-2</v>
      </c>
      <c r="R22">
        <f>0.9155*Table2[[#This Row],[J67]]*Table2[[#This Row],[weight]]</f>
        <v>3.2441507155530087E-3</v>
      </c>
      <c r="S22">
        <f>0.9155*Table2[[#This Row],[J67'']]*Table2[[#This Row],[weight]]</f>
        <v>1.8333987722756424E-2</v>
      </c>
      <c r="T22">
        <f>0.9155*Table2[[#This Row],[J77'']]*Table2[[#This Row],[weight]]</f>
        <v>-2.0946201654759088E-2</v>
      </c>
    </row>
    <row r="23" spans="1:20" x14ac:dyDescent="0.25">
      <c r="A23" t="s">
        <v>40</v>
      </c>
      <c r="B23">
        <v>8.48</v>
      </c>
      <c r="C23">
        <v>2.1970000000000001</v>
      </c>
      <c r="D23">
        <v>12.215999999999999</v>
      </c>
      <c r="E23">
        <v>10.195</v>
      </c>
      <c r="F23">
        <v>0.71499999999999997</v>
      </c>
      <c r="G23">
        <v>1.208</v>
      </c>
      <c r="H23">
        <v>-13.872999999999999</v>
      </c>
      <c r="I23">
        <v>4.1559999999999997</v>
      </c>
      <c r="J23" s="9">
        <f>chloroform!J28</f>
        <v>6.0615748228323436E-4</v>
      </c>
      <c r="K23" t="str">
        <f>chloroform!F28</f>
        <v>6H4</v>
      </c>
      <c r="M23">
        <f>0.9155*Table2[[#This Row],[J1,2]]*Table2[[#This Row],[weight]]</f>
        <v>4.7058672442569531E-3</v>
      </c>
      <c r="N23">
        <f>0.9155*Table2[[#This Row],[J2,3]]*Table2[[#This Row],[weight]]</f>
        <v>1.2191969735415712E-3</v>
      </c>
      <c r="O23">
        <f>0.9155*Table2[[#This Row],[J34]]*Table2[[#This Row],[weight]]</f>
        <v>6.7791125301701572E-3</v>
      </c>
      <c r="P23">
        <f>0.9155*Table2[[#This Row],[J45]]*Table2[[#This Row],[weight]]</f>
        <v>5.6575844994339198E-3</v>
      </c>
      <c r="Q23">
        <f>0.9155*Table2[[#This Row],[J56]]*Table2[[#This Row],[weight]]</f>
        <v>3.9678008014666524E-4</v>
      </c>
      <c r="R23">
        <f>0.9155*Table2[[#This Row],[J67]]*Table2[[#This Row],[weight]]</f>
        <v>6.7036410743660367E-4</v>
      </c>
      <c r="S23">
        <f>0.9155*Table2[[#This Row],[J67'']]*Table2[[#This Row],[weight]]</f>
        <v>2.3063188994259308E-3</v>
      </c>
      <c r="T23">
        <f>0.9155*Table2[[#This Row],[J77'']]*Table2[[#This Row],[weight]]</f>
        <v>-7.6986434291953666E-3</v>
      </c>
    </row>
    <row r="24" spans="1:20" x14ac:dyDescent="0.25">
      <c r="A24" t="s">
        <v>41</v>
      </c>
      <c r="B24">
        <v>8.7590000000000003</v>
      </c>
      <c r="C24">
        <v>9.2590000000000003</v>
      </c>
      <c r="D24">
        <v>2.0419999999999998</v>
      </c>
      <c r="E24">
        <v>6.6920000000000002</v>
      </c>
      <c r="F24">
        <v>9.8010000000000002</v>
      </c>
      <c r="G24">
        <v>2.1459999999999999</v>
      </c>
      <c r="H24">
        <v>-12.798</v>
      </c>
      <c r="I24">
        <v>1.857</v>
      </c>
      <c r="J24" s="9">
        <f>chloroform!J29</f>
        <v>3.9980502403189573E-2</v>
      </c>
      <c r="K24" t="str">
        <f>chloroform!F29</f>
        <v>45TH</v>
      </c>
      <c r="M24">
        <f>0.9155*Table2[[#This Row],[J1,2]]*Table2[[#This Row],[weight]]</f>
        <v>0.32059823141310151</v>
      </c>
      <c r="N24">
        <f>0.9155*Table2[[#This Row],[J2,3]]*Table2[[#This Row],[weight]]</f>
        <v>0.33889930638816157</v>
      </c>
      <c r="O24">
        <f>0.9155*Table2[[#This Row],[J34]]*Table2[[#This Row],[weight]]</f>
        <v>7.4741590198145136E-2</v>
      </c>
      <c r="P24">
        <f>0.9155*Table2[[#This Row],[J45]]*Table2[[#This Row],[weight]]</f>
        <v>0.2449415874662034</v>
      </c>
      <c r="Q24">
        <f>0.9155*Table2[[#This Row],[J56]]*Table2[[#This Row],[weight]]</f>
        <v>0.35873767166112663</v>
      </c>
      <c r="R24">
        <f>0.9155*Table2[[#This Row],[J67]]*Table2[[#This Row],[weight]]</f>
        <v>7.8548213792957636E-2</v>
      </c>
      <c r="S24">
        <f>0.9155*Table2[[#This Row],[J67'']]*Table2[[#This Row],[weight]]</f>
        <v>6.797019245737293E-2</v>
      </c>
      <c r="T24">
        <f>0.9155*Table2[[#This Row],[J77'']]*Table2[[#This Row],[weight]]</f>
        <v>-0.46843431506163646</v>
      </c>
    </row>
    <row r="25" spans="1:20" x14ac:dyDescent="0.25">
      <c r="A25" t="s">
        <v>42</v>
      </c>
      <c r="B25">
        <v>7.8390000000000004</v>
      </c>
      <c r="C25">
        <v>8.2409999999999997</v>
      </c>
      <c r="D25">
        <v>5.8449999999999998</v>
      </c>
      <c r="E25">
        <v>0.504</v>
      </c>
      <c r="F25">
        <v>12.375999999999999</v>
      </c>
      <c r="G25">
        <v>1.3420000000000001</v>
      </c>
      <c r="H25">
        <v>-13.521000000000001</v>
      </c>
      <c r="I25">
        <v>10.975</v>
      </c>
      <c r="J25" s="9">
        <f>chloroform!J30</f>
        <v>5.0704803416262205E-2</v>
      </c>
      <c r="K25" t="str">
        <f>chloroform!F30</f>
        <v>4H6</v>
      </c>
      <c r="M25">
        <f>0.9155*Table2[[#This Row],[J1,2]]*Table2[[#This Row],[weight]]</f>
        <v>0.36388832036876273</v>
      </c>
      <c r="N25">
        <f>0.9155*Table2[[#This Row],[J2,3]]*Table2[[#This Row],[weight]]</f>
        <v>0.38254925987485305</v>
      </c>
      <c r="O25">
        <f>0.9155*Table2[[#This Row],[J34]]*Table2[[#This Row],[weight]]</f>
        <v>0.27132634679875212</v>
      </c>
      <c r="P25">
        <f>0.9155*Table2[[#This Row],[J45]]*Table2[[#This Row],[weight]]</f>
        <v>2.3395804753904376E-2</v>
      </c>
      <c r="Q25">
        <f>0.9155*Table2[[#This Row],[J56]]*Table2[[#This Row],[weight]]</f>
        <v>0.57449698340142974</v>
      </c>
      <c r="R25">
        <f>0.9155*Table2[[#This Row],[J67]]*Table2[[#This Row],[weight]]</f>
        <v>6.2295972182023165E-2</v>
      </c>
      <c r="S25">
        <f>0.9155*Table2[[#This Row],[J67'']]*Table2[[#This Row],[weight]]</f>
        <v>0.5094622166152788</v>
      </c>
      <c r="T25">
        <f>0.9155*Table2[[#This Row],[J77'']]*Table2[[#This Row],[weight]]</f>
        <v>-0.62764816682051805</v>
      </c>
    </row>
    <row r="26" spans="1:20" x14ac:dyDescent="0.25">
      <c r="A26" t="s">
        <v>43</v>
      </c>
      <c r="B26">
        <v>7.7350000000000003</v>
      </c>
      <c r="C26">
        <v>8.5820000000000007</v>
      </c>
      <c r="D26">
        <v>6.0510000000000002</v>
      </c>
      <c r="E26">
        <v>0.60499999999999998</v>
      </c>
      <c r="F26">
        <v>12.010999999999999</v>
      </c>
      <c r="G26">
        <v>1.306</v>
      </c>
      <c r="H26">
        <v>-14.435</v>
      </c>
      <c r="I26">
        <v>10.941000000000001</v>
      </c>
      <c r="J26" s="9">
        <f>chloroform!J31</f>
        <v>2.5893864222968029E-2</v>
      </c>
      <c r="K26" t="str">
        <f>chloroform!F31</f>
        <v>4H6</v>
      </c>
      <c r="M26">
        <f>0.9155*Table2[[#This Row],[J1,2]]*Table2[[#This Row],[weight]]</f>
        <v>0.18336461590454411</v>
      </c>
      <c r="N26">
        <f>0.9155*Table2[[#This Row],[J2,3]]*Table2[[#This Row],[weight]]</f>
        <v>0.20344345619816392</v>
      </c>
      <c r="O26">
        <f>0.9155*Table2[[#This Row],[J34]]*Table2[[#This Row],[weight]]</f>
        <v>0.14344399364426585</v>
      </c>
      <c r="P26">
        <f>0.9155*Table2[[#This Row],[J45]]*Table2[[#This Row],[weight]]</f>
        <v>1.4342028781156976E-2</v>
      </c>
      <c r="Q26">
        <f>0.9155*Table2[[#This Row],[J56]]*Table2[[#This Row],[weight]]</f>
        <v>0.28473075651318414</v>
      </c>
      <c r="R26">
        <f>0.9155*Table2[[#This Row],[J67]]*Table2[[#This Row],[weight]]</f>
        <v>3.0959817501142163E-2</v>
      </c>
      <c r="S26">
        <f>0.9155*Table2[[#This Row],[J67'']]*Table2[[#This Row],[weight]]</f>
        <v>0.25936551552832804</v>
      </c>
      <c r="T26">
        <f>0.9155*Table2[[#This Row],[J77'']]*Table2[[#This Row],[weight]]</f>
        <v>-0.34219369496859658</v>
      </c>
    </row>
    <row r="27" spans="1:20" x14ac:dyDescent="0.25">
      <c r="A27" t="s">
        <v>99</v>
      </c>
      <c r="B27">
        <v>9.0890000000000004</v>
      </c>
      <c r="C27">
        <v>9.5530000000000008</v>
      </c>
      <c r="D27">
        <v>0.57299999999999995</v>
      </c>
      <c r="E27">
        <v>11.231999999999999</v>
      </c>
      <c r="F27">
        <v>7.9139999999999997</v>
      </c>
      <c r="G27">
        <v>2.17</v>
      </c>
      <c r="H27">
        <v>-13.853999999999999</v>
      </c>
      <c r="I27">
        <v>1.8149999999999999</v>
      </c>
      <c r="J27" s="9">
        <f>chloroform!J32</f>
        <v>0</v>
      </c>
      <c r="K27" t="str">
        <f>chloroform!F32</f>
        <v>45TH</v>
      </c>
      <c r="M27">
        <f>0.9155*Table2[[#This Row],[J1,2]]*Table2[[#This Row],[weight]]</f>
        <v>0</v>
      </c>
      <c r="N27">
        <f>0.9155*Table2[[#This Row],[J2,3]]*Table2[[#This Row],[weight]]</f>
        <v>0</v>
      </c>
      <c r="O27">
        <f>0.9155*Table2[[#This Row],[J34]]*Table2[[#This Row],[weight]]</f>
        <v>0</v>
      </c>
      <c r="P27">
        <f>0.9155*Table2[[#This Row],[J45]]*Table2[[#This Row],[weight]]</f>
        <v>0</v>
      </c>
      <c r="Q27">
        <f>0.9155*Table2[[#This Row],[J56]]*Table2[[#This Row],[weight]]</f>
        <v>0</v>
      </c>
      <c r="R27">
        <f>0.9155*Table2[[#This Row],[J67]]*Table2[[#This Row],[weight]]</f>
        <v>0</v>
      </c>
      <c r="S27">
        <f>0.9155*Table2[[#This Row],[J67'']]*Table2[[#This Row],[weight]]</f>
        <v>0</v>
      </c>
      <c r="T27">
        <f>0.9155*Table2[[#This Row],[J77'']]*Table2[[#This Row],[weight]]</f>
        <v>0</v>
      </c>
    </row>
    <row r="28" spans="1:20" x14ac:dyDescent="0.25">
      <c r="A28" t="s">
        <v>44</v>
      </c>
      <c r="B28">
        <v>7.3410000000000002</v>
      </c>
      <c r="C28">
        <v>6.1989999999999998</v>
      </c>
      <c r="D28">
        <v>10.41</v>
      </c>
      <c r="E28">
        <v>11.784000000000001</v>
      </c>
      <c r="F28">
        <v>8.6240000000000006</v>
      </c>
      <c r="G28">
        <v>1.964</v>
      </c>
      <c r="H28">
        <v>-13.819000000000001</v>
      </c>
      <c r="I28">
        <v>11.335000000000001</v>
      </c>
      <c r="J28" s="9">
        <f>chloroform!J33</f>
        <v>9.4469832230511426E-3</v>
      </c>
      <c r="K28" t="str">
        <f>chloroform!F33</f>
        <v>56TH</v>
      </c>
      <c r="M28">
        <f>0.9155*Table2[[#This Row],[J1,2]]*Table2[[#This Row],[weight]]</f>
        <v>6.3490203165903078E-2</v>
      </c>
      <c r="N28">
        <f>0.9155*Table2[[#This Row],[J2,3]]*Table2[[#This Row],[weight]]</f>
        <v>5.3613372759219881E-2</v>
      </c>
      <c r="O28">
        <f>0.9155*Table2[[#This Row],[J34]]*Table2[[#This Row],[weight]]</f>
        <v>9.003310379472157E-2</v>
      </c>
      <c r="P28">
        <f>0.9155*Table2[[#This Row],[J45]]*Table2[[#This Row],[weight]]</f>
        <v>0.10191643565004793</v>
      </c>
      <c r="Q28">
        <f>0.9155*Table2[[#This Row],[J56]]*Table2[[#This Row],[weight]]</f>
        <v>7.4586502125425447E-2</v>
      </c>
      <c r="R28">
        <f>0.9155*Table2[[#This Row],[J67]]*Table2[[#This Row],[weight]]</f>
        <v>1.6986072608341323E-2</v>
      </c>
      <c r="S28">
        <f>0.9155*Table2[[#This Row],[J67'']]*Table2[[#This Row],[weight]]</f>
        <v>9.803316344987216E-2</v>
      </c>
      <c r="T28">
        <f>0.9155*Table2[[#This Row],[J77'']]*Table2[[#This Row],[weight]]</f>
        <v>-0.1195165668913792</v>
      </c>
    </row>
    <row r="29" spans="1:20" x14ac:dyDescent="0.25">
      <c r="A29" t="s">
        <v>45</v>
      </c>
      <c r="B29">
        <v>8.9169999999999998</v>
      </c>
      <c r="C29">
        <v>2.0419999999999998</v>
      </c>
      <c r="D29">
        <v>12.444000000000001</v>
      </c>
      <c r="E29">
        <v>7.0190000000000001</v>
      </c>
      <c r="F29">
        <v>0.48799999999999999</v>
      </c>
      <c r="G29">
        <v>3.4279999999999999</v>
      </c>
      <c r="H29">
        <v>-12.476000000000001</v>
      </c>
      <c r="I29">
        <v>13.207000000000001</v>
      </c>
      <c r="J29" s="9">
        <f>chloroform!J34</f>
        <v>6.7499659885470701E-4</v>
      </c>
      <c r="K29" t="str">
        <f>chloroform!F34</f>
        <v>6H4</v>
      </c>
      <c r="M29">
        <f>0.9155*Table2[[#This Row],[J1,2]]*Table2[[#This Row],[weight]]</f>
        <v>5.5103438472044854E-3</v>
      </c>
      <c r="N29">
        <f>0.9155*Table2[[#This Row],[J2,3]]*Table2[[#This Row],[weight]]</f>
        <v>1.2618730667255306E-3</v>
      </c>
      <c r="O29">
        <f>0.9155*Table2[[#This Row],[J34]]*Table2[[#This Row],[weight]]</f>
        <v>7.6898866025134714E-3</v>
      </c>
      <c r="P29">
        <f>0.9155*Table2[[#This Row],[J45]]*Table2[[#This Row],[weight]]</f>
        <v>4.3374569320991678E-3</v>
      </c>
      <c r="Q29">
        <f>0.9155*Table2[[#This Row],[J56]]*Table2[[#This Row],[weight]]</f>
        <v>3.015641804907243E-4</v>
      </c>
      <c r="R29">
        <f>0.9155*Table2[[#This Row],[J67]]*Table2[[#This Row],[weight]]</f>
        <v>2.1183647760700882E-3</v>
      </c>
      <c r="S29">
        <f>0.9155*Table2[[#This Row],[J67'']]*Table2[[#This Row],[weight]]</f>
        <v>8.1613896142233525E-3</v>
      </c>
      <c r="T29">
        <f>0.9155*Table2[[#This Row],[J77'']]*Table2[[#This Row],[weight]]</f>
        <v>-7.7096613028735175E-3</v>
      </c>
    </row>
    <row r="30" spans="1:20" x14ac:dyDescent="0.25">
      <c r="A30" t="s">
        <v>46</v>
      </c>
      <c r="B30">
        <v>10.039999999999999</v>
      </c>
      <c r="C30">
        <v>2.5</v>
      </c>
      <c r="D30">
        <v>7.6710000000000003</v>
      </c>
      <c r="E30">
        <v>1.1080000000000001</v>
      </c>
      <c r="F30">
        <v>5.5720000000000001</v>
      </c>
      <c r="G30">
        <v>0.99099999999999999</v>
      </c>
      <c r="H30">
        <v>-13.28</v>
      </c>
      <c r="I30">
        <v>10.173</v>
      </c>
      <c r="J30" s="9">
        <f>chloroform!J35</f>
        <v>7.8954738686043137E-5</v>
      </c>
      <c r="K30" t="str">
        <f>chloroform!F35</f>
        <v>45TH</v>
      </c>
      <c r="M30">
        <f>0.9155*Table2[[#This Row],[J1,2]]*Table2[[#This Row],[weight]]</f>
        <v>7.2572195520140769E-4</v>
      </c>
      <c r="N30">
        <f>0.9155*Table2[[#This Row],[J2,3]]*Table2[[#This Row],[weight]]</f>
        <v>1.8070765816768122E-4</v>
      </c>
      <c r="O30">
        <f>0.9155*Table2[[#This Row],[J34]]*Table2[[#This Row],[weight]]</f>
        <v>5.5448337832171308E-4</v>
      </c>
      <c r="P30">
        <f>0.9155*Table2[[#This Row],[J45]]*Table2[[#This Row],[weight]]</f>
        <v>8.0089634099916331E-5</v>
      </c>
      <c r="Q30">
        <f>0.9155*Table2[[#This Row],[J56]]*Table2[[#This Row],[weight]]</f>
        <v>4.0276122852412791E-4</v>
      </c>
      <c r="R30">
        <f>0.9155*Table2[[#This Row],[J67]]*Table2[[#This Row],[weight]]</f>
        <v>7.1632515697668834E-5</v>
      </c>
      <c r="S30">
        <f>0.9155*Table2[[#This Row],[J67'']]*Table2[[#This Row],[weight]]</f>
        <v>7.3533560261592845E-4</v>
      </c>
      <c r="T30">
        <f>0.9155*Table2[[#This Row],[J77'']]*Table2[[#This Row],[weight]]</f>
        <v>-9.5991908018672255E-4</v>
      </c>
    </row>
    <row r="31" spans="1:20" x14ac:dyDescent="0.25">
      <c r="A31" t="s">
        <v>47</v>
      </c>
      <c r="B31">
        <v>7.9880000000000004</v>
      </c>
      <c r="C31">
        <v>8.5860000000000003</v>
      </c>
      <c r="D31">
        <v>5.5389999999999997</v>
      </c>
      <c r="E31">
        <v>0.36599999999999999</v>
      </c>
      <c r="F31">
        <v>12.065</v>
      </c>
      <c r="G31">
        <v>8.7560000000000002</v>
      </c>
      <c r="H31">
        <v>-12.616</v>
      </c>
      <c r="I31">
        <v>0.66200000000000003</v>
      </c>
      <c r="J31" s="9">
        <f>chloroform!J36</f>
        <v>3.6519280689127583E-3</v>
      </c>
      <c r="K31" t="str">
        <f>chloroform!F36</f>
        <v>4H6</v>
      </c>
      <c r="M31">
        <f>0.9155*Table2[[#This Row],[J1,2]]*Table2[[#This Row],[weight]]</f>
        <v>2.6706601094951966E-2</v>
      </c>
      <c r="N31">
        <f>0.9155*Table2[[#This Row],[J2,3]]*Table2[[#This Row],[weight]]</f>
        <v>2.8705918502911567E-2</v>
      </c>
      <c r="O31">
        <f>0.9155*Table2[[#This Row],[J34]]*Table2[[#This Row],[weight]]</f>
        <v>1.8518761074729464E-2</v>
      </c>
      <c r="P31">
        <f>0.9155*Table2[[#This Row],[J45]]*Table2[[#This Row],[weight]]</f>
        <v>1.2236624938348048E-3</v>
      </c>
      <c r="Q31">
        <f>0.9155*Table2[[#This Row],[J56]]*Table2[[#This Row],[weight]]</f>
        <v>4.0337398874636388E-2</v>
      </c>
      <c r="R31">
        <f>0.9155*Table2[[#This Row],[J67]]*Table2[[#This Row],[weight]]</f>
        <v>2.9274286327916805E-2</v>
      </c>
      <c r="S31">
        <f>0.9155*Table2[[#This Row],[J67'']]*Table2[[#This Row],[weight]]</f>
        <v>2.2132911773733357E-3</v>
      </c>
      <c r="T31">
        <f>0.9155*Table2[[#This Row],[J77'']]*Table2[[#This Row],[weight]]</f>
        <v>-4.2179579295682772E-2</v>
      </c>
    </row>
    <row r="32" spans="1:20" x14ac:dyDescent="0.25">
      <c r="A32" t="s">
        <v>48</v>
      </c>
      <c r="B32">
        <v>9.5879999999999992</v>
      </c>
      <c r="C32">
        <v>3.2650000000000001</v>
      </c>
      <c r="D32">
        <v>8.343</v>
      </c>
      <c r="E32">
        <v>11.727</v>
      </c>
      <c r="F32">
        <v>9.9339999999999993</v>
      </c>
      <c r="G32">
        <v>1.98</v>
      </c>
      <c r="H32">
        <v>-13.079000000000001</v>
      </c>
      <c r="I32">
        <v>1.956</v>
      </c>
      <c r="J32" s="9">
        <f>chloroform!J37</f>
        <v>7.839261904177762E-2</v>
      </c>
      <c r="K32" t="str">
        <f>chloroform!F37</f>
        <v>5C12</v>
      </c>
      <c r="M32">
        <f>0.9155*Table2[[#This Row],[J1,2]]*Table2[[#This Row],[weight]]</f>
        <v>0.68811582892158207</v>
      </c>
      <c r="N32">
        <f>0.9155*Table2[[#This Row],[J2,3]]*Table2[[#This Row],[weight]]</f>
        <v>0.23432396552242032</v>
      </c>
      <c r="O32">
        <f>0.9155*Table2[[#This Row],[J34]]*Table2[[#This Row],[weight]]</f>
        <v>0.59876411771931159</v>
      </c>
      <c r="P32">
        <f>0.9155*Table2[[#This Row],[J45]]*Table2[[#This Row],[weight]]</f>
        <v>0.84162852792692888</v>
      </c>
      <c r="Q32">
        <f>0.9155*Table2[[#This Row],[J56]]*Table2[[#This Row],[weight]]</f>
        <v>0.71294771010711278</v>
      </c>
      <c r="R32">
        <f>0.9155*Table2[[#This Row],[J67]]*Table2[[#This Row],[weight]]</f>
        <v>0.14210151661083986</v>
      </c>
      <c r="S32">
        <f>0.9155*Table2[[#This Row],[J67'']]*Table2[[#This Row],[weight]]</f>
        <v>0.14037907398525393</v>
      </c>
      <c r="T32">
        <f>0.9155*Table2[[#This Row],[J77'']]*Table2[[#This Row],[weight]]</f>
        <v>-0.93865946250160348</v>
      </c>
    </row>
    <row r="33" spans="1:32" x14ac:dyDescent="0.25">
      <c r="A33" t="s">
        <v>49</v>
      </c>
      <c r="B33">
        <v>10.128</v>
      </c>
      <c r="C33">
        <v>2.4900000000000002</v>
      </c>
      <c r="D33">
        <v>7.4660000000000002</v>
      </c>
      <c r="E33">
        <v>1.1379999999999999</v>
      </c>
      <c r="F33">
        <v>5.399</v>
      </c>
      <c r="G33">
        <v>1.657</v>
      </c>
      <c r="H33">
        <v>-13.443</v>
      </c>
      <c r="I33">
        <v>11.381</v>
      </c>
      <c r="J33" s="9">
        <f>chloroform!J38</f>
        <v>1.1996201063032175E-4</v>
      </c>
      <c r="K33" t="str">
        <f>chloroform!F38</f>
        <v>TH45</v>
      </c>
      <c r="M33">
        <f>0.9155*Table2[[#This Row],[J1,2]]*Table2[[#This Row],[weight]]</f>
        <v>1.1123098355742991E-3</v>
      </c>
      <c r="N33">
        <f>0.9155*Table2[[#This Row],[J2,3]]*Table2[[#This Row],[weight]]</f>
        <v>2.734647996228283E-4</v>
      </c>
      <c r="O33">
        <f>0.9155*Table2[[#This Row],[J34]]*Table2[[#This Row],[weight]]</f>
        <v>8.1995509798555677E-4</v>
      </c>
      <c r="P33">
        <f>0.9155*Table2[[#This Row],[J45]]*Table2[[#This Row],[weight]]</f>
        <v>1.2498110119308378E-4</v>
      </c>
      <c r="Q33">
        <f>0.9155*Table2[[#This Row],[J56]]*Table2[[#This Row],[weight]]</f>
        <v>5.9294636673238958E-4</v>
      </c>
      <c r="R33">
        <f>0.9155*Table2[[#This Row],[J67]]*Table2[[#This Row],[weight]]</f>
        <v>1.819803907530227E-4</v>
      </c>
      <c r="S33">
        <f>0.9155*Table2[[#This Row],[J67'']]*Table2[[#This Row],[weight]]</f>
        <v>1.2499208371515699E-3</v>
      </c>
      <c r="T33">
        <f>0.9155*Table2[[#This Row],[J77'']]*Table2[[#This Row],[weight]]</f>
        <v>-1.4763804423010766E-3</v>
      </c>
    </row>
    <row r="34" spans="1:32" x14ac:dyDescent="0.25">
      <c r="A34" t="s">
        <v>50</v>
      </c>
      <c r="B34">
        <v>8.7379999999999995</v>
      </c>
      <c r="C34">
        <v>9.2420000000000009</v>
      </c>
      <c r="D34">
        <v>1.9810000000000001</v>
      </c>
      <c r="E34">
        <v>6.6280000000000001</v>
      </c>
      <c r="F34">
        <v>9.7420000000000009</v>
      </c>
      <c r="G34">
        <v>2.1709999999999998</v>
      </c>
      <c r="H34">
        <v>-13.757</v>
      </c>
      <c r="I34">
        <v>11.983000000000001</v>
      </c>
      <c r="J34" s="9">
        <f>chloroform!J39</f>
        <v>2.6009965125645323E-2</v>
      </c>
      <c r="K34" t="str">
        <f>chloroform!F39</f>
        <v>45TH</v>
      </c>
      <c r="M34">
        <f>0.9155*Table2[[#This Row],[J1,2]]*Table2[[#This Row],[weight]]</f>
        <v>0.20807033140775222</v>
      </c>
      <c r="N34">
        <f>0.9155*Table2[[#This Row],[J2,3]]*Table2[[#This Row],[weight]]</f>
        <v>0.22007164143630653</v>
      </c>
      <c r="O34">
        <f>0.9155*Table2[[#This Row],[J34]]*Table2[[#This Row],[weight]]</f>
        <v>4.7171815806678549E-2</v>
      </c>
      <c r="P34">
        <f>0.9155*Table2[[#This Row],[J45]]*Table2[[#This Row],[weight]]</f>
        <v>0.15782675172471752</v>
      </c>
      <c r="Q34">
        <f>0.9155*Table2[[#This Row],[J56]]*Table2[[#This Row],[weight]]</f>
        <v>0.23197770297257064</v>
      </c>
      <c r="R34">
        <f>0.9155*Table2[[#This Row],[J67]]*Table2[[#This Row],[weight]]</f>
        <v>5.1696119190458918E-2</v>
      </c>
      <c r="S34">
        <f>0.9155*Table2[[#This Row],[J67'']]*Table2[[#This Row],[weight]]</f>
        <v>0.28534067077810654</v>
      </c>
      <c r="T34">
        <f>0.9155*Table2[[#This Row],[J77'']]*Table2[[#This Row],[weight]]</f>
        <v>-0.32758337710877172</v>
      </c>
    </row>
    <row r="35" spans="1:32" x14ac:dyDescent="0.25">
      <c r="A35" t="s">
        <v>51</v>
      </c>
      <c r="B35">
        <v>8.8369999999999997</v>
      </c>
      <c r="C35">
        <v>8.4109999999999996</v>
      </c>
      <c r="D35">
        <v>3.016</v>
      </c>
      <c r="E35">
        <v>4.66</v>
      </c>
      <c r="F35">
        <v>3.0089999999999999</v>
      </c>
      <c r="G35">
        <v>13.372999999999999</v>
      </c>
      <c r="H35">
        <v>-11.494</v>
      </c>
      <c r="I35">
        <v>5.6150000000000002</v>
      </c>
      <c r="J35" s="9">
        <f>chloroform!J40</f>
        <v>9.9188715705201253E-5</v>
      </c>
      <c r="K35" t="str">
        <f>chloroform!F40</f>
        <v>12C5</v>
      </c>
      <c r="M35">
        <f>0.9155*Table2[[#This Row],[J1,2]]*Table2[[#This Row],[weight]]</f>
        <v>8.0246383816882352E-4</v>
      </c>
      <c r="N35">
        <f>0.9155*Table2[[#This Row],[J2,3]]*Table2[[#This Row],[weight]]</f>
        <v>7.6377994147764782E-4</v>
      </c>
      <c r="O35">
        <f>0.9155*Table2[[#This Row],[J34]]*Table2[[#This Row],[weight]]</f>
        <v>2.7387472399198503E-4</v>
      </c>
      <c r="P35">
        <f>0.9155*Table2[[#This Row],[J45]]*Table2[[#This Row],[weight]]</f>
        <v>4.2316187460300078E-4</v>
      </c>
      <c r="Q35">
        <f>0.9155*Table2[[#This Row],[J56]]*Table2[[#This Row],[weight]]</f>
        <v>2.7323907310738824E-4</v>
      </c>
      <c r="R35">
        <f>0.9155*Table2[[#This Row],[J67]]*Table2[[#This Row],[weight]]</f>
        <v>1.2143656113875383E-3</v>
      </c>
      <c r="S35">
        <f>0.9155*Table2[[#This Row],[J67'']]*Table2[[#This Row],[weight]]</f>
        <v>5.0988281671584743E-4</v>
      </c>
      <c r="T35">
        <f>0.9155*Table2[[#This Row],[J77'']]*Table2[[#This Row],[weight]]</f>
        <v>-1.0437387525079164E-3</v>
      </c>
      <c r="Z35">
        <v>6.8367000000000004</v>
      </c>
      <c r="AA35">
        <v>3.44</v>
      </c>
      <c r="AB35">
        <v>1.77</v>
      </c>
      <c r="AC35">
        <v>4.0999999999999996</v>
      </c>
      <c r="AD35">
        <v>8.9</v>
      </c>
      <c r="AE35">
        <v>2.54</v>
      </c>
      <c r="AF35">
        <v>6.31</v>
      </c>
    </row>
    <row r="36" spans="1:32" x14ac:dyDescent="0.25">
      <c r="A36" t="s">
        <v>117</v>
      </c>
      <c r="B36">
        <v>8.702</v>
      </c>
      <c r="C36">
        <v>2.25</v>
      </c>
      <c r="D36">
        <v>11.945</v>
      </c>
      <c r="E36">
        <v>9.3260000000000005</v>
      </c>
      <c r="F36">
        <v>0.246</v>
      </c>
      <c r="G36">
        <v>13.015000000000001</v>
      </c>
      <c r="H36">
        <v>-11.965999999999999</v>
      </c>
      <c r="I36">
        <v>5.1390000000000002</v>
      </c>
      <c r="J36" s="9">
        <f>chloroform!J41</f>
        <v>0</v>
      </c>
      <c r="K36" t="str">
        <f>chloroform!F41</f>
        <v>6H4</v>
      </c>
      <c r="M36">
        <f>0.9155*Table2[[#This Row],[J1,2]]*Table2[[#This Row],[weight]]</f>
        <v>0</v>
      </c>
      <c r="N36">
        <f>0.9155*Table2[[#This Row],[J2,3]]*Table2[[#This Row],[weight]]</f>
        <v>0</v>
      </c>
      <c r="O36">
        <f>0.9155*Table2[[#This Row],[J34]]*Table2[[#This Row],[weight]]</f>
        <v>0</v>
      </c>
      <c r="P36">
        <f>0.9155*Table2[[#This Row],[J45]]*Table2[[#This Row],[weight]]</f>
        <v>0</v>
      </c>
      <c r="Q36">
        <f>0.9155*Table2[[#This Row],[J56]]*Table2[[#This Row],[weight]]</f>
        <v>0</v>
      </c>
      <c r="R36">
        <f>0.9155*Table2[[#This Row],[J67]]*Table2[[#This Row],[weight]]</f>
        <v>0</v>
      </c>
      <c r="S36">
        <f>0.9155*Table2[[#This Row],[J67'']]*Table2[[#This Row],[weight]]</f>
        <v>0</v>
      </c>
      <c r="T36">
        <f>0.9155*Table2[[#This Row],[J77'']]*Table2[[#This Row],[weight]]</f>
        <v>0</v>
      </c>
    </row>
    <row r="37" spans="1:32" x14ac:dyDescent="0.25">
      <c r="A37" t="s">
        <v>118</v>
      </c>
      <c r="B37">
        <v>9.5169999999999995</v>
      </c>
      <c r="C37">
        <v>3.0920000000000001</v>
      </c>
      <c r="D37">
        <v>8.1379999999999999</v>
      </c>
      <c r="E37">
        <v>1.3149999999999999</v>
      </c>
      <c r="F37">
        <v>4.7270000000000003</v>
      </c>
      <c r="G37">
        <v>13.472</v>
      </c>
      <c r="H37">
        <v>-12.326000000000001</v>
      </c>
      <c r="I37">
        <v>4.0449999999999999</v>
      </c>
      <c r="J37" s="9">
        <f>chloroform!J42</f>
        <v>0</v>
      </c>
      <c r="K37" t="str">
        <f>chloroform!F42</f>
        <v>TH45</v>
      </c>
      <c r="M37">
        <f>0.9155*Table2[[#This Row],[J1,2]]*Table2[[#This Row],[weight]]</f>
        <v>0</v>
      </c>
      <c r="N37">
        <f>0.9155*Table2[[#This Row],[J2,3]]*Table2[[#This Row],[weight]]</f>
        <v>0</v>
      </c>
      <c r="O37">
        <f>0.9155*Table2[[#This Row],[J34]]*Table2[[#This Row],[weight]]</f>
        <v>0</v>
      </c>
      <c r="P37">
        <f>0.9155*Table2[[#This Row],[J45]]*Table2[[#This Row],[weight]]</f>
        <v>0</v>
      </c>
      <c r="Q37">
        <f>0.9155*Table2[[#This Row],[J56]]*Table2[[#This Row],[weight]]</f>
        <v>0</v>
      </c>
      <c r="R37">
        <f>0.9155*Table2[[#This Row],[J67]]*Table2[[#This Row],[weight]]</f>
        <v>0</v>
      </c>
      <c r="S37">
        <f>0.9155*Table2[[#This Row],[J67'']]*Table2[[#This Row],[weight]]</f>
        <v>0</v>
      </c>
      <c r="T37">
        <f>0.9155*Table2[[#This Row],[J77'']]*Table2[[#This Row],[weight]]</f>
        <v>0</v>
      </c>
    </row>
    <row r="38" spans="1:32" x14ac:dyDescent="0.25">
      <c r="A38" t="s">
        <v>52</v>
      </c>
      <c r="B38">
        <v>7.7990000000000004</v>
      </c>
      <c r="C38">
        <v>2.762</v>
      </c>
      <c r="D38">
        <v>10.648</v>
      </c>
      <c r="E38">
        <v>10.943</v>
      </c>
      <c r="F38">
        <v>10.845000000000001</v>
      </c>
      <c r="G38">
        <v>2.3780000000000001</v>
      </c>
      <c r="H38">
        <v>-12.177</v>
      </c>
      <c r="I38">
        <v>11.22</v>
      </c>
      <c r="J38" s="9">
        <f>chloroform!J43</f>
        <v>1.1649403881724453E-2</v>
      </c>
      <c r="K38" t="str">
        <f>chloroform!F43</f>
        <v>5C12</v>
      </c>
      <c r="M38">
        <f>0.9155*Table2[[#This Row],[J1,2]]*Table2[[#This Row],[weight]]</f>
        <v>8.3176563149752442E-2</v>
      </c>
      <c r="N38">
        <f>0.9155*Table2[[#This Row],[J2,3]]*Table2[[#This Row],[weight]]</f>
        <v>2.9456810798771153E-2</v>
      </c>
      <c r="O38">
        <f>0.9155*Table2[[#This Row],[J34]]*Table2[[#This Row],[weight]]</f>
        <v>0.11356123149359711</v>
      </c>
      <c r="P38">
        <f>0.9155*Table2[[#This Row],[J45]]*Table2[[#This Row],[weight]]</f>
        <v>0.11670741512344412</v>
      </c>
      <c r="Q38">
        <f>0.9155*Table2[[#This Row],[J56]]*Table2[[#This Row],[weight]]</f>
        <v>0.1156622422565797</v>
      </c>
      <c r="R38">
        <f>0.9155*Table2[[#This Row],[J67]]*Table2[[#This Row],[weight]]</f>
        <v>2.5361439565343154E-2</v>
      </c>
      <c r="S38">
        <f>0.9155*Table2[[#This Row],[J67'']]*Table2[[#This Row],[weight]]</f>
        <v>0.11966162822672423</v>
      </c>
      <c r="T38">
        <f>0.9155*Table2[[#This Row],[J77'']]*Table2[[#This Row],[weight]]</f>
        <v>-0.12986806122253305</v>
      </c>
    </row>
    <row r="39" spans="1:32" x14ac:dyDescent="0.25">
      <c r="A39" t="s">
        <v>100</v>
      </c>
      <c r="B39">
        <v>9.0850000000000009</v>
      </c>
      <c r="C39">
        <v>9.5449999999999999</v>
      </c>
      <c r="D39">
        <v>0.57099999999999995</v>
      </c>
      <c r="E39">
        <v>11.364000000000001</v>
      </c>
      <c r="F39">
        <v>8.36</v>
      </c>
      <c r="G39">
        <v>10.76</v>
      </c>
      <c r="H39">
        <v>-11.877000000000001</v>
      </c>
      <c r="I39">
        <v>2.859</v>
      </c>
      <c r="J39" s="9">
        <f>chloroform!J44</f>
        <v>0</v>
      </c>
      <c r="K39" t="str">
        <f>chloroform!F44</f>
        <v>45TH</v>
      </c>
      <c r="M39">
        <f>0.9155*Table2[[#This Row],[J1,2]]*Table2[[#This Row],[weight]]</f>
        <v>0</v>
      </c>
      <c r="N39">
        <f>0.9155*Table2[[#This Row],[J2,3]]*Table2[[#This Row],[weight]]</f>
        <v>0</v>
      </c>
      <c r="O39">
        <f>0.9155*Table2[[#This Row],[J34]]*Table2[[#This Row],[weight]]</f>
        <v>0</v>
      </c>
      <c r="P39">
        <f>0.9155*Table2[[#This Row],[J45]]*Table2[[#This Row],[weight]]</f>
        <v>0</v>
      </c>
      <c r="Q39">
        <f>0.9155*Table2[[#This Row],[J56]]*Table2[[#This Row],[weight]]</f>
        <v>0</v>
      </c>
      <c r="R39">
        <f>0.9155*Table2[[#This Row],[J67]]*Table2[[#This Row],[weight]]</f>
        <v>0</v>
      </c>
      <c r="S39">
        <f>0.9155*Table2[[#This Row],[J67'']]*Table2[[#This Row],[weight]]</f>
        <v>0</v>
      </c>
      <c r="T39">
        <f>0.9155*Table2[[#This Row],[J77'']]*Table2[[#This Row],[weight]]</f>
        <v>0</v>
      </c>
    </row>
    <row r="40" spans="1:32" x14ac:dyDescent="0.25">
      <c r="A40" t="s">
        <v>101</v>
      </c>
      <c r="B40">
        <v>9.1489999999999991</v>
      </c>
      <c r="C40">
        <v>1.9339999999999999</v>
      </c>
      <c r="D40">
        <v>12.611000000000001</v>
      </c>
      <c r="E40">
        <v>7.7530000000000001</v>
      </c>
      <c r="F40">
        <v>0.96599999999999997</v>
      </c>
      <c r="G40">
        <v>13.769</v>
      </c>
      <c r="H40">
        <v>-13.135999999999999</v>
      </c>
      <c r="I40">
        <v>6.9930000000000003</v>
      </c>
      <c r="J40" s="9">
        <f>chloroform!J45</f>
        <v>0</v>
      </c>
      <c r="K40" t="str">
        <f>chloroform!F45</f>
        <v>6H4</v>
      </c>
      <c r="M40">
        <f>0.9155*Table2[[#This Row],[J1,2]]*Table2[[#This Row],[weight]]</f>
        <v>0</v>
      </c>
      <c r="N40">
        <f>0.9155*Table2[[#This Row],[J2,3]]*Table2[[#This Row],[weight]]</f>
        <v>0</v>
      </c>
      <c r="O40">
        <f>0.9155*Table2[[#This Row],[J34]]*Table2[[#This Row],[weight]]</f>
        <v>0</v>
      </c>
      <c r="P40">
        <f>0.9155*Table2[[#This Row],[J45]]*Table2[[#This Row],[weight]]</f>
        <v>0</v>
      </c>
      <c r="Q40">
        <f>0.9155*Table2[[#This Row],[J56]]*Table2[[#This Row],[weight]]</f>
        <v>0</v>
      </c>
      <c r="R40">
        <f>0.9155*Table2[[#This Row],[J67]]*Table2[[#This Row],[weight]]</f>
        <v>0</v>
      </c>
      <c r="S40">
        <f>0.9155*Table2[[#This Row],[J67'']]*Table2[[#This Row],[weight]]</f>
        <v>0</v>
      </c>
      <c r="T40">
        <f>0.9155*Table2[[#This Row],[J77'']]*Table2[[#This Row],[weight]]</f>
        <v>0</v>
      </c>
    </row>
    <row r="41" spans="1:32" x14ac:dyDescent="0.25">
      <c r="A41" t="s">
        <v>102</v>
      </c>
      <c r="B41">
        <v>9.8740000000000006</v>
      </c>
      <c r="C41">
        <v>7.056</v>
      </c>
      <c r="D41">
        <v>2.3149999999999999</v>
      </c>
      <c r="E41">
        <v>6.423</v>
      </c>
      <c r="F41">
        <v>3.3010000000000002</v>
      </c>
      <c r="G41">
        <v>13.672000000000001</v>
      </c>
      <c r="H41">
        <v>-11.84</v>
      </c>
      <c r="I41">
        <v>6.2759999999999998</v>
      </c>
      <c r="J41" s="9">
        <f>chloroform!J46</f>
        <v>0</v>
      </c>
      <c r="K41" t="str">
        <f>chloroform!F46</f>
        <v>12C5</v>
      </c>
      <c r="M41">
        <f>0.9155*Table2[[#This Row],[J1,2]]*Table2[[#This Row],[weight]]</f>
        <v>0</v>
      </c>
      <c r="N41">
        <f>0.9155*Table2[[#This Row],[J2,3]]*Table2[[#This Row],[weight]]</f>
        <v>0</v>
      </c>
      <c r="O41">
        <f>0.9155*Table2[[#This Row],[J34]]*Table2[[#This Row],[weight]]</f>
        <v>0</v>
      </c>
      <c r="P41">
        <f>0.9155*Table2[[#This Row],[J45]]*Table2[[#This Row],[weight]]</f>
        <v>0</v>
      </c>
      <c r="Q41">
        <f>0.9155*Table2[[#This Row],[J56]]*Table2[[#This Row],[weight]]</f>
        <v>0</v>
      </c>
      <c r="R41">
        <f>0.9155*Table2[[#This Row],[J67]]*Table2[[#This Row],[weight]]</f>
        <v>0</v>
      </c>
      <c r="S41">
        <f>0.9155*Table2[[#This Row],[J67'']]*Table2[[#This Row],[weight]]</f>
        <v>0</v>
      </c>
      <c r="T41">
        <f>0.9155*Table2[[#This Row],[J77'']]*Table2[[#This Row],[weight]]</f>
        <v>0</v>
      </c>
    </row>
    <row r="42" spans="1:32" x14ac:dyDescent="0.25">
      <c r="A42" t="s">
        <v>53</v>
      </c>
      <c r="B42">
        <v>8.64</v>
      </c>
      <c r="C42">
        <v>9.8789999999999996</v>
      </c>
      <c r="D42">
        <v>2.214</v>
      </c>
      <c r="E42">
        <v>6.4930000000000003</v>
      </c>
      <c r="F42">
        <v>9.8849999999999998</v>
      </c>
      <c r="G42">
        <v>2.7589999999999999</v>
      </c>
      <c r="H42">
        <v>-12.823</v>
      </c>
      <c r="I42">
        <v>11.991</v>
      </c>
      <c r="J42" s="9">
        <f>chloroform!J47</f>
        <v>1.0082058334038075E-2</v>
      </c>
      <c r="K42" t="str">
        <f>chloroform!F47</f>
        <v>45TH</v>
      </c>
      <c r="M42">
        <f>0.9155*Table2[[#This Row],[J1,2]]*Table2[[#This Row],[weight]]</f>
        <v>7.974827485757445E-2</v>
      </c>
      <c r="N42">
        <f>0.9155*Table2[[#This Row],[J2,3]]*Table2[[#This Row],[weight]]</f>
        <v>9.118439899513632E-2</v>
      </c>
      <c r="O42">
        <f>0.9155*Table2[[#This Row],[J34]]*Table2[[#This Row],[weight]]</f>
        <v>2.0435495432253453E-2</v>
      </c>
      <c r="P42">
        <f>0.9155*Table2[[#This Row],[J45]]*Table2[[#This Row],[weight]]</f>
        <v>5.9931197760443394E-2</v>
      </c>
      <c r="Q42">
        <f>0.9155*Table2[[#This Row],[J56]]*Table2[[#This Row],[weight]]</f>
        <v>9.1239779741565205E-2</v>
      </c>
      <c r="R42">
        <f>0.9155*Table2[[#This Row],[J67]]*Table2[[#This Row],[weight]]</f>
        <v>2.5465913232875913E-2</v>
      </c>
      <c r="S42">
        <f>0.9155*Table2[[#This Row],[J67'']]*Table2[[#This Row],[weight]]</f>
        <v>0.11067842173809897</v>
      </c>
      <c r="T42">
        <f>0.9155*Table2[[#This Row],[J77'']]*Table2[[#This Row],[weight]]</f>
        <v>-0.11835788524290244</v>
      </c>
    </row>
    <row r="43" spans="1:32" x14ac:dyDescent="0.25">
      <c r="A43" t="s">
        <v>54</v>
      </c>
      <c r="B43">
        <v>7.6660000000000004</v>
      </c>
      <c r="C43">
        <v>2.8330000000000002</v>
      </c>
      <c r="D43">
        <v>10.426</v>
      </c>
      <c r="E43">
        <v>10.933</v>
      </c>
      <c r="F43">
        <v>10.318</v>
      </c>
      <c r="G43">
        <v>1.1659999999999999</v>
      </c>
      <c r="H43">
        <v>-14.012</v>
      </c>
      <c r="I43">
        <v>3.1669999999999998</v>
      </c>
      <c r="J43" s="9">
        <f>chloroform!J48</f>
        <v>1.4345521435763836E-3</v>
      </c>
      <c r="K43" t="str">
        <f>chloroform!F48</f>
        <v>5C12</v>
      </c>
      <c r="M43">
        <f>0.9155*Table2[[#This Row],[J1,2]]*Table2[[#This Row],[weight]]</f>
        <v>1.0068006848747077E-2</v>
      </c>
      <c r="N43">
        <f>0.9155*Table2[[#This Row],[J2,3]]*Table2[[#This Row],[weight]]</f>
        <v>3.7206709369293598E-3</v>
      </c>
      <c r="O43">
        <f>0.9155*Table2[[#This Row],[J34]]*Table2[[#This Row],[weight]]</f>
        <v>1.3692804514093011E-2</v>
      </c>
      <c r="P43">
        <f>0.9155*Table2[[#This Row],[J45]]*Table2[[#This Row],[weight]]</f>
        <v>1.4358664085227211E-2</v>
      </c>
      <c r="Q43">
        <f>0.9155*Table2[[#This Row],[J56]]*Table2[[#This Row],[weight]]</f>
        <v>1.355096460544904E-2</v>
      </c>
      <c r="R43">
        <f>0.9155*Table2[[#This Row],[J67]]*Table2[[#This Row],[weight]]</f>
        <v>1.5313456803599129E-3</v>
      </c>
      <c r="S43">
        <f>0.9155*Table2[[#This Row],[J67'']]*Table2[[#This Row],[weight]]</f>
        <v>4.1593239877357148E-3</v>
      </c>
      <c r="T43">
        <f>0.9155*Table2[[#This Row],[J77'']]*Table2[[#This Row],[weight]]</f>
        <v>-1.840241481406784E-2</v>
      </c>
    </row>
    <row r="44" spans="1:32" x14ac:dyDescent="0.25">
      <c r="A44" t="s">
        <v>97</v>
      </c>
      <c r="B44">
        <v>5.9850000000000003</v>
      </c>
      <c r="C44">
        <v>5.6429999999999998</v>
      </c>
      <c r="D44">
        <v>8.7949999999999999</v>
      </c>
      <c r="E44">
        <v>1.976</v>
      </c>
      <c r="F44">
        <v>0.36399999999999999</v>
      </c>
      <c r="G44">
        <v>12.02</v>
      </c>
      <c r="H44">
        <v>-11.138</v>
      </c>
      <c r="I44">
        <v>5.085</v>
      </c>
      <c r="J44" s="9">
        <f>chloroform!J49</f>
        <v>0</v>
      </c>
      <c r="K44" t="str">
        <f>chloroform!F49</f>
        <v>125B</v>
      </c>
      <c r="M44">
        <f>0.9155*Table2[[#This Row],[J1,2]]*Table2[[#This Row],[weight]]</f>
        <v>0</v>
      </c>
      <c r="N44">
        <f>0.9155*Table2[[#This Row],[J2,3]]*Table2[[#This Row],[weight]]</f>
        <v>0</v>
      </c>
      <c r="O44">
        <f>0.9155*Table2[[#This Row],[J34]]*Table2[[#This Row],[weight]]</f>
        <v>0</v>
      </c>
      <c r="P44">
        <f>0.9155*Table2[[#This Row],[J45]]*Table2[[#This Row],[weight]]</f>
        <v>0</v>
      </c>
      <c r="Q44">
        <f>0.9155*Table2[[#This Row],[J56]]*Table2[[#This Row],[weight]]</f>
        <v>0</v>
      </c>
      <c r="R44">
        <f>0.9155*Table2[[#This Row],[J67]]*Table2[[#This Row],[weight]]</f>
        <v>0</v>
      </c>
      <c r="S44">
        <f>0.9155*Table2[[#This Row],[J67'']]*Table2[[#This Row],[weight]]</f>
        <v>0</v>
      </c>
      <c r="T44">
        <f>0.9155*Table2[[#This Row],[J77'']]*Table2[[#This Row],[weight]]</f>
        <v>0</v>
      </c>
    </row>
    <row r="45" spans="1:32" x14ac:dyDescent="0.25">
      <c r="A45" t="s">
        <v>55</v>
      </c>
      <c r="B45">
        <v>8.7850000000000001</v>
      </c>
      <c r="C45">
        <v>8.4290000000000003</v>
      </c>
      <c r="D45">
        <v>2.8820000000000001</v>
      </c>
      <c r="E45">
        <v>4.6180000000000003</v>
      </c>
      <c r="F45">
        <v>3.1150000000000002</v>
      </c>
      <c r="G45">
        <v>1.4770000000000001</v>
      </c>
      <c r="H45">
        <v>-13.055</v>
      </c>
      <c r="I45">
        <v>10.795</v>
      </c>
      <c r="J45" s="9">
        <f>chloroform!J50</f>
        <v>2.2875892260997214E-4</v>
      </c>
      <c r="K45" t="str">
        <f>chloroform!F50</f>
        <v>12C5</v>
      </c>
      <c r="M45">
        <f>0.9155*Table2[[#This Row],[J1,2]]*Table2[[#This Row],[weight]]</f>
        <v>1.8398319522102381E-3</v>
      </c>
      <c r="N45">
        <f>0.9155*Table2[[#This Row],[J2,3]]*Table2[[#This Row],[weight]]</f>
        <v>1.7652753016710412E-3</v>
      </c>
      <c r="O45">
        <f>0.9155*Table2[[#This Row],[J34]]*Table2[[#This Row],[weight]]</f>
        <v>6.0357378329765584E-4</v>
      </c>
      <c r="P45">
        <f>0.9155*Table2[[#This Row],[J45]]*Table2[[#This Row],[weight]]</f>
        <v>9.6714216907306538E-4</v>
      </c>
      <c r="Q45">
        <f>0.9155*Table2[[#This Row],[J56]]*Table2[[#This Row],[weight]]</f>
        <v>6.5237069221797293E-4</v>
      </c>
      <c r="R45">
        <f>0.9155*Table2[[#This Row],[J67]]*Table2[[#This Row],[weight]]</f>
        <v>3.0932632822020737E-4</v>
      </c>
      <c r="S45">
        <f>0.9155*Table2[[#This Row],[J67'']]*Table2[[#This Row],[weight]]</f>
        <v>2.2607838274455914E-3</v>
      </c>
      <c r="T45">
        <f>0.9155*Table2[[#This Row],[J77'']]*Table2[[#This Row],[weight]]</f>
        <v>-2.734092901093302E-3</v>
      </c>
    </row>
    <row r="46" spans="1:32" x14ac:dyDescent="0.25">
      <c r="A46" t="s">
        <v>56</v>
      </c>
      <c r="B46">
        <v>7.5209999999999999</v>
      </c>
      <c r="C46">
        <v>5.6260000000000003</v>
      </c>
      <c r="D46">
        <v>10.598000000000001</v>
      </c>
      <c r="E46">
        <v>11.972</v>
      </c>
      <c r="F46">
        <v>8.2460000000000004</v>
      </c>
      <c r="G46">
        <v>1.1339999999999999</v>
      </c>
      <c r="H46">
        <v>-13.877000000000001</v>
      </c>
      <c r="I46">
        <v>10.268000000000001</v>
      </c>
      <c r="J46" s="9">
        <f>chloroform!J51</f>
        <v>2.7960399962709995E-3</v>
      </c>
      <c r="K46" t="str">
        <f>chloroform!F51</f>
        <v>56TH</v>
      </c>
      <c r="M46">
        <f>0.9155*Table2[[#This Row],[J1,2]]*Table2[[#This Row],[weight]]</f>
        <v>1.9252064891344057E-2</v>
      </c>
      <c r="N46">
        <f>0.9155*Table2[[#This Row],[J2,3]]*Table2[[#This Row],[weight]]</f>
        <v>1.4401291992913399E-2</v>
      </c>
      <c r="O46">
        <f>0.9155*Table2[[#This Row],[J34]]*Table2[[#This Row],[weight]]</f>
        <v>2.7128491386579488E-2</v>
      </c>
      <c r="P46">
        <f>0.9155*Table2[[#This Row],[J45]]*Table2[[#This Row],[weight]]</f>
        <v>3.0645621709768787E-2</v>
      </c>
      <c r="Q46">
        <f>0.9155*Table2[[#This Row],[J56]]*Table2[[#This Row],[weight]]</f>
        <v>2.1107901488368979E-2</v>
      </c>
      <c r="R46">
        <f>0.9155*Table2[[#This Row],[J67]]*Table2[[#This Row],[weight]]</f>
        <v>2.9027844152086373E-3</v>
      </c>
      <c r="S46">
        <f>0.9155*Table2[[#This Row],[J67'']]*Table2[[#This Row],[weight]]</f>
        <v>2.6283765763106075E-2</v>
      </c>
      <c r="T46">
        <f>0.9155*Table2[[#This Row],[J77'']]*Table2[[#This Row],[weight]]</f>
        <v>-3.552199235436531E-2</v>
      </c>
    </row>
    <row r="47" spans="1:32" x14ac:dyDescent="0.25">
      <c r="A47" t="s">
        <v>119</v>
      </c>
      <c r="B47">
        <v>9.2170000000000005</v>
      </c>
      <c r="C47">
        <v>2.9079999999999999</v>
      </c>
      <c r="D47">
        <v>8.8650000000000002</v>
      </c>
      <c r="E47">
        <v>11.67</v>
      </c>
      <c r="F47">
        <v>9.6069999999999993</v>
      </c>
      <c r="G47">
        <v>2.4870000000000001</v>
      </c>
      <c r="H47">
        <v>-11.984</v>
      </c>
      <c r="I47">
        <v>11.439</v>
      </c>
      <c r="J47" s="9">
        <f>chloroform!J52</f>
        <v>7.0192860949702055E-4</v>
      </c>
      <c r="K47" t="str">
        <f>chloroform!F52</f>
        <v>5C12</v>
      </c>
      <c r="M47">
        <f>0.9155*Table2[[#This Row],[J1,2]]*Table2[[#This Row],[weight]]</f>
        <v>5.9229883722635122E-3</v>
      </c>
      <c r="N47">
        <f>0.9155*Table2[[#This Row],[J2,3]]*Table2[[#This Row],[weight]]</f>
        <v>1.8687262869200708E-3</v>
      </c>
      <c r="O47">
        <f>0.9155*Table2[[#This Row],[J34]]*Table2[[#This Row],[weight]]</f>
        <v>5.6967876662814406E-3</v>
      </c>
      <c r="P47">
        <f>0.9155*Table2[[#This Row],[J45]]*Table2[[#This Row],[weight]]</f>
        <v>7.4993245420760758E-3</v>
      </c>
      <c r="Q47">
        <f>0.9155*Table2[[#This Row],[J56]]*Table2[[#This Row],[weight]]</f>
        <v>6.1736084726413754E-3</v>
      </c>
      <c r="R47">
        <f>0.9155*Table2[[#This Row],[J67]]*Table2[[#This Row],[weight]]</f>
        <v>1.5981851016403769E-3</v>
      </c>
      <c r="S47">
        <f>0.9155*Table2[[#This Row],[J67'']]*Table2[[#This Row],[weight]]</f>
        <v>7.3508803287753409E-3</v>
      </c>
      <c r="T47">
        <f>0.9155*Table2[[#This Row],[J77'']]*Table2[[#This Row],[weight]]</f>
        <v>-7.701105853662355E-3</v>
      </c>
    </row>
    <row r="48" spans="1:32" x14ac:dyDescent="0.25">
      <c r="A48" t="s">
        <v>57</v>
      </c>
      <c r="B48">
        <v>8.0269999999999992</v>
      </c>
      <c r="C48">
        <v>2.6429999999999998</v>
      </c>
      <c r="D48">
        <v>10.698</v>
      </c>
      <c r="E48">
        <v>11.201000000000001</v>
      </c>
      <c r="F48">
        <v>10.691000000000001</v>
      </c>
      <c r="G48">
        <v>10.593</v>
      </c>
      <c r="H48">
        <v>-11.935</v>
      </c>
      <c r="I48">
        <v>2.339</v>
      </c>
      <c r="J48" s="9">
        <f>chloroform!J53</f>
        <v>4.9171942224301287E-3</v>
      </c>
      <c r="K48" t="str">
        <f>chloroform!F53</f>
        <v>5C12</v>
      </c>
      <c r="M48">
        <f>0.9155*Table2[[#This Row],[J1,2]]*Table2[[#This Row],[weight]]</f>
        <v>3.6135076150465399E-2</v>
      </c>
      <c r="N48">
        <f>0.9155*Table2[[#This Row],[J2,3]]*Table2[[#This Row],[weight]]</f>
        <v>1.1897970134007731E-2</v>
      </c>
      <c r="O48">
        <f>0.9155*Table2[[#This Row],[J34]]*Table2[[#This Row],[weight]]</f>
        <v>4.8159093641170908E-2</v>
      </c>
      <c r="P48">
        <f>0.9155*Table2[[#This Row],[J45]]*Table2[[#This Row],[weight]]</f>
        <v>5.0423444370420206E-2</v>
      </c>
      <c r="Q48">
        <f>0.9155*Table2[[#This Row],[J56]]*Table2[[#This Row],[weight]]</f>
        <v>4.8127581801996472E-2</v>
      </c>
      <c r="R48">
        <f>0.9155*Table2[[#This Row],[J67]]*Table2[[#This Row],[weight]]</f>
        <v>4.7686416053554247E-2</v>
      </c>
      <c r="S48">
        <f>0.9155*Table2[[#This Row],[J67'']]*Table2[[#This Row],[weight]]</f>
        <v>1.0529455975574756E-2</v>
      </c>
      <c r="T48">
        <f>0.9155*Table2[[#This Row],[J77'']]*Table2[[#This Row],[weight]]</f>
        <v>-5.3727685792426136E-2</v>
      </c>
    </row>
    <row r="49" spans="1:30" x14ac:dyDescent="0.25">
      <c r="A49" t="s">
        <v>58</v>
      </c>
      <c r="B49">
        <v>9.1750000000000007</v>
      </c>
      <c r="C49">
        <v>9.5269999999999992</v>
      </c>
      <c r="D49">
        <v>0.54200000000000004</v>
      </c>
      <c r="E49">
        <v>10.262</v>
      </c>
      <c r="F49">
        <v>8.2810000000000006</v>
      </c>
      <c r="G49">
        <v>10.746</v>
      </c>
      <c r="H49">
        <v>-12.188000000000001</v>
      </c>
      <c r="I49">
        <v>1.93</v>
      </c>
      <c r="J49" s="9">
        <f>chloroform!J54</f>
        <v>1.8904762616181188E-4</v>
      </c>
      <c r="K49" t="str">
        <f>chloroform!F54</f>
        <v>45TH</v>
      </c>
      <c r="M49">
        <f>0.9155*Table2[[#This Row],[J1,2]]*Table2[[#This Row],[weight]]</f>
        <v>1.5879457085666983E-3</v>
      </c>
      <c r="N49">
        <f>0.9155*Table2[[#This Row],[J2,3]]*Table2[[#This Row],[weight]]</f>
        <v>1.648867440383099E-3</v>
      </c>
      <c r="O49">
        <f>0.9155*Table2[[#This Row],[J34]]*Table2[[#This Row],[weight]]</f>
        <v>9.3805621149117209E-5</v>
      </c>
      <c r="P49">
        <f>0.9155*Table2[[#This Row],[J45]]*Table2[[#This Row],[weight]]</f>
        <v>1.7760761701701862E-3</v>
      </c>
      <c r="Q49">
        <f>0.9155*Table2[[#This Row],[J56]]*Table2[[#This Row],[weight]]</f>
        <v>1.4332183556011802E-3</v>
      </c>
      <c r="R49">
        <f>0.9155*Table2[[#This Row],[J67]]*Table2[[#This Row],[weight]]</f>
        <v>1.8598435514177373E-3</v>
      </c>
      <c r="S49">
        <f>0.9155*Table2[[#This Row],[J67'']]*Table2[[#This Row],[weight]]</f>
        <v>3.3403108637969782E-4</v>
      </c>
      <c r="T49">
        <f>0.9155*Table2[[#This Row],[J77'']]*Table2[[#This Row],[weight]]</f>
        <v>-2.1094149641428797E-3</v>
      </c>
    </row>
    <row r="50" spans="1:30" x14ac:dyDescent="0.25">
      <c r="A50" t="s">
        <v>59</v>
      </c>
      <c r="B50">
        <v>9.0779999999999994</v>
      </c>
      <c r="C50">
        <v>7.86</v>
      </c>
      <c r="D50">
        <v>2.5150000000000001</v>
      </c>
      <c r="E50">
        <v>4.6379999999999999</v>
      </c>
      <c r="F50">
        <v>3.2290000000000001</v>
      </c>
      <c r="G50">
        <v>13.443</v>
      </c>
      <c r="H50">
        <v>-11.587999999999999</v>
      </c>
      <c r="I50">
        <v>5.28</v>
      </c>
      <c r="J50" s="9">
        <f>chloroform!J55</f>
        <v>1.2004404313450875E-4</v>
      </c>
      <c r="K50" t="str">
        <f>chloroform!F55</f>
        <v>12C5</v>
      </c>
      <c r="M50">
        <f>0.9155*Table2[[#This Row],[J1,2]]*Table2[[#This Row],[weight]]</f>
        <v>9.9767511848297685E-4</v>
      </c>
      <c r="N50">
        <f>0.9155*Table2[[#This Row],[J2,3]]*Table2[[#This Row],[weight]]</f>
        <v>8.6381652690859206E-4</v>
      </c>
      <c r="O50">
        <f>0.9155*Table2[[#This Row],[J34]]*Table2[[#This Row],[weight]]</f>
        <v>2.7639930854645155E-4</v>
      </c>
      <c r="P50">
        <f>0.9155*Table2[[#This Row],[J45]]*Table2[[#This Row],[weight]]</f>
        <v>5.0971769106896304E-4</v>
      </c>
      <c r="Q50">
        <f>0.9155*Table2[[#This Row],[J56]]*Table2[[#This Row],[weight]]</f>
        <v>3.5486813809005647E-4</v>
      </c>
      <c r="R50">
        <f>0.9155*Table2[[#This Row],[J67]]*Table2[[#This Row],[weight]]</f>
        <v>1.4773900217852675E-3</v>
      </c>
      <c r="S50">
        <f>0.9155*Table2[[#This Row],[J67'']]*Table2[[#This Row],[weight]]</f>
        <v>5.8027369746531377E-4</v>
      </c>
      <c r="T50">
        <f>0.9155*Table2[[#This Row],[J77'']]*Table2[[#This Row],[weight]]</f>
        <v>-1.2735249254219802E-3</v>
      </c>
    </row>
    <row r="51" spans="1:30" x14ac:dyDescent="0.25">
      <c r="A51" t="s">
        <v>60</v>
      </c>
      <c r="B51">
        <v>9.1660000000000004</v>
      </c>
      <c r="C51">
        <v>7.9160000000000004</v>
      </c>
      <c r="D51">
        <v>2.9239999999999999</v>
      </c>
      <c r="E51">
        <v>5.0010000000000003</v>
      </c>
      <c r="F51">
        <v>2.9750000000000001</v>
      </c>
      <c r="G51">
        <v>13.638999999999999</v>
      </c>
      <c r="H51">
        <v>-11.439</v>
      </c>
      <c r="I51">
        <v>5.4489999999999998</v>
      </c>
      <c r="J51" s="9">
        <f>chloroform!J56</f>
        <v>2.7110679059549544E-4</v>
      </c>
      <c r="K51" t="str">
        <f>chloroform!F56</f>
        <v>5C12</v>
      </c>
      <c r="M51">
        <f>0.9155*Table2[[#This Row],[J1,2]]*Table2[[#This Row],[weight]]</f>
        <v>2.2749853133987538E-3</v>
      </c>
      <c r="N51">
        <f>0.9155*Table2[[#This Row],[J2,3]]*Table2[[#This Row],[weight]]</f>
        <v>1.9647374799110339E-3</v>
      </c>
      <c r="O51">
        <f>0.9155*Table2[[#This Row],[J34]]*Table2[[#This Row],[weight]]</f>
        <v>7.2573173209447485E-4</v>
      </c>
      <c r="P51">
        <f>0.9155*Table2[[#This Row],[J45]]*Table2[[#This Row],[weight]]</f>
        <v>1.2412395322176706E-3</v>
      </c>
      <c r="Q51">
        <f>0.9155*Table2[[#This Row],[J56]]*Table2[[#This Row],[weight]]</f>
        <v>7.3838984370077384E-4</v>
      </c>
      <c r="R51">
        <f>0.9155*Table2[[#This Row],[J67]]*Table2[[#This Row],[weight]]</f>
        <v>3.3851761607512111E-3</v>
      </c>
      <c r="S51">
        <f>0.9155*Table2[[#This Row],[J67'']]*Table2[[#This Row],[weight]]</f>
        <v>1.3524323557396695E-3</v>
      </c>
      <c r="T51">
        <f>0.9155*Table2[[#This Row],[J77'']]*Table2[[#This Row],[weight]]</f>
        <v>-2.8391399738128243E-3</v>
      </c>
      <c r="AA51" s="5"/>
      <c r="AB51" s="5"/>
      <c r="AC51" s="5"/>
      <c r="AD51" s="5"/>
    </row>
    <row r="52" spans="1:30" x14ac:dyDescent="0.25">
      <c r="A52" t="s">
        <v>61</v>
      </c>
      <c r="B52">
        <v>9.4510000000000005</v>
      </c>
      <c r="C52">
        <v>3.4449999999999998</v>
      </c>
      <c r="D52">
        <v>8.2680000000000007</v>
      </c>
      <c r="E52">
        <v>11.887</v>
      </c>
      <c r="F52">
        <v>9.0549999999999997</v>
      </c>
      <c r="G52">
        <v>2.238</v>
      </c>
      <c r="H52">
        <v>-13.509</v>
      </c>
      <c r="I52">
        <v>12.182</v>
      </c>
      <c r="J52" s="9">
        <f>chloroform!J57</f>
        <v>1.0003138948241506E-3</v>
      </c>
      <c r="K52" t="str">
        <f>chloroform!F57</f>
        <v>5C12</v>
      </c>
      <c r="M52">
        <f>0.9155*Table2[[#This Row],[J1,2]]*Table2[[#This Row],[weight]]</f>
        <v>8.6551064405944803E-3</v>
      </c>
      <c r="N52">
        <f>0.9155*Table2[[#This Row],[J2,3]]*Table2[[#This Row],[weight]]</f>
        <v>3.1548874921011514E-3</v>
      </c>
      <c r="O52">
        <f>0.9155*Table2[[#This Row],[J34]]*Table2[[#This Row],[weight]]</f>
        <v>7.5717299810427645E-3</v>
      </c>
      <c r="P52">
        <f>0.9155*Table2[[#This Row],[J45]]*Table2[[#This Row],[weight]]</f>
        <v>1.0885964475647719E-2</v>
      </c>
      <c r="Q52">
        <f>0.9155*Table2[[#This Row],[J56]]*Table2[[#This Row],[weight]]</f>
        <v>8.2924546417927226E-3</v>
      </c>
      <c r="R52">
        <f>0.9155*Table2[[#This Row],[J67]]*Table2[[#This Row],[weight]]</f>
        <v>2.0495321356523589E-3</v>
      </c>
      <c r="S52">
        <f>0.9155*Table2[[#This Row],[J67'']]*Table2[[#This Row],[weight]]</f>
        <v>1.1156121750007613E-2</v>
      </c>
      <c r="T52">
        <f>0.9155*Table2[[#This Row],[J77'']]*Table2[[#This Row],[weight]]</f>
        <v>-1.2371371590941786E-2</v>
      </c>
    </row>
    <row r="53" spans="1:30" x14ac:dyDescent="0.25">
      <c r="A53" t="s">
        <v>62</v>
      </c>
      <c r="B53">
        <v>9.0540000000000003</v>
      </c>
      <c r="C53">
        <v>7.96</v>
      </c>
      <c r="D53">
        <v>2.5990000000000002</v>
      </c>
      <c r="E53">
        <v>4.9560000000000004</v>
      </c>
      <c r="F53">
        <v>3.4620000000000002</v>
      </c>
      <c r="G53">
        <v>1.2809999999999999</v>
      </c>
      <c r="H53">
        <v>-14.5</v>
      </c>
      <c r="I53">
        <v>11.343</v>
      </c>
      <c r="J53" s="9">
        <f>chloroform!J58</f>
        <v>2.1417677191485216E-4</v>
      </c>
      <c r="K53" t="str">
        <f>chloroform!F58</f>
        <v>12C5</v>
      </c>
      <c r="M53">
        <f>0.9155*Table2[[#This Row],[J1,2]]*Table2[[#This Row],[weight]]</f>
        <v>1.7752977692655791E-3</v>
      </c>
      <c r="N53">
        <f>0.9155*Table2[[#This Row],[J2,3]]*Table2[[#This Row],[weight]]</f>
        <v>1.5607875241168553E-3</v>
      </c>
      <c r="O53">
        <f>0.9155*Table2[[#This Row],[J34]]*Table2[[#This Row],[weight]]</f>
        <v>5.0960889135423461E-4</v>
      </c>
      <c r="P53">
        <f>0.9155*Table2[[#This Row],[J45]]*Table2[[#This Row],[weight]]</f>
        <v>9.7176670471396177E-4</v>
      </c>
      <c r="Q53">
        <f>0.9155*Table2[[#This Row],[J56]]*Table2[[#This Row],[weight]]</f>
        <v>6.7882492569001928E-4</v>
      </c>
      <c r="R53">
        <f>0.9155*Table2[[#This Row],[J67]]*Table2[[#This Row],[weight]]</f>
        <v>2.5117698723538836E-4</v>
      </c>
      <c r="S53">
        <f>0.9155*Table2[[#This Row],[J67'']]*Table2[[#This Row],[weight]]</f>
        <v>2.2241222218665189E-3</v>
      </c>
      <c r="T53">
        <f>0.9155*Table2[[#This Row],[J77'']]*Table2[[#This Row],[weight]]</f>
        <v>-2.8431431029766834E-3</v>
      </c>
    </row>
    <row r="54" spans="1:30" x14ac:dyDescent="0.25">
      <c r="A54" t="s">
        <v>120</v>
      </c>
      <c r="B54">
        <v>8.8130000000000006</v>
      </c>
      <c r="C54">
        <v>8.4179999999999993</v>
      </c>
      <c r="D54">
        <v>3.0569999999999999</v>
      </c>
      <c r="E54">
        <v>4.6150000000000002</v>
      </c>
      <c r="F54">
        <v>2.96</v>
      </c>
      <c r="G54">
        <v>13.441000000000001</v>
      </c>
      <c r="H54">
        <v>-11.567</v>
      </c>
      <c r="I54">
        <v>5.5679999999999996</v>
      </c>
      <c r="J54" s="9">
        <f>chloroform!J59</f>
        <v>9.8765904417687437E-5</v>
      </c>
      <c r="K54" t="str">
        <f>chloroform!F59</f>
        <v>12C5</v>
      </c>
      <c r="M54">
        <f>0.9155*Table2[[#This Row],[J1,2]]*Table2[[#This Row],[weight]]</f>
        <v>7.9687309476208427E-4</v>
      </c>
      <c r="N54">
        <f>0.9155*Table2[[#This Row],[J2,3]]*Table2[[#This Row],[weight]]</f>
        <v>7.6115712149179898E-4</v>
      </c>
      <c r="O54">
        <f>0.9155*Table2[[#This Row],[J34]]*Table2[[#This Row],[weight]]</f>
        <v>2.7641450705635892E-4</v>
      </c>
      <c r="P54">
        <f>0.9155*Table2[[#This Row],[J45]]*Table2[[#This Row],[weight]]</f>
        <v>4.1728915605662302E-4</v>
      </c>
      <c r="Q54">
        <f>0.9155*Table2[[#This Row],[J56]]*Table2[[#This Row],[weight]]</f>
        <v>2.6764374906340286E-4</v>
      </c>
      <c r="R54">
        <f>0.9155*Table2[[#This Row],[J67]]*Table2[[#This Row],[weight]]</f>
        <v>1.2153377132301344E-3</v>
      </c>
      <c r="S54">
        <f>0.9155*Table2[[#This Row],[J67'']]*Table2[[#This Row],[weight]]</f>
        <v>5.0345959283277933E-4</v>
      </c>
      <c r="T54">
        <f>0.9155*Table2[[#This Row],[J77'']]*Table2[[#This Row],[weight]]</f>
        <v>-1.045890285613642E-3</v>
      </c>
    </row>
    <row r="55" spans="1:30" x14ac:dyDescent="0.25">
      <c r="A55" t="s">
        <v>63</v>
      </c>
      <c r="B55">
        <v>9.1129999999999995</v>
      </c>
      <c r="C55">
        <v>7.7610000000000001</v>
      </c>
      <c r="D55">
        <v>2.6230000000000002</v>
      </c>
      <c r="E55">
        <v>4.8540000000000001</v>
      </c>
      <c r="F55">
        <v>3.4</v>
      </c>
      <c r="G55">
        <v>1.494</v>
      </c>
      <c r="H55">
        <v>-13.355</v>
      </c>
      <c r="I55">
        <v>10.888</v>
      </c>
      <c r="J55" s="9">
        <f>chloroform!J60</f>
        <v>4.9141415597775981E-4</v>
      </c>
      <c r="K55" t="str">
        <f>chloroform!F60</f>
        <v>12C5</v>
      </c>
      <c r="M55">
        <f>0.9155*Table2[[#This Row],[J1,2]]*Table2[[#This Row],[weight]]</f>
        <v>4.0998444697358848E-3</v>
      </c>
      <c r="N55">
        <f>0.9155*Table2[[#This Row],[J2,3]]*Table2[[#This Row],[weight]]</f>
        <v>3.491593649689477E-3</v>
      </c>
      <c r="O55">
        <f>0.9155*Table2[[#This Row],[J34]]*Table2[[#This Row],[weight]]</f>
        <v>1.1800605776492075E-3</v>
      </c>
      <c r="P55">
        <f>0.9155*Table2[[#This Row],[J45]]*Table2[[#This Row],[weight]]</f>
        <v>2.1837644086577404E-3</v>
      </c>
      <c r="Q55">
        <f>0.9155*Table2[[#This Row],[J56]]*Table2[[#This Row],[weight]]</f>
        <v>1.5296248433119728E-3</v>
      </c>
      <c r="R55">
        <f>0.9155*Table2[[#This Row],[J67]]*Table2[[#This Row],[weight]]</f>
        <v>6.721351517376728E-4</v>
      </c>
      <c r="S55">
        <f>0.9155*Table2[[#This Row],[J67'']]*Table2[[#This Row],[weight]]</f>
        <v>4.8983986158766951E-3</v>
      </c>
      <c r="T55">
        <f>0.9155*Table2[[#This Row],[J77'']]*Table2[[#This Row],[weight]]</f>
        <v>-6.0082764065974709E-3</v>
      </c>
    </row>
    <row r="56" spans="1:30" x14ac:dyDescent="0.25">
      <c r="A56" t="s">
        <v>103</v>
      </c>
      <c r="B56">
        <v>7.8449999999999998</v>
      </c>
      <c r="C56">
        <v>8.1020000000000003</v>
      </c>
      <c r="D56">
        <v>6.1379999999999999</v>
      </c>
      <c r="E56">
        <v>1.778</v>
      </c>
      <c r="F56">
        <v>9.8209999999999997</v>
      </c>
      <c r="G56">
        <v>8.9789999999999992</v>
      </c>
      <c r="H56">
        <v>-12.071</v>
      </c>
      <c r="I56">
        <v>1.931</v>
      </c>
      <c r="J56" s="9">
        <f>chloroform!J61</f>
        <v>0</v>
      </c>
      <c r="K56" t="str">
        <f>chloroform!F61</f>
        <v>4H6</v>
      </c>
      <c r="M56">
        <f>0.9155*Table2[[#This Row],[J1,2]]*Table2[[#This Row],[weight]]</f>
        <v>0</v>
      </c>
      <c r="N56">
        <f>0.9155*Table2[[#This Row],[J2,3]]*Table2[[#This Row],[weight]]</f>
        <v>0</v>
      </c>
      <c r="O56">
        <f>0.9155*Table2[[#This Row],[J34]]*Table2[[#This Row],[weight]]</f>
        <v>0</v>
      </c>
      <c r="P56">
        <f>0.9155*Table2[[#This Row],[J45]]*Table2[[#This Row],[weight]]</f>
        <v>0</v>
      </c>
      <c r="Q56">
        <f>0.9155*Table2[[#This Row],[J56]]*Table2[[#This Row],[weight]]</f>
        <v>0</v>
      </c>
      <c r="R56">
        <f>0.9155*Table2[[#This Row],[J67]]*Table2[[#This Row],[weight]]</f>
        <v>0</v>
      </c>
      <c r="S56">
        <f>0.9155*Table2[[#This Row],[J67'']]*Table2[[#This Row],[weight]]</f>
        <v>0</v>
      </c>
      <c r="T56">
        <f>0.9155*Table2[[#This Row],[J77'']]*Table2[[#This Row],[weight]]</f>
        <v>0</v>
      </c>
    </row>
    <row r="57" spans="1:30" x14ac:dyDescent="0.25">
      <c r="A57" t="s">
        <v>104</v>
      </c>
      <c r="B57">
        <v>9.3529999999999998</v>
      </c>
      <c r="C57">
        <v>2.9329999999999998</v>
      </c>
      <c r="D57">
        <v>9.4260000000000002</v>
      </c>
      <c r="E57">
        <v>11.856</v>
      </c>
      <c r="F57">
        <v>9.3699999999999992</v>
      </c>
      <c r="G57">
        <v>1.784</v>
      </c>
      <c r="H57">
        <v>-13.609</v>
      </c>
      <c r="I57">
        <v>11.305999999999999</v>
      </c>
      <c r="J57" s="9">
        <f>chloroform!J62</f>
        <v>4.3091300945158128E-5</v>
      </c>
      <c r="K57" t="str">
        <f>chloroform!F62</f>
        <v>5C12</v>
      </c>
      <c r="M57">
        <f>0.9155*Table2[[#This Row],[J1,2]]*Table2[[#This Row],[weight]]</f>
        <v>3.689766545010286E-4</v>
      </c>
      <c r="N57">
        <f>0.9155*Table2[[#This Row],[J2,3]]*Table2[[#This Row],[weight]]</f>
        <v>1.1570710228285221E-4</v>
      </c>
      <c r="O57">
        <f>0.9155*Table2[[#This Row],[J34]]*Table2[[#This Row],[weight]]</f>
        <v>3.718565107801449E-4</v>
      </c>
      <c r="P57">
        <f>0.9155*Table2[[#This Row],[J45]]*Table2[[#This Row],[weight]]</f>
        <v>4.6772021979730511E-4</v>
      </c>
      <c r="Q57">
        <f>0.9155*Table2[[#This Row],[J56]]*Table2[[#This Row],[weight]]</f>
        <v>3.6964730596328853E-4</v>
      </c>
      <c r="R57">
        <f>0.9155*Table2[[#This Row],[J67]]*Table2[[#This Row],[weight]]</f>
        <v>7.0378953451281397E-5</v>
      </c>
      <c r="S57">
        <f>0.9155*Table2[[#This Row],[J67'']]*Table2[[#This Row],[weight]]</f>
        <v>4.4602267248889434E-4</v>
      </c>
      <c r="T57">
        <f>0.9155*Table2[[#This Row],[J77'']]*Table2[[#This Row],[weight]]</f>
        <v>-5.368762205821124E-4</v>
      </c>
    </row>
    <row r="58" spans="1:30" x14ac:dyDescent="0.25">
      <c r="A58" t="s">
        <v>105</v>
      </c>
      <c r="B58">
        <v>8.9760000000000009</v>
      </c>
      <c r="C58">
        <v>7.8949999999999996</v>
      </c>
      <c r="D58">
        <v>2.1339999999999999</v>
      </c>
      <c r="E58">
        <v>4.5999999999999996</v>
      </c>
      <c r="F58">
        <v>3.6429999999999998</v>
      </c>
      <c r="G58">
        <v>1.893</v>
      </c>
      <c r="H58">
        <v>-12.87</v>
      </c>
      <c r="I58">
        <v>11.224</v>
      </c>
      <c r="J58" s="9">
        <f>chloroform!J63</f>
        <v>7.8853666299825601E-5</v>
      </c>
      <c r="K58" t="str">
        <f>chloroform!F63</f>
        <v>12C5</v>
      </c>
      <c r="M58">
        <f>0.9155*Table2[[#This Row],[J1,2]]*Table2[[#This Row],[weight]]</f>
        <v>6.4798221072147344E-4</v>
      </c>
      <c r="N58">
        <f>0.9155*Table2[[#This Row],[J2,3]]*Table2[[#This Row],[weight]]</f>
        <v>5.6994424617268615E-4</v>
      </c>
      <c r="O58">
        <f>0.9155*Table2[[#This Row],[J34]]*Table2[[#This Row],[weight]]</f>
        <v>1.5405459421564437E-4</v>
      </c>
      <c r="P58">
        <f>0.9155*Table2[[#This Row],[J45]]*Table2[[#This Row],[weight]]</f>
        <v>3.320764448884555E-4</v>
      </c>
      <c r="Q58">
        <f>0.9155*Table2[[#This Row],[J56]]*Table2[[#This Row],[weight]]</f>
        <v>2.6299010624535729E-4</v>
      </c>
      <c r="R58">
        <f>0.9155*Table2[[#This Row],[J67]]*Table2[[#This Row],[weight]]</f>
        <v>1.3665667612474921E-4</v>
      </c>
      <c r="S58">
        <f>0.9155*Table2[[#This Row],[J67'']]*Table2[[#This Row],[weight]]</f>
        <v>8.1026652552783156E-4</v>
      </c>
      <c r="T58">
        <f>0.9155*Table2[[#This Row],[J77'']]*Table2[[#This Row],[weight]]</f>
        <v>-9.2909214037270062E-4</v>
      </c>
    </row>
    <row r="59" spans="1:30" x14ac:dyDescent="0.25">
      <c r="A59" t="s">
        <v>64</v>
      </c>
      <c r="B59">
        <v>9.093</v>
      </c>
      <c r="C59">
        <v>8.0120000000000005</v>
      </c>
      <c r="D59">
        <v>2.827</v>
      </c>
      <c r="E59">
        <v>4.9349999999999996</v>
      </c>
      <c r="F59">
        <v>3.2650000000000001</v>
      </c>
      <c r="G59">
        <v>1.4370000000000001</v>
      </c>
      <c r="H59">
        <v>-13.628</v>
      </c>
      <c r="I59">
        <v>10.891999999999999</v>
      </c>
      <c r="J59" s="9">
        <f>chloroform!J64</f>
        <v>5.6452163965097087E-4</v>
      </c>
      <c r="K59" t="str">
        <f>chloroform!F64</f>
        <v>12C5</v>
      </c>
      <c r="M59">
        <f>0.9155*Table2[[#This Row],[J1,2]]*Table2[[#This Row],[weight]]</f>
        <v>4.6994402690865179E-3</v>
      </c>
      <c r="N59">
        <f>0.9155*Table2[[#This Row],[J2,3]]*Table2[[#This Row],[weight]]</f>
        <v>4.1407583235369165E-3</v>
      </c>
      <c r="O59">
        <f>0.9155*Table2[[#This Row],[J34]]*Table2[[#This Row],[weight]]</f>
        <v>1.4610488992310112E-3</v>
      </c>
      <c r="P59">
        <f>0.9155*Table2[[#This Row],[J45]]*Table2[[#This Row],[weight]]</f>
        <v>2.5505045340307887E-3</v>
      </c>
      <c r="Q59">
        <f>0.9155*Table2[[#This Row],[J56]]*Table2[[#This Row],[weight]]</f>
        <v>1.6874158669930145E-3</v>
      </c>
      <c r="R59">
        <f>0.9155*Table2[[#This Row],[J67]]*Table2[[#This Row],[weight]]</f>
        <v>7.426697093013665E-4</v>
      </c>
      <c r="S59">
        <f>0.9155*Table2[[#This Row],[J67'']]*Table2[[#This Row],[weight]]</f>
        <v>5.629198659506251E-3</v>
      </c>
      <c r="T59">
        <f>0.9155*Table2[[#This Row],[J77'']]*Table2[[#This Row],[weight]]</f>
        <v>-7.0432169786771208E-3</v>
      </c>
    </row>
    <row r="60" spans="1:30" x14ac:dyDescent="0.25">
      <c r="A60" t="s">
        <v>106</v>
      </c>
      <c r="B60">
        <v>9.7249999999999996</v>
      </c>
      <c r="C60">
        <v>7.1920000000000002</v>
      </c>
      <c r="D60">
        <v>2.306</v>
      </c>
      <c r="E60">
        <v>6.1420000000000003</v>
      </c>
      <c r="F60">
        <v>3.9159999999999999</v>
      </c>
      <c r="G60">
        <v>0.90700000000000003</v>
      </c>
      <c r="H60">
        <v>-14.128</v>
      </c>
      <c r="I60">
        <v>11.035</v>
      </c>
      <c r="J60" s="9">
        <f>chloroform!J65</f>
        <v>4.425759062839742E-5</v>
      </c>
      <c r="K60" t="str">
        <f>chloroform!F65</f>
        <v>12C5</v>
      </c>
      <c r="M60">
        <f>0.9155*Table2[[#This Row],[J1,2]]*Table2[[#This Row],[weight]]</f>
        <v>3.9403584054239647E-4</v>
      </c>
      <c r="N60">
        <f>0.9155*Table2[[#This Row],[J2,3]]*Table2[[#This Row],[weight]]</f>
        <v>2.9140419179238204E-4</v>
      </c>
      <c r="O60">
        <f>0.9155*Table2[[#This Row],[J34]]*Table2[[#This Row],[weight]]</f>
        <v>9.3434102652006822E-5</v>
      </c>
      <c r="P60">
        <f>0.9155*Table2[[#This Row],[J45]]*Table2[[#This Row],[weight]]</f>
        <v>2.4886047636106935E-4</v>
      </c>
      <c r="Q60">
        <f>0.9155*Table2[[#This Row],[J56]]*Table2[[#This Row],[weight]]</f>
        <v>1.5866779964668633E-4</v>
      </c>
      <c r="R60">
        <f>0.9155*Table2[[#This Row],[J67]]*Table2[[#This Row],[weight]]</f>
        <v>3.6749666567810141E-5</v>
      </c>
      <c r="S60">
        <f>0.9155*Table2[[#This Row],[J67'']]*Table2[[#This Row],[weight]]</f>
        <v>4.4711419027098666E-4</v>
      </c>
      <c r="T60">
        <f>0.9155*Table2[[#This Row],[J77'']]*Table2[[#This Row],[weight]]</f>
        <v>-5.7243582058436786E-4</v>
      </c>
    </row>
    <row r="61" spans="1:30" x14ac:dyDescent="0.25">
      <c r="A61" t="s">
        <v>107</v>
      </c>
      <c r="B61">
        <v>9.9260000000000002</v>
      </c>
      <c r="C61">
        <v>5.8330000000000002</v>
      </c>
      <c r="D61">
        <v>0.61599999999999999</v>
      </c>
      <c r="E61">
        <v>4.4269999999999996</v>
      </c>
      <c r="F61">
        <v>4.6479999999999997</v>
      </c>
      <c r="G61">
        <v>5.8810000000000002</v>
      </c>
      <c r="H61">
        <v>-14.12</v>
      </c>
      <c r="I61">
        <v>0.35099999999999998</v>
      </c>
      <c r="J61" s="9">
        <f>chloroform!J66</f>
        <v>0</v>
      </c>
      <c r="K61" t="str">
        <f>chloroform!F66</f>
        <v>12C5</v>
      </c>
      <c r="M61">
        <f>0.9155*Table2[[#This Row],[J1,2]]*Table2[[#This Row],[weight]]</f>
        <v>0</v>
      </c>
      <c r="N61">
        <f>0.9155*Table2[[#This Row],[J2,3]]*Table2[[#This Row],[weight]]</f>
        <v>0</v>
      </c>
      <c r="O61">
        <f>0.9155*Table2[[#This Row],[J34]]*Table2[[#This Row],[weight]]</f>
        <v>0</v>
      </c>
      <c r="P61">
        <f>0.9155*Table2[[#This Row],[J45]]*Table2[[#This Row],[weight]]</f>
        <v>0</v>
      </c>
      <c r="Q61">
        <f>0.9155*Table2[[#This Row],[J56]]*Table2[[#This Row],[weight]]</f>
        <v>0</v>
      </c>
      <c r="R61">
        <f>0.9155*Table2[[#This Row],[J67]]*Table2[[#This Row],[weight]]</f>
        <v>0</v>
      </c>
      <c r="S61">
        <f>0.9155*Table2[[#This Row],[J67'']]*Table2[[#This Row],[weight]]</f>
        <v>0</v>
      </c>
      <c r="T61">
        <f>0.9155*Table2[[#This Row],[J77'']]*Table2[[#This Row],[weight]]</f>
        <v>0</v>
      </c>
    </row>
    <row r="62" spans="1:30" x14ac:dyDescent="0.25">
      <c r="A62" t="s">
        <v>65</v>
      </c>
      <c r="B62">
        <v>9.1530000000000005</v>
      </c>
      <c r="C62">
        <v>7.7469999999999999</v>
      </c>
      <c r="D62">
        <v>2.589</v>
      </c>
      <c r="E62">
        <v>4.9530000000000003</v>
      </c>
      <c r="F62">
        <v>3.5190000000000001</v>
      </c>
      <c r="G62">
        <v>1.2230000000000001</v>
      </c>
      <c r="H62">
        <v>-14.904999999999999</v>
      </c>
      <c r="I62">
        <v>11.329000000000001</v>
      </c>
      <c r="J62" s="9">
        <f>chloroform!J67</f>
        <v>4.2611597179223275E-4</v>
      </c>
      <c r="K62" t="str">
        <f>chloroform!F67</f>
        <v>12C5</v>
      </c>
      <c r="M62">
        <f>0.9155*Table2[[#This Row],[J1,2]]*Table2[[#This Row],[weight]]</f>
        <v>3.5706692529249981E-3</v>
      </c>
      <c r="N62">
        <f>0.9155*Table2[[#This Row],[J2,3]]*Table2[[#This Row],[weight]]</f>
        <v>3.0221757568458379E-3</v>
      </c>
      <c r="O62">
        <f>0.9155*Table2[[#This Row],[J34]]*Table2[[#This Row],[weight]]</f>
        <v>1.0099926467631178E-3</v>
      </c>
      <c r="P62">
        <f>0.9155*Table2[[#This Row],[J45]]*Table2[[#This Row],[weight]]</f>
        <v>1.9322107297866835E-3</v>
      </c>
      <c r="Q62">
        <f>0.9155*Table2[[#This Row],[J56]]*Table2[[#This Row],[weight]]</f>
        <v>1.3727941768866018E-3</v>
      </c>
      <c r="R62">
        <f>0.9155*Table2[[#This Row],[J67]]*Table2[[#This Row],[weight]]</f>
        <v>4.7710351757099007E-4</v>
      </c>
      <c r="S62">
        <f>0.9155*Table2[[#This Row],[J67'']]*Table2[[#This Row],[weight]]</f>
        <v>4.4195468115795144E-3</v>
      </c>
      <c r="T62">
        <f>0.9155*Table2[[#This Row],[J77'']]*Table2[[#This Row],[weight]]</f>
        <v>-5.8145772112801353E-3</v>
      </c>
    </row>
    <row r="63" spans="1:30" x14ac:dyDescent="0.25">
      <c r="A63" t="s">
        <v>108</v>
      </c>
      <c r="B63">
        <v>6.8360000000000003</v>
      </c>
      <c r="C63">
        <v>3.69</v>
      </c>
      <c r="D63">
        <v>12.138999999999999</v>
      </c>
      <c r="E63">
        <v>10.254</v>
      </c>
      <c r="F63">
        <v>11.066000000000001</v>
      </c>
      <c r="G63">
        <v>2.4900000000000002</v>
      </c>
      <c r="H63">
        <v>-12.907999999999999</v>
      </c>
      <c r="I63">
        <v>1.468</v>
      </c>
      <c r="J63" s="9">
        <f>chloroform!J68</f>
        <v>4.9881189024096471E-5</v>
      </c>
      <c r="K63" t="str">
        <f>chloroform!F68</f>
        <v>5C12</v>
      </c>
      <c r="M63">
        <f>0.9155*Table2[[#This Row],[J1,2]]*Table2[[#This Row],[weight]]</f>
        <v>3.1217433837846633E-4</v>
      </c>
      <c r="N63">
        <f>0.9155*Table2[[#This Row],[J2,3]]*Table2[[#This Row],[weight]]</f>
        <v>1.6850838335525758E-4</v>
      </c>
      <c r="O63">
        <f>0.9155*Table2[[#This Row],[J34]]*Table2[[#This Row],[weight]]</f>
        <v>5.5434234838739075E-4</v>
      </c>
      <c r="P63">
        <f>0.9155*Table2[[#This Row],[J45]]*Table2[[#This Row],[weight]]</f>
        <v>4.6826150756769949E-4</v>
      </c>
      <c r="Q63">
        <f>0.9155*Table2[[#This Row],[J56]]*Table2[[#This Row],[weight]]</f>
        <v>5.0534248515156659E-4</v>
      </c>
      <c r="R63">
        <f>0.9155*Table2[[#This Row],[J67]]*Table2[[#This Row],[weight]]</f>
        <v>1.137089090933852E-4</v>
      </c>
      <c r="S63">
        <f>0.9155*Table2[[#This Row],[J67'']]*Table2[[#This Row],[weight]]</f>
        <v>6.7038023513690538E-5</v>
      </c>
      <c r="T63">
        <f>0.9155*Table2[[#This Row],[J77'']]*Table2[[#This Row],[weight]]</f>
        <v>-5.8945967814354053E-4</v>
      </c>
    </row>
    <row r="64" spans="1:30" x14ac:dyDescent="0.25">
      <c r="A64" t="s">
        <v>109</v>
      </c>
      <c r="B64">
        <v>7.8159999999999998</v>
      </c>
      <c r="C64">
        <v>8.5660000000000007</v>
      </c>
      <c r="D64">
        <v>6.1180000000000003</v>
      </c>
      <c r="E64">
        <v>1.002</v>
      </c>
      <c r="F64">
        <v>10.753</v>
      </c>
      <c r="G64">
        <v>2.1549999999999998</v>
      </c>
      <c r="H64">
        <v>-13.507999999999999</v>
      </c>
      <c r="I64">
        <v>1.6220000000000001</v>
      </c>
      <c r="J64" s="9">
        <f>chloroform!J69</f>
        <v>0</v>
      </c>
      <c r="K64" t="str">
        <f>chloroform!F69</f>
        <v>4H6</v>
      </c>
      <c r="M64">
        <f>0.9155*Table2[[#This Row],[J1,2]]*Table2[[#This Row],[weight]]</f>
        <v>0</v>
      </c>
      <c r="N64">
        <f>0.9155*Table2[[#This Row],[J2,3]]*Table2[[#This Row],[weight]]</f>
        <v>0</v>
      </c>
      <c r="O64">
        <f>0.9155*Table2[[#This Row],[J34]]*Table2[[#This Row],[weight]]</f>
        <v>0</v>
      </c>
      <c r="P64">
        <f>0.9155*Table2[[#This Row],[J45]]*Table2[[#This Row],[weight]]</f>
        <v>0</v>
      </c>
      <c r="Q64">
        <f>0.9155*Table2[[#This Row],[J56]]*Table2[[#This Row],[weight]]</f>
        <v>0</v>
      </c>
      <c r="R64">
        <f>0.9155*Table2[[#This Row],[J67]]*Table2[[#This Row],[weight]]</f>
        <v>0</v>
      </c>
      <c r="S64">
        <f>0.9155*Table2[[#This Row],[J67'']]*Table2[[#This Row],[weight]]</f>
        <v>0</v>
      </c>
      <c r="T64">
        <f>0.9155*Table2[[#This Row],[J77'']]*Table2[[#This Row],[weight]]</f>
        <v>0</v>
      </c>
    </row>
    <row r="65" spans="1:28" x14ac:dyDescent="0.25">
      <c r="A65" t="s">
        <v>66</v>
      </c>
      <c r="B65">
        <v>9.4280000000000008</v>
      </c>
      <c r="C65">
        <v>2.9249999999999998</v>
      </c>
      <c r="D65">
        <v>9.5860000000000003</v>
      </c>
      <c r="E65">
        <v>11.978999999999999</v>
      </c>
      <c r="F65">
        <v>9.7940000000000005</v>
      </c>
      <c r="G65">
        <v>10.282</v>
      </c>
      <c r="H65">
        <v>-11.757999999999999</v>
      </c>
      <c r="I65">
        <v>2.0059999999999998</v>
      </c>
      <c r="J65" s="9">
        <f>chloroform!J70</f>
        <v>4.7629892029221072E-5</v>
      </c>
      <c r="K65" t="str">
        <f>chloroform!F70</f>
        <v>5C12</v>
      </c>
      <c r="M65">
        <f>0.9155*Table2[[#This Row],[J1,2]]*Table2[[#This Row],[weight]]</f>
        <v>4.1110950648814488E-4</v>
      </c>
      <c r="N65">
        <f>0.9155*Table2[[#This Row],[J2,3]]*Table2[[#This Row],[weight]]</f>
        <v>1.2754511099679928E-4</v>
      </c>
      <c r="O65">
        <f>0.9155*Table2[[#This Row],[J34]]*Table2[[#This Row],[weight]]</f>
        <v>4.1799912274027964E-4</v>
      </c>
      <c r="P65">
        <f>0.9155*Table2[[#This Row],[J45]]*Table2[[#This Row],[weight]]</f>
        <v>5.223462853438149E-4</v>
      </c>
      <c r="Q65">
        <f>0.9155*Table2[[#This Row],[J56]]*Table2[[#This Row],[weight]]</f>
        <v>4.2706899730005201E-4</v>
      </c>
      <c r="R65">
        <f>0.9155*Table2[[#This Row],[J67]]*Table2[[#This Row],[weight]]</f>
        <v>4.4834831838259497E-4</v>
      </c>
      <c r="S65">
        <f>0.9155*Table2[[#This Row],[J67'']]*Table2[[#This Row],[weight]]</f>
        <v>8.7471963302420284E-5</v>
      </c>
      <c r="T65">
        <f>0.9155*Table2[[#This Row],[J77'']]*Table2[[#This Row],[weight]]</f>
        <v>-5.1270954362405666E-4</v>
      </c>
    </row>
    <row r="66" spans="1:28" x14ac:dyDescent="0.25">
      <c r="A66" t="s">
        <v>110</v>
      </c>
      <c r="B66">
        <v>6.9189999999999996</v>
      </c>
      <c r="C66">
        <v>3.4630000000000001</v>
      </c>
      <c r="D66">
        <v>10.888</v>
      </c>
      <c r="E66">
        <v>10.045</v>
      </c>
      <c r="F66">
        <v>10.724</v>
      </c>
      <c r="G66">
        <v>11.218</v>
      </c>
      <c r="H66">
        <v>-13.159000000000001</v>
      </c>
      <c r="I66">
        <v>2.1509999999999998</v>
      </c>
      <c r="J66" s="9">
        <f>chloroform!J71</f>
        <v>5.1523839288763394E-5</v>
      </c>
      <c r="K66" t="str">
        <f>chloroform!F71</f>
        <v>5C12</v>
      </c>
      <c r="M66">
        <f>0.9155*Table2[[#This Row],[J1,2]]*Table2[[#This Row],[weight]]</f>
        <v>3.2636974801766226E-4</v>
      </c>
      <c r="N66">
        <f>0.9155*Table2[[#This Row],[J2,3]]*Table2[[#This Row],[weight]]</f>
        <v>1.6334996927087219E-4</v>
      </c>
      <c r="O66">
        <f>0.9155*Table2[[#This Row],[J34]]*Table2[[#This Row],[weight]]</f>
        <v>5.1358777517217908E-4</v>
      </c>
      <c r="P66">
        <f>0.9155*Table2[[#This Row],[J45]]*Table2[[#This Row],[weight]]</f>
        <v>4.7382340205772772E-4</v>
      </c>
      <c r="Q66">
        <f>0.9155*Table2[[#This Row],[J56]]*Table2[[#This Row],[weight]]</f>
        <v>5.0585188289368555E-4</v>
      </c>
      <c r="R66">
        <f>0.9155*Table2[[#This Row],[J67]]*Table2[[#This Row],[weight]]</f>
        <v>5.2915389987890379E-4</v>
      </c>
      <c r="S66">
        <f>0.9155*Table2[[#This Row],[J67'']]*Table2[[#This Row],[weight]]</f>
        <v>1.0146283104292405E-4</v>
      </c>
      <c r="T66">
        <f>0.9155*Table2[[#This Row],[J77'']]*Table2[[#This Row],[weight]]</f>
        <v>-6.2071101519936675E-4</v>
      </c>
    </row>
    <row r="67" spans="1:28" x14ac:dyDescent="0.25">
      <c r="A67" t="s">
        <v>111</v>
      </c>
      <c r="B67">
        <v>7.5730000000000004</v>
      </c>
      <c r="C67">
        <v>8.327</v>
      </c>
      <c r="D67">
        <v>6.367</v>
      </c>
      <c r="E67">
        <v>1.2649999999999999</v>
      </c>
      <c r="F67">
        <v>9.9410000000000007</v>
      </c>
      <c r="G67">
        <v>11.356</v>
      </c>
      <c r="H67">
        <v>-12.144</v>
      </c>
      <c r="I67">
        <v>2.9430000000000001</v>
      </c>
      <c r="J67" s="9">
        <f>chloroform!J72</f>
        <v>0</v>
      </c>
      <c r="K67" t="str">
        <f>chloroform!F72</f>
        <v>4H6</v>
      </c>
      <c r="M67">
        <f>0.9155*Table2[[#This Row],[J1,2]]*Table2[[#This Row],[weight]]</f>
        <v>0</v>
      </c>
      <c r="N67">
        <f>0.9155*Table2[[#This Row],[J2,3]]*Table2[[#This Row],[weight]]</f>
        <v>0</v>
      </c>
      <c r="O67">
        <f>0.9155*Table2[[#This Row],[J34]]*Table2[[#This Row],[weight]]</f>
        <v>0</v>
      </c>
      <c r="P67">
        <f>0.9155*Table2[[#This Row],[J45]]*Table2[[#This Row],[weight]]</f>
        <v>0</v>
      </c>
      <c r="Q67">
        <f>0.9155*Table2[[#This Row],[J56]]*Table2[[#This Row],[weight]]</f>
        <v>0</v>
      </c>
      <c r="R67">
        <f>0.9155*Table2[[#This Row],[J67]]*Table2[[#This Row],[weight]]</f>
        <v>0</v>
      </c>
      <c r="S67">
        <f>0.9155*Table2[[#This Row],[J67'']]*Table2[[#This Row],[weight]]</f>
        <v>0</v>
      </c>
      <c r="T67">
        <f>0.9155*Table2[[#This Row],[J77'']]*Table2[[#This Row],[weight]]</f>
        <v>0</v>
      </c>
    </row>
    <row r="68" spans="1:28" x14ac:dyDescent="0.25">
      <c r="A68" t="s">
        <v>112</v>
      </c>
      <c r="B68">
        <v>7.4660000000000002</v>
      </c>
      <c r="C68">
        <v>5.6509999999999998</v>
      </c>
      <c r="D68">
        <v>9.8309999999999995</v>
      </c>
      <c r="E68">
        <v>12.021000000000001</v>
      </c>
      <c r="F68">
        <v>6.8220000000000001</v>
      </c>
      <c r="G68">
        <v>13.111000000000001</v>
      </c>
      <c r="H68">
        <v>-11.866</v>
      </c>
      <c r="I68">
        <v>5.2990000000000004</v>
      </c>
      <c r="J68" s="16">
        <f>chloroform!J73</f>
        <v>0</v>
      </c>
      <c r="K68" t="str">
        <f>chloroform!F73</f>
        <v>56TH</v>
      </c>
      <c r="M68">
        <f>0.9155*Table2[[#This Row],[J1,2]]*Table2[[#This Row],[weight]]</f>
        <v>0</v>
      </c>
      <c r="N68">
        <f>0.9155*Table2[[#This Row],[J2,3]]*Table2[[#This Row],[weight]]</f>
        <v>0</v>
      </c>
      <c r="O68">
        <f>0.9155*Table2[[#This Row],[J34]]*Table2[[#This Row],[weight]]</f>
        <v>0</v>
      </c>
      <c r="P68">
        <f>0.9155*Table2[[#This Row],[J45]]*Table2[[#This Row],[weight]]</f>
        <v>0</v>
      </c>
      <c r="Q68">
        <f>0.9155*Table2[[#This Row],[J56]]*Table2[[#This Row],[weight]]</f>
        <v>0</v>
      </c>
      <c r="R68">
        <f>0.9155*Table2[[#This Row],[J67]]*Table2[[#This Row],[weight]]</f>
        <v>0</v>
      </c>
      <c r="S68">
        <f>0.9155*Table2[[#This Row],[J67'']]*Table2[[#This Row],[weight]]</f>
        <v>0</v>
      </c>
      <c r="T68">
        <f>0.9155*Table2[[#This Row],[J77'']]*Table2[[#This Row],[weight]]</f>
        <v>0</v>
      </c>
    </row>
    <row r="69" spans="1:28" x14ac:dyDescent="0.25">
      <c r="A69" t="s">
        <v>113</v>
      </c>
      <c r="B69">
        <v>7.6929999999999996</v>
      </c>
      <c r="C69">
        <v>8.3089999999999993</v>
      </c>
      <c r="D69">
        <v>6.141</v>
      </c>
      <c r="E69">
        <v>1.3120000000000001</v>
      </c>
      <c r="F69">
        <v>11.090999999999999</v>
      </c>
      <c r="G69">
        <v>1.319</v>
      </c>
      <c r="H69">
        <v>-13.228999999999999</v>
      </c>
      <c r="I69">
        <v>11.021000000000001</v>
      </c>
      <c r="J69" s="16">
        <f>chloroform!J74</f>
        <v>0</v>
      </c>
      <c r="K69" t="str">
        <f>chloroform!F74</f>
        <v>4H6</v>
      </c>
      <c r="M69">
        <f>0.9155*Table2[[#This Row],[J1,2]]*Table2[[#This Row],[weight]]</f>
        <v>0</v>
      </c>
      <c r="N69">
        <f>0.9155*Table2[[#This Row],[J2,3]]*Table2[[#This Row],[weight]]</f>
        <v>0</v>
      </c>
      <c r="O69">
        <f>0.9155*Table2[[#This Row],[J34]]*Table2[[#This Row],[weight]]</f>
        <v>0</v>
      </c>
      <c r="P69">
        <f>0.9155*Table2[[#This Row],[J45]]*Table2[[#This Row],[weight]]</f>
        <v>0</v>
      </c>
      <c r="Q69">
        <f>0.9155*Table2[[#This Row],[J56]]*Table2[[#This Row],[weight]]</f>
        <v>0</v>
      </c>
      <c r="R69">
        <f>0.9155*Table2[[#This Row],[J67]]*Table2[[#This Row],[weight]]</f>
        <v>0</v>
      </c>
      <c r="S69">
        <f>0.9155*Table2[[#This Row],[J67'']]*Table2[[#This Row],[weight]]</f>
        <v>0</v>
      </c>
      <c r="T69">
        <f>0.9155*Table2[[#This Row],[J77'']]*Table2[[#This Row],[weight]]</f>
        <v>0</v>
      </c>
    </row>
    <row r="70" spans="1:28" x14ac:dyDescent="0.25">
      <c r="A70" t="s">
        <v>121</v>
      </c>
      <c r="B70">
        <v>7.6760000000000002</v>
      </c>
      <c r="C70">
        <v>8.3049999999999997</v>
      </c>
      <c r="D70">
        <v>6.2050000000000001</v>
      </c>
      <c r="E70">
        <v>1.274</v>
      </c>
      <c r="F70">
        <v>10.272</v>
      </c>
      <c r="G70">
        <v>11.433999999999999</v>
      </c>
      <c r="H70">
        <v>-11.637</v>
      </c>
      <c r="I70">
        <v>4.8479999999999999</v>
      </c>
      <c r="J70" s="16">
        <f>chloroform!J75</f>
        <v>0</v>
      </c>
      <c r="K70" t="str">
        <f>chloroform!F75</f>
        <v>4H6</v>
      </c>
      <c r="M70">
        <f>0.9155*Table2[[#This Row],[J1,2]]*Table2[[#This Row],[weight]]</f>
        <v>0</v>
      </c>
      <c r="N70">
        <f>0.9155*Table2[[#This Row],[J2,3]]*Table2[[#This Row],[weight]]</f>
        <v>0</v>
      </c>
      <c r="O70">
        <f>0.9155*Table2[[#This Row],[J34]]*Table2[[#This Row],[weight]]</f>
        <v>0</v>
      </c>
      <c r="P70">
        <f>0.9155*Table2[[#This Row],[J45]]*Table2[[#This Row],[weight]]</f>
        <v>0</v>
      </c>
      <c r="Q70">
        <f>0.9155*Table2[[#This Row],[J56]]*Table2[[#This Row],[weight]]</f>
        <v>0</v>
      </c>
      <c r="R70">
        <f>0.9155*Table2[[#This Row],[J67]]*Table2[[#This Row],[weight]]</f>
        <v>0</v>
      </c>
      <c r="S70">
        <f>0.9155*Table2[[#This Row],[J67'']]*Table2[[#This Row],[weight]]</f>
        <v>0</v>
      </c>
      <c r="T70">
        <f>0.9155*Table2[[#This Row],[J77'']]*Table2[[#This Row],[weight]]</f>
        <v>0</v>
      </c>
    </row>
    <row r="71" spans="1:28" ht="15.75" thickBot="1" x14ac:dyDescent="0.3">
      <c r="M71">
        <f>SUM(M2:M70)</f>
        <v>7.5506454487383694</v>
      </c>
      <c r="N71">
        <f t="shared" ref="N71:T71" si="1">SUM(N2:N70)</f>
        <v>7.5059097289493142</v>
      </c>
      <c r="O71">
        <f t="shared" si="1"/>
        <v>4.9097889248035749</v>
      </c>
      <c r="P71">
        <f t="shared" si="1"/>
        <v>2.9642151955742424</v>
      </c>
      <c r="Q71">
        <f t="shared" si="1"/>
        <v>10.152072520262301</v>
      </c>
      <c r="R71">
        <f t="shared" si="1"/>
        <v>1.6493443208104392</v>
      </c>
      <c r="S71">
        <f t="shared" si="1"/>
        <v>4.1260024840336014</v>
      </c>
      <c r="T71">
        <f t="shared" si="1"/>
        <v>-12.246250464412441</v>
      </c>
    </row>
    <row r="72" spans="1:28" x14ac:dyDescent="0.25">
      <c r="M72" s="13">
        <v>7.14</v>
      </c>
      <c r="N72" s="14">
        <v>6.3</v>
      </c>
      <c r="O72" s="15">
        <v>6.27</v>
      </c>
      <c r="P72" s="14">
        <v>3.96</v>
      </c>
      <c r="Q72" s="14">
        <v>9.39</v>
      </c>
      <c r="R72" s="14">
        <v>2.15</v>
      </c>
      <c r="S72" s="14">
        <v>4.8899999999999997</v>
      </c>
      <c r="T72">
        <v>-12.36</v>
      </c>
    </row>
    <row r="73" spans="1:28" x14ac:dyDescent="0.25">
      <c r="R73" t="s">
        <v>87</v>
      </c>
      <c r="S73">
        <f>SQRT(SUMXMY2(M71:S71,M72:S72)/7)</f>
        <v>0.91649272028929674</v>
      </c>
    </row>
    <row r="74" spans="1:28" x14ac:dyDescent="0.25">
      <c r="J74" s="4"/>
      <c r="S74">
        <f>SQRT(SUMXMY2(M71:Q71,M72:Q72)/5)</f>
        <v>1.0045261600272377</v>
      </c>
    </row>
    <row r="77" spans="1:28" x14ac:dyDescent="0.25">
      <c r="V77">
        <v>7.5506454487383694</v>
      </c>
      <c r="W77">
        <v>7.5059097289493142</v>
      </c>
      <c r="X77">
        <v>4.9097889248035749</v>
      </c>
      <c r="Y77">
        <v>2.9642151955742424</v>
      </c>
      <c r="Z77">
        <v>10.152072520262301</v>
      </c>
      <c r="AA77">
        <v>1.6493443208104392</v>
      </c>
      <c r="AB77">
        <v>4.1260024840336014</v>
      </c>
    </row>
    <row r="78" spans="1:28" ht="15.75" thickBot="1" x14ac:dyDescent="0.3">
      <c r="M78">
        <v>7.3619040248002277</v>
      </c>
      <c r="N78">
        <v>4.380939398929562</v>
      </c>
      <c r="O78">
        <v>2.3400946817439134</v>
      </c>
      <c r="P78">
        <v>4.5845820776339199</v>
      </c>
      <c r="Q78">
        <v>9.8376003740782547</v>
      </c>
      <c r="R78">
        <v>2.318450132026475</v>
      </c>
      <c r="S78">
        <v>3.8353975985475173</v>
      </c>
      <c r="V78">
        <v>7.14</v>
      </c>
      <c r="W78">
        <v>6.3</v>
      </c>
      <c r="X78">
        <v>6.27</v>
      </c>
      <c r="Y78">
        <v>3.96</v>
      </c>
      <c r="Z78">
        <v>9.39</v>
      </c>
      <c r="AA78">
        <v>2.15</v>
      </c>
      <c r="AB78">
        <v>4.8899999999999997</v>
      </c>
    </row>
    <row r="79" spans="1:28" x14ac:dyDescent="0.25">
      <c r="D79" s="13">
        <v>7.14</v>
      </c>
      <c r="M79">
        <v>6.8367000000000004</v>
      </c>
      <c r="N79">
        <v>3.44</v>
      </c>
      <c r="O79">
        <v>1.77</v>
      </c>
      <c r="P79">
        <v>4.0999999999999996</v>
      </c>
      <c r="Q79">
        <v>8.9</v>
      </c>
      <c r="R79">
        <v>2.54</v>
      </c>
      <c r="S79">
        <v>6.31</v>
      </c>
    </row>
    <row r="80" spans="1:28" x14ac:dyDescent="0.25">
      <c r="D80" s="14">
        <v>6.3</v>
      </c>
    </row>
    <row r="81" spans="4:4" x14ac:dyDescent="0.25">
      <c r="D81" s="15">
        <v>6.27</v>
      </c>
    </row>
    <row r="82" spans="4:4" x14ac:dyDescent="0.25">
      <c r="D82" s="14">
        <v>3.88</v>
      </c>
    </row>
    <row r="83" spans="4:4" x14ac:dyDescent="0.25">
      <c r="D83" s="14">
        <v>9.39</v>
      </c>
    </row>
    <row r="84" spans="4:4" x14ac:dyDescent="0.25">
      <c r="D84" s="14">
        <v>4.8899999999999997</v>
      </c>
    </row>
    <row r="85" spans="4:4" x14ac:dyDescent="0.25">
      <c r="D85" s="14">
        <v>2.15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9E84E-9378-4B88-B36C-0D514983F28A}">
  <dimension ref="A1:T70"/>
  <sheetViews>
    <sheetView topLeftCell="A43" zoomScaleNormal="100" workbookViewId="0">
      <selection activeCell="I70" sqref="I70"/>
    </sheetView>
  </sheetViews>
  <sheetFormatPr defaultRowHeight="15" x14ac:dyDescent="0.25"/>
  <cols>
    <col min="11" max="11" width="10.5703125" customWidth="1"/>
    <col min="20" max="20" width="14" customWidth="1"/>
  </cols>
  <sheetData>
    <row r="1" spans="1:20" x14ac:dyDescent="0.25">
      <c r="A1" t="s">
        <v>77</v>
      </c>
      <c r="B1">
        <f>SUMIF(Table1[Classification],E1,Table1[weight])</f>
        <v>9.8559244805712487E-2</v>
      </c>
      <c r="D1" t="s">
        <v>11</v>
      </c>
      <c r="E1" t="s">
        <v>19</v>
      </c>
      <c r="G1">
        <f>COUNTIF(Table3[classification],E1)</f>
        <v>11</v>
      </c>
      <c r="K1" t="s">
        <v>76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74</v>
      </c>
      <c r="S1" t="s">
        <v>15</v>
      </c>
      <c r="T1" t="s">
        <v>75</v>
      </c>
    </row>
    <row r="2" spans="1:20" x14ac:dyDescent="0.25">
      <c r="K2">
        <f>chloroform!E7</f>
        <v>2</v>
      </c>
      <c r="L2">
        <f>Table3[[#This Row],[weight]]*(0.9155*Table2[[#This Row],[J1,2]]-A$9)^2</f>
        <v>4.0720119988899413E-2</v>
      </c>
      <c r="M2">
        <f>Table3[[#This Row],[weight]]*(0.9155*Table2[[#This Row],[J2,3]]-B$9)^2</f>
        <v>0.47350300321638317</v>
      </c>
      <c r="N2">
        <f>Table3[[#This Row],[weight]]*(0.9155*Table2[[#This Row],[J34]]-C$9)^2</f>
        <v>8.2998814364463824E-2</v>
      </c>
      <c r="O2">
        <f>Table3[[#This Row],[weight]]*(0.9155*Table2[[#This Row],[J45]]-D$9)^2</f>
        <v>1.8395620050854171</v>
      </c>
      <c r="P2">
        <f>Table3[[#This Row],[weight]]*(0.9155*Table2[[#This Row],[J56]]-E$9)^2</f>
        <v>6.8516743669732538E-2</v>
      </c>
      <c r="Q2">
        <f>Table3[[#This Row],[weight]]*(0.9155*Table2[[#This Row],[J67]]-F$9)^2</f>
        <v>1.6826498147731385E-2</v>
      </c>
      <c r="R2">
        <f>Table3[[#This Row],[weight]]*(0.9155*Table2[[#This Row],[J67'']]-G$9)^2</f>
        <v>0.80288580019269873</v>
      </c>
      <c r="S2">
        <f>chloroform!J7</f>
        <v>1.9326078955663063E-2</v>
      </c>
      <c r="T2" t="str">
        <f>chloroform!F7</f>
        <v>4H6</v>
      </c>
    </row>
    <row r="3" spans="1:20" x14ac:dyDescent="0.25">
      <c r="K3">
        <f>chloroform!E8</f>
        <v>3</v>
      </c>
      <c r="L3">
        <f>Table3[[#This Row],[weight]]*(0.9155*Table2[[#This Row],[J1,2]]-A$9)^2</f>
        <v>4.5019576709855548E-2</v>
      </c>
      <c r="M3">
        <f>Table3[[#This Row],[weight]]*(0.9155*Table2[[#This Row],[J2,3]]-B$9)^2</f>
        <v>0.54544130562403048</v>
      </c>
      <c r="N3">
        <f>Table3[[#This Row],[weight]]*(0.9155*Table2[[#This Row],[J34]]-C$9)^2</f>
        <v>0.17160846631607804</v>
      </c>
      <c r="O3">
        <f>Table3[[#This Row],[weight]]*(0.9155*Table2[[#This Row],[J45]]-D$9)^2</f>
        <v>2.6441080905027565</v>
      </c>
      <c r="P3">
        <f>Table3[[#This Row],[weight]]*(0.9155*Table2[[#This Row],[J56]]-E$9)^2</f>
        <v>5.1043510395126682E-2</v>
      </c>
      <c r="Q3">
        <f>Table3[[#This Row],[weight]]*(0.9155*Table2[[#This Row],[J67]]-F$9)^2</f>
        <v>3.2224786805990703E-2</v>
      </c>
      <c r="R3">
        <f>Table3[[#This Row],[weight]]*(0.9155*Table2[[#This Row],[J67'']]-G$9)^2</f>
        <v>1.0403343597843702</v>
      </c>
      <c r="S3">
        <f>chloroform!J8</f>
        <v>2.5992690474494064E-2</v>
      </c>
      <c r="T3" t="str">
        <f>chloroform!F8</f>
        <v>4H6</v>
      </c>
    </row>
    <row r="4" spans="1:20" x14ac:dyDescent="0.25">
      <c r="A4" t="s">
        <v>67</v>
      </c>
      <c r="B4" t="s">
        <v>68</v>
      </c>
      <c r="C4" t="s">
        <v>69</v>
      </c>
      <c r="D4" t="s">
        <v>70</v>
      </c>
      <c r="E4" t="s">
        <v>71</v>
      </c>
      <c r="F4" t="s">
        <v>72</v>
      </c>
      <c r="G4" t="s">
        <v>74</v>
      </c>
      <c r="K4">
        <f>chloroform!E9</f>
        <v>4</v>
      </c>
      <c r="L4">
        <f>Table3[[#This Row],[weight]]*(0.9155*Table2[[#This Row],[J1,2]]-A$9)^2</f>
        <v>0.14834677405454377</v>
      </c>
      <c r="M4">
        <f>Table3[[#This Row],[weight]]*(0.9155*Table2[[#This Row],[J2,3]]-B$9)^2</f>
        <v>2.4835852685521562</v>
      </c>
      <c r="N4">
        <f>Table3[[#This Row],[weight]]*(0.9155*Table2[[#This Row],[J34]]-C$9)^2</f>
        <v>0.45143088291387717</v>
      </c>
      <c r="O4">
        <f>Table3[[#This Row],[weight]]*(0.9155*Table2[[#This Row],[J45]]-D$9)^2</f>
        <v>9.3099029687982569</v>
      </c>
      <c r="P4">
        <f>Table3[[#This Row],[weight]]*(0.9155*Table2[[#This Row],[J56]]-E$9)^2</f>
        <v>0.21582115431294141</v>
      </c>
      <c r="Q4">
        <f>Table3[[#This Row],[weight]]*(0.9155*Table2[[#This Row],[J67]]-F$9)^2</f>
        <v>0.17612629251962536</v>
      </c>
      <c r="R4">
        <f>Table3[[#This Row],[weight]]*(0.9155*Table2[[#This Row],[J67'']]-G$9)^2</f>
        <v>2.3741656733700873E-6</v>
      </c>
      <c r="S4">
        <f>chloroform!J9</f>
        <v>8.9978232529870944E-2</v>
      </c>
      <c r="T4" t="str">
        <f>chloroform!F9</f>
        <v>4H6</v>
      </c>
    </row>
    <row r="5" spans="1:20" x14ac:dyDescent="0.25">
      <c r="A5">
        <f>SUMIF(Table1[Classification],E1,Table2[J1,23])/$B$1</f>
        <v>8.4798456714204455</v>
      </c>
      <c r="B5">
        <f>SUMIF(Table1[Classification],E1,Table2[J2,34])/$B$1</f>
        <v>2.9115774961816085</v>
      </c>
      <c r="C5">
        <f>SUMIF(Table1[Classification],E1,Table2[J345])/$B$1</f>
        <v>8.0157806004098084</v>
      </c>
      <c r="D5">
        <f>SUMIF(Table1[Classification],E1,Table2[J456])/$B$1</f>
        <v>10.599479871523725</v>
      </c>
      <c r="E5">
        <f>SUMIF(Table1[Classification],E1,Table2[J567])/$B$1</f>
        <v>9.2056393511245176</v>
      </c>
      <c r="F5">
        <f>SUMIF(Table1[Classification],E1,Table2[J678])/$B$1</f>
        <v>2.28162463939571</v>
      </c>
      <c r="G5">
        <f>SUMIF(Table1[Classification],E1,Table2[J67''9])/$B$1</f>
        <v>2.9960752305099256</v>
      </c>
      <c r="K5">
        <f>chloroform!E10</f>
        <v>6</v>
      </c>
      <c r="L5">
        <f>Table3[[#This Row],[weight]]*(0.9155*Table2[[#This Row],[J1,2]]-A$9)^2</f>
        <v>0.24604729155718122</v>
      </c>
      <c r="M5">
        <f>Table3[[#This Row],[weight]]*(0.9155*Table2[[#This Row],[J2,3]]-B$9)^2</f>
        <v>4.6790946300795957</v>
      </c>
      <c r="N5">
        <f>Table3[[#This Row],[weight]]*(0.9155*Table2[[#This Row],[J34]]-C$9)^2</f>
        <v>1.5675706010483959</v>
      </c>
      <c r="O5">
        <f>Table3[[#This Row],[weight]]*(0.9155*Table2[[#This Row],[J45]]-D$9)^2</f>
        <v>20.329198631934915</v>
      </c>
      <c r="P5">
        <f>Table3[[#This Row],[weight]]*(0.9155*Table2[[#This Row],[J56]]-E$9)^2</f>
        <v>0.49240718929454363</v>
      </c>
      <c r="Q5">
        <f>Table3[[#This Row],[weight]]*(0.9155*Table2[[#This Row],[J67]]-F$9)^2</f>
        <v>0.27035398730260179</v>
      </c>
      <c r="R5">
        <f>Table3[[#This Row],[weight]]*(0.9155*Table2[[#This Row],[J67'']]-G$9)^2</f>
        <v>3.1331919229767177E-2</v>
      </c>
      <c r="S5">
        <f>chloroform!J10</f>
        <v>0.19168619495999895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3.7309940198227871E-3</v>
      </c>
      <c r="M6">
        <f>Table3[[#This Row],[weight]]*(0.9155*Table2[[#This Row],[J2,3]]-B$9)^2</f>
        <v>0.38214140710966749</v>
      </c>
      <c r="N6">
        <f>Table3[[#This Row],[weight]]*(0.9155*Table2[[#This Row],[J34]]-C$9)^2</f>
        <v>0.30892280809307487</v>
      </c>
      <c r="O6">
        <f>Table3[[#This Row],[weight]]*(0.9155*Table2[[#This Row],[J45]]-D$9)^2</f>
        <v>0.2263668058688254</v>
      </c>
      <c r="P6">
        <f>Table3[[#This Row],[weight]]*(0.9155*Table2[[#This Row],[J56]]-E$9)^2</f>
        <v>6.8452577223743587E-3</v>
      </c>
      <c r="Q6">
        <f>Table3[[#This Row],[weight]]*(0.9155*Table2[[#This Row],[J67]]-F$9)^2</f>
        <v>5.3612332966987107E-3</v>
      </c>
      <c r="R6">
        <f>Table3[[#This Row],[weight]]*(0.9155*Table2[[#This Row],[J67'']]-G$9)^2</f>
        <v>7.281397160766331E-3</v>
      </c>
      <c r="S6">
        <f>chloroform!J11</f>
        <v>1.0782558885098603E-2</v>
      </c>
      <c r="T6" t="str">
        <f>chloroform!F11</f>
        <v>45TH</v>
      </c>
    </row>
    <row r="7" spans="1:20" x14ac:dyDescent="0.25">
      <c r="A7" t="s">
        <v>92</v>
      </c>
      <c r="K7">
        <f>chloroform!E12</f>
        <v>8</v>
      </c>
      <c r="L7">
        <f>Table3[[#This Row],[weight]]*(0.9155*Table2[[#This Row],[J1,2]]-A$9)^2</f>
        <v>0.10297330212841437</v>
      </c>
      <c r="M7">
        <f>Table3[[#This Row],[weight]]*(0.9155*Table2[[#This Row],[J2,3]]-B$9)^2</f>
        <v>2.4675534993403092</v>
      </c>
      <c r="N7">
        <f>Table3[[#This Row],[weight]]*(0.9155*Table2[[#This Row],[J34]]-C$9)^2</f>
        <v>0.72767722371369459</v>
      </c>
      <c r="O7">
        <f>Table3[[#This Row],[weight]]*(0.9155*Table2[[#This Row],[J45]]-D$9)^2</f>
        <v>8.6886786271828349</v>
      </c>
      <c r="P7">
        <f>Table3[[#This Row],[weight]]*(0.9155*Table2[[#This Row],[J56]]-E$9)^2</f>
        <v>0.19698917049268261</v>
      </c>
      <c r="Q7">
        <f>Table3[[#This Row],[weight]]*(0.9155*Table2[[#This Row],[J67]]-F$9)^2</f>
        <v>8.6939344098212523E-2</v>
      </c>
      <c r="R7">
        <f>Table3[[#This Row],[weight]]*(0.9155*Table2[[#This Row],[J67'']]-G$9)^2</f>
        <v>2.8431828358451369E-2</v>
      </c>
      <c r="S7">
        <f>chloroform!J12</f>
        <v>8.3702807101061455E-2</v>
      </c>
      <c r="T7" t="str">
        <f>chloroform!F12</f>
        <v>4H6</v>
      </c>
    </row>
    <row r="8" spans="1:20" x14ac:dyDescent="0.25">
      <c r="A8" t="s">
        <v>67</v>
      </c>
      <c r="B8" t="s">
        <v>68</v>
      </c>
      <c r="C8" t="s">
        <v>69</v>
      </c>
      <c r="D8" t="s">
        <v>70</v>
      </c>
      <c r="E8" t="s">
        <v>71</v>
      </c>
      <c r="F8" t="s">
        <v>72</v>
      </c>
      <c r="G8" t="s">
        <v>74</v>
      </c>
      <c r="K8">
        <f>chloroform!E13</f>
        <v>9</v>
      </c>
      <c r="L8">
        <f>Table3[[#This Row],[weight]]*(0.9155*Table2[[#This Row],[J1,2]]-A$9)^2</f>
        <v>4.5713797560288282E-2</v>
      </c>
      <c r="M8">
        <f>Table3[[#This Row],[weight]]*(0.9155*Table2[[#This Row],[J2,3]]-B$9)^2</f>
        <v>0.59098127199440476</v>
      </c>
      <c r="N8">
        <f>Table3[[#This Row],[weight]]*(0.9155*Table2[[#This Row],[J34]]-C$9)^2</f>
        <v>0.10140913786952495</v>
      </c>
      <c r="O8">
        <f>Table3[[#This Row],[weight]]*(0.9155*Table2[[#This Row],[J45]]-D$9)^2</f>
        <v>2.2496705259005143</v>
      </c>
      <c r="P8">
        <f>Table3[[#This Row],[weight]]*(0.9155*Table2[[#This Row],[J56]]-E$9)^2</f>
        <v>5.6339862077563939E-2</v>
      </c>
      <c r="Q8">
        <f>Table3[[#This Row],[weight]]*(0.9155*Table2[[#This Row],[J67]]-F$9)^2</f>
        <v>2.1538667220135648E-4</v>
      </c>
      <c r="R8">
        <f>Table3[[#This Row],[weight]]*(0.9155*Table2[[#This Row],[J67'']]-G$9)^2</f>
        <v>8.1687825035382133E-2</v>
      </c>
      <c r="S8">
        <f>chloroform!J13</f>
        <v>2.3405625614782842E-2</v>
      </c>
      <c r="T8" t="str">
        <f>chloroform!F13</f>
        <v>4H6</v>
      </c>
    </row>
    <row r="9" spans="1:20" x14ac:dyDescent="0.25">
      <c r="A9">
        <f>A5</f>
        <v>8.4798456714204455</v>
      </c>
      <c r="B9">
        <f t="shared" ref="B9:G9" si="0">B5</f>
        <v>2.9115774961816085</v>
      </c>
      <c r="C9">
        <f t="shared" si="0"/>
        <v>8.0157806004098084</v>
      </c>
      <c r="D9">
        <f t="shared" si="0"/>
        <v>10.599479871523725</v>
      </c>
      <c r="E9">
        <f t="shared" si="0"/>
        <v>9.2056393511245176</v>
      </c>
      <c r="F9">
        <f t="shared" si="0"/>
        <v>2.28162463939571</v>
      </c>
      <c r="G9">
        <f t="shared" si="0"/>
        <v>2.9960752305099256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6.8745224325654887E-3</v>
      </c>
      <c r="M10">
        <f>Table3[[#This Row],[weight]]*(0.9155*Table2[[#This Row],[J2,3]]-B$9)^2</f>
        <v>0.79643590447038093</v>
      </c>
      <c r="N10">
        <f>Table3[[#This Row],[weight]]*(0.9155*Table2[[#This Row],[J34]]-C$9)^2</f>
        <v>0.96371001735562023</v>
      </c>
      <c r="O10">
        <f>Table3[[#This Row],[weight]]*(0.9155*Table2[[#This Row],[J45]]-D$9)^2</f>
        <v>0.61848980973108392</v>
      </c>
      <c r="P10">
        <f>Table3[[#This Row],[weight]]*(0.9155*Table2[[#This Row],[J56]]-E$9)^2</f>
        <v>5.0294908919146803E-3</v>
      </c>
      <c r="Q10">
        <f>Table3[[#This Row],[weight]]*(0.9155*Table2[[#This Row],[J67]]-F$9)^2</f>
        <v>5.6513809866220689E-3</v>
      </c>
      <c r="R10">
        <f>Table3[[#This Row],[weight]]*(0.9155*Table2[[#This Row],[J67'']]-G$9)^2</f>
        <v>1.5704545858364793</v>
      </c>
      <c r="S10">
        <f>chloroform!J15</f>
        <v>2.6673295322250507E-2</v>
      </c>
      <c r="T10" t="str">
        <f>chloroform!F15</f>
        <v>45TH</v>
      </c>
    </row>
    <row r="11" spans="1:20" x14ac:dyDescent="0.25">
      <c r="A11" t="s">
        <v>93</v>
      </c>
      <c r="K11">
        <f>chloroform!E16</f>
        <v>16</v>
      </c>
      <c r="L11">
        <f>Table3[[#This Row],[weight]]*(0.9155*Table2[[#This Row],[J1,2]]-A$9)^2</f>
        <v>7.4871479694988669E-2</v>
      </c>
      <c r="M11">
        <f>Table3[[#This Row],[weight]]*(0.9155*Table2[[#This Row],[J2,3]]-B$9)^2</f>
        <v>1.1118665135326535</v>
      </c>
      <c r="N11">
        <f>Table3[[#This Row],[weight]]*(0.9155*Table2[[#This Row],[J34]]-C$9)^2</f>
        <v>0.36492616513207116</v>
      </c>
      <c r="O11">
        <f>Table3[[#This Row],[weight]]*(0.9155*Table2[[#This Row],[J45]]-D$9)^2</f>
        <v>5.117550164941215</v>
      </c>
      <c r="P11">
        <f>Table3[[#This Row],[weight]]*(0.9155*Table2[[#This Row],[J56]]-E$9)^2</f>
        <v>0.14305151607361261</v>
      </c>
      <c r="Q11">
        <f>Table3[[#This Row],[weight]]*(0.9155*Table2[[#This Row],[J67]]-F$9)^2</f>
        <v>3.3164620999105558E-4</v>
      </c>
      <c r="R11">
        <f>Table3[[#This Row],[weight]]*(0.9155*Table2[[#This Row],[J67'']]-G$9)^2</f>
        <v>0.14703739877071584</v>
      </c>
      <c r="S11">
        <f>chloroform!J16</f>
        <v>4.8616292036398993E-2</v>
      </c>
      <c r="T11" t="str">
        <f>chloroform!F16</f>
        <v>4H6</v>
      </c>
    </row>
    <row r="12" spans="1:20" x14ac:dyDescent="0.25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  <c r="G12" t="s">
        <v>74</v>
      </c>
      <c r="K12">
        <f>chloroform!E17</f>
        <v>17</v>
      </c>
      <c r="L12">
        <f>Table3[[#This Row],[weight]]*(0.9155*Table2[[#This Row],[J1,2]]-A$9)^2</f>
        <v>2.9189777722644084E-2</v>
      </c>
      <c r="M12">
        <f>Table3[[#This Row],[weight]]*(0.9155*Table2[[#This Row],[J2,3]]-B$9)^2</f>
        <v>3.6847906845412925</v>
      </c>
      <c r="N12">
        <f>Table3[[#This Row],[weight]]*(0.9155*Table2[[#This Row],[J34]]-C$9)^2</f>
        <v>4.1905967509760043</v>
      </c>
      <c r="O12">
        <f>Table3[[#This Row],[weight]]*(0.9155*Table2[[#This Row],[J45]]-D$9)^2</f>
        <v>3.2748943743443446</v>
      </c>
      <c r="P12">
        <f>Table3[[#This Row],[weight]]*(0.9155*Table2[[#This Row],[J56]]-E$9)^2</f>
        <v>7.3753024379760576E-3</v>
      </c>
      <c r="Q12">
        <f>Table3[[#This Row],[weight]]*(0.9155*Table2[[#This Row],[J67]]-F$9)^2</f>
        <v>1.9084958494075061E-2</v>
      </c>
      <c r="R12">
        <f>Table3[[#This Row],[weight]]*(0.9155*Table2[[#This Row],[J67'']]-G$9)^2</f>
        <v>0.19052040628525163</v>
      </c>
      <c r="S12">
        <f>chloroform!J17</f>
        <v>0.12189078843388949</v>
      </c>
      <c r="T12" t="str">
        <f>chloroform!F17</f>
        <v>45TH</v>
      </c>
    </row>
    <row r="13" spans="1:20" x14ac:dyDescent="0.25">
      <c r="A13">
        <f>SQRT(SUMIF($T$2:$T$70,$E$1,L$2:L$70)/(($G$1-1)*$B$1/$G$1))</f>
        <v>0.6490683316738568</v>
      </c>
      <c r="B13">
        <f>SQRT(SUMIF($T$2:$T$46,$E$1,M$2:M$46)/(($G$1-1)*$B$1/$G$1))</f>
        <v>0.1610791315806287</v>
      </c>
      <c r="C13">
        <f>SQRT(SUMIF($T$2:$T$70,$E$1,N$2:N$70)/(($G$1-1)*$B$1/$G$1))</f>
        <v>0.9069954240013457</v>
      </c>
      <c r="D13">
        <f t="shared" ref="D13:E13" si="1">SQRT(SUMIF($T$2:$T$46,$E$1,O$2:O$46)/(($G$1-1)*$B$1/$G$1))</f>
        <v>0.25654548162245905</v>
      </c>
      <c r="E13">
        <f t="shared" si="1"/>
        <v>0.28226522245668856</v>
      </c>
      <c r="F13">
        <f>SQRT(SUMIF($T$2:$T$70,$E$1,Q$2:Q$70)/(($G$1-1)*$B$1/$G$1))</f>
        <v>1.9014488265132676</v>
      </c>
      <c r="G13">
        <f>SQRT(SUMIF($T$2:$T$46,$E$1,R$2:R$46)/(($G$1-1)*$B$1/$G$1))</f>
        <v>2.8555397943637377</v>
      </c>
      <c r="K13">
        <f>chloroform!E18</f>
        <v>19</v>
      </c>
      <c r="L13">
        <f>Table3[[#This Row],[weight]]*(0.9155*Table2[[#This Row],[J1,2]]-A$9)^2</f>
        <v>4.7304898343890372E-4</v>
      </c>
      <c r="M13">
        <f>Table3[[#This Row],[weight]]*(0.9155*Table2[[#This Row],[J2,3]]-B$9)^2</f>
        <v>3.3023993326156279E-3</v>
      </c>
      <c r="N13">
        <f>Table3[[#This Row],[weight]]*(0.9155*Table2[[#This Row],[J34]]-C$9)^2</f>
        <v>2.5536740388085927E-2</v>
      </c>
      <c r="O13">
        <f>Table3[[#This Row],[weight]]*(0.9155*Table2[[#This Row],[J45]]-D$9)^2</f>
        <v>1.2626694449308598E-2</v>
      </c>
      <c r="P13">
        <f>Table3[[#This Row],[weight]]*(0.9155*Table2[[#This Row],[J56]]-E$9)^2</f>
        <v>0.23494537805750451</v>
      </c>
      <c r="Q13">
        <f>Table3[[#This Row],[weight]]*(0.9155*Table2[[#This Row],[J67]]-F$9)^2</f>
        <v>0.25710192074206334</v>
      </c>
      <c r="R13">
        <f>Table3[[#This Row],[weight]]*(0.9155*Table2[[#This Row],[J67'']]-G$9)^2</f>
        <v>1.8214802164711028E-2</v>
      </c>
      <c r="S13">
        <f>chloroform!J18</f>
        <v>2.9215514810765719E-3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6.9504171631750697E-2</v>
      </c>
      <c r="M14">
        <f>Table3[[#This Row],[weight]]*(0.9155*Table2[[#This Row],[J2,3]]-B$9)^2</f>
        <v>1.0345550291766159</v>
      </c>
      <c r="N14">
        <f>Table3[[#This Row],[weight]]*(0.9155*Table2[[#This Row],[J34]]-C$9)^2</f>
        <v>0.17786682936760795</v>
      </c>
      <c r="O14">
        <f>Table3[[#This Row],[weight]]*(0.9155*Table2[[#This Row],[J45]]-D$9)^2</f>
        <v>3.8367288599367142</v>
      </c>
      <c r="P14">
        <f>Table3[[#This Row],[weight]]*(0.9155*Table2[[#This Row],[J56]]-E$9)^2</f>
        <v>9.9011592961742417E-2</v>
      </c>
      <c r="Q14">
        <f>Table3[[#This Row],[weight]]*(0.9155*Table2[[#This Row],[J67]]-F$9)^2</f>
        <v>1.2230490861639338E-2</v>
      </c>
      <c r="R14">
        <f>Table3[[#This Row],[weight]]*(0.9155*Table2[[#This Row],[J67'']]-G$9)^2</f>
        <v>4.3838712141686137E-2</v>
      </c>
      <c r="S14">
        <f>chloroform!J19</f>
        <v>3.9576682262289983E-2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2.0338069452337349E-5</v>
      </c>
      <c r="M15">
        <f>Table3[[#This Row],[weight]]*(0.9155*Table2[[#This Row],[J2,3]]-B$9)^2</f>
        <v>1.4807173924369902E-5</v>
      </c>
      <c r="N15">
        <f>Table3[[#This Row],[weight]]*(0.9155*Table2[[#This Row],[J34]]-C$9)^2</f>
        <v>1.881269550886502E-4</v>
      </c>
      <c r="O15">
        <f>Table3[[#This Row],[weight]]*(0.9155*Table2[[#This Row],[J45]]-D$9)^2</f>
        <v>9.4119827202296981E-3</v>
      </c>
      <c r="P15">
        <f>Table3[[#This Row],[weight]]*(0.9155*Table2[[#This Row],[J56]]-E$9)^2</f>
        <v>3.050424638563014E-3</v>
      </c>
      <c r="Q15">
        <f>Table3[[#This Row],[weight]]*(0.9155*Table2[[#This Row],[J67]]-F$9)^2</f>
        <v>2.9862585103053435E-4</v>
      </c>
      <c r="R15">
        <f>Table3[[#This Row],[weight]]*(0.9155*Table2[[#This Row],[J67'']]-G$9)^2</f>
        <v>3.9218222411784091E-4</v>
      </c>
      <c r="S15">
        <f>chloroform!J20</f>
        <v>1.1248033002108086E-4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1.5532359367334772E-4</v>
      </c>
      <c r="M16">
        <f>Table3[[#This Row],[weight]]*(0.9155*Table2[[#This Row],[J2,3]]-B$9)^2</f>
        <v>1.4732583231968532E-2</v>
      </c>
      <c r="N16">
        <f>Table3[[#This Row],[weight]]*(0.9155*Table2[[#This Row],[J34]]-C$9)^2</f>
        <v>1.2180605600773669E-2</v>
      </c>
      <c r="O16">
        <f>Table3[[#This Row],[weight]]*(0.9155*Table2[[#This Row],[J45]]-D$9)^2</f>
        <v>7.6209833818396333E-3</v>
      </c>
      <c r="P16">
        <f>Table3[[#This Row],[weight]]*(0.9155*Table2[[#This Row],[J56]]-E$9)^2</f>
        <v>4.8358287255873092E-4</v>
      </c>
      <c r="Q16">
        <f>Table3[[#This Row],[weight]]*(0.9155*Table2[[#This Row],[J67]]-F$9)^2</f>
        <v>4.8232333623093849E-4</v>
      </c>
      <c r="R16">
        <f>Table3[[#This Row],[weight]]*(0.9155*Table2[[#This Row],[J67'']]-G$9)^2</f>
        <v>2.4834266597637964E-2</v>
      </c>
      <c r="S16">
        <f>chloroform!J21</f>
        <v>4.1839475733440249E-4</v>
      </c>
      <c r="T16" t="str">
        <f>chloroform!F21</f>
        <v>45TH</v>
      </c>
    </row>
    <row r="17" spans="11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11:20" x14ac:dyDescent="0.25">
      <c r="K18">
        <f>chloroform!E23</f>
        <v>24</v>
      </c>
      <c r="L18">
        <f>Table3[[#This Row],[weight]]*(0.9155*Table2[[#This Row],[J1,2]]-A$9)^2</f>
        <v>4.4612147548126055E-4</v>
      </c>
      <c r="M18">
        <f>Table3[[#This Row],[weight]]*(0.9155*Table2[[#This Row],[J2,3]]-B$9)^2</f>
        <v>3.9238381780724127E-2</v>
      </c>
      <c r="N18">
        <f>Table3[[#This Row],[weight]]*(0.9155*Table2[[#This Row],[J34]]-C$9)^2</f>
        <v>3.064248631088572E-2</v>
      </c>
      <c r="O18">
        <f>Table3[[#This Row],[weight]]*(0.9155*Table2[[#This Row],[J45]]-D$9)^2</f>
        <v>2.4317580182306207E-2</v>
      </c>
      <c r="P18">
        <f>Table3[[#This Row],[weight]]*(0.9155*Table2[[#This Row],[J56]]-E$9)^2</f>
        <v>7.7996835310419917E-5</v>
      </c>
      <c r="Q18">
        <f>Table3[[#This Row],[weight]]*(0.9155*Table2[[#This Row],[J67]]-F$9)^2</f>
        <v>6.5543515306994732E-2</v>
      </c>
      <c r="R18">
        <f>Table3[[#This Row],[weight]]*(0.9155*Table2[[#This Row],[J67'']]-G$9)^2</f>
        <v>3.9718253630728379E-4</v>
      </c>
      <c r="S18">
        <f>chloroform!J23</f>
        <v>1.1195174007312013E-3</v>
      </c>
      <c r="T18" t="str">
        <f>chloroform!F23</f>
        <v>45TH</v>
      </c>
    </row>
    <row r="19" spans="11:20" x14ac:dyDescent="0.25">
      <c r="K19">
        <f>chloroform!E24</f>
        <v>26</v>
      </c>
      <c r="L19">
        <f>Table3[[#This Row],[weight]]*(0.9155*Table2[[#This Row],[J1,2]]-A$9)^2</f>
        <v>2.0332679277878588E-3</v>
      </c>
      <c r="M19">
        <f>Table3[[#This Row],[weight]]*(0.9155*Table2[[#This Row],[J2,3]]-B$9)^2</f>
        <v>0.32472544276962156</v>
      </c>
      <c r="N19">
        <f>Table3[[#This Row],[weight]]*(0.9155*Table2[[#This Row],[J34]]-C$9)^2</f>
        <v>0.42663054981262472</v>
      </c>
      <c r="O19">
        <f>Table3[[#This Row],[weight]]*(0.9155*Table2[[#This Row],[J45]]-D$9)^2</f>
        <v>9.2539738736208188E-2</v>
      </c>
      <c r="P19">
        <f>Table3[[#This Row],[weight]]*(0.9155*Table2[[#This Row],[J56]]-E$9)^2</f>
        <v>1.7888559212638825E-2</v>
      </c>
      <c r="Q19">
        <f>Table3[[#This Row],[weight]]*(0.9155*Table2[[#This Row],[J67]]-F$9)^2</f>
        <v>2.0645941336837306E-3</v>
      </c>
      <c r="R19">
        <f>Table3[[#This Row],[weight]]*(0.9155*Table2[[#This Row],[J67'']]-G$9)^2</f>
        <v>1.414902664879425E-2</v>
      </c>
      <c r="S19">
        <f>chloroform!J24</f>
        <v>1.0506013961301909E-2</v>
      </c>
      <c r="T19" t="str">
        <f>chloroform!F24</f>
        <v>45TH</v>
      </c>
    </row>
    <row r="20" spans="11:20" x14ac:dyDescent="0.25">
      <c r="K20">
        <f>chloroform!E25</f>
        <v>27</v>
      </c>
      <c r="L20">
        <f>Table3[[#This Row],[weight]]*(0.9155*Table2[[#This Row],[J1,2]]-A$9)^2</f>
        <v>6.1856702516472677E-2</v>
      </c>
      <c r="M20">
        <f>Table3[[#This Row],[weight]]*(0.9155*Table2[[#This Row],[J2,3]]-B$9)^2</f>
        <v>0.72563733432087363</v>
      </c>
      <c r="N20">
        <f>Table3[[#This Row],[weight]]*(0.9155*Table2[[#This Row],[J34]]-C$9)^2</f>
        <v>0.12684948524009837</v>
      </c>
      <c r="O20">
        <f>Table3[[#This Row],[weight]]*(0.9155*Table2[[#This Row],[J45]]-D$9)^2</f>
        <v>2.7989035511892317</v>
      </c>
      <c r="P20">
        <f>Table3[[#This Row],[weight]]*(0.9155*Table2[[#This Row],[J56]]-E$9)^2</f>
        <v>0.10982600178132065</v>
      </c>
      <c r="Q20">
        <f>Table3[[#This Row],[weight]]*(0.9155*Table2[[#This Row],[J67]]-F$9)^2</f>
        <v>3.6030518566780231E-2</v>
      </c>
      <c r="R20">
        <f>Table3[[#This Row],[weight]]*(0.9155*Table2[[#This Row],[J67'']]-G$9)^2</f>
        <v>1.4270804690592747</v>
      </c>
      <c r="S20">
        <f>chloroform!J25</f>
        <v>2.9693809347054925E-2</v>
      </c>
      <c r="T20" t="str">
        <f>chloroform!F25</f>
        <v>4H6</v>
      </c>
    </row>
    <row r="21" spans="11:20" x14ac:dyDescent="0.25">
      <c r="K21">
        <f>chloroform!E26</f>
        <v>30</v>
      </c>
      <c r="L21">
        <f>Table3[[#This Row],[weight]]*(0.9155*Table2[[#This Row],[J1,2]]-A$9)^2</f>
        <v>4.0371879088608266E-4</v>
      </c>
      <c r="M21">
        <f>Table3[[#This Row],[weight]]*(0.9155*Table2[[#This Row],[J2,3]]-B$9)^2</f>
        <v>7.238334488566579E-4</v>
      </c>
      <c r="N21">
        <f>Table3[[#This Row],[weight]]*(0.9155*Table2[[#This Row],[J34]]-C$9)^2</f>
        <v>7.3634988008466004E-3</v>
      </c>
      <c r="O21">
        <f>Table3[[#This Row],[weight]]*(0.9155*Table2[[#This Row],[J45]]-D$9)^2</f>
        <v>2.646241033328623E-3</v>
      </c>
      <c r="P21">
        <f>Table3[[#This Row],[weight]]*(0.9155*Table2[[#This Row],[J56]]-E$9)^2</f>
        <v>5.9428440108595049E-2</v>
      </c>
      <c r="Q21">
        <f>Table3[[#This Row],[weight]]*(0.9155*Table2[[#This Row],[J67]]-F$9)^2</f>
        <v>5.848655152241812E-2</v>
      </c>
      <c r="R21">
        <f>Table3[[#This Row],[weight]]*(0.9155*Table2[[#This Row],[J67'']]-G$9)^2</f>
        <v>1.8277838120861213E-4</v>
      </c>
      <c r="S21">
        <f>chloroform!J26</f>
        <v>7.2780620693175906E-4</v>
      </c>
      <c r="T21" t="str">
        <f>chloroform!F26</f>
        <v>6H4</v>
      </c>
    </row>
    <row r="22" spans="11:20" x14ac:dyDescent="0.25">
      <c r="K22">
        <f>chloroform!E27</f>
        <v>33</v>
      </c>
      <c r="L22">
        <f>Table3[[#This Row],[weight]]*(0.9155*Table2[[#This Row],[J1,2]]-A$9)^2</f>
        <v>6.0043999201959963E-4</v>
      </c>
      <c r="M22">
        <f>Table3[[#This Row],[weight]]*(0.9155*Table2[[#This Row],[J2,3]]-B$9)^2</f>
        <v>6.0870094259863637E-2</v>
      </c>
      <c r="N22">
        <f>Table3[[#This Row],[weight]]*(0.9155*Table2[[#This Row],[J34]]-C$9)^2</f>
        <v>5.2878169686896868E-2</v>
      </c>
      <c r="O22">
        <f>Table3[[#This Row],[weight]]*(0.9155*Table2[[#This Row],[J45]]-D$9)^2</f>
        <v>3.0049282236114312E-2</v>
      </c>
      <c r="P22">
        <f>Table3[[#This Row],[weight]]*(0.9155*Table2[[#This Row],[J56]]-E$9)^2</f>
        <v>1.226106666037486E-3</v>
      </c>
      <c r="Q22">
        <f>Table3[[#This Row],[weight]]*(0.9155*Table2[[#This Row],[J67]]-F$9)^2</f>
        <v>2.5046896948578094E-4</v>
      </c>
      <c r="R22">
        <f>Table3[[#This Row],[weight]]*(0.9155*Table2[[#This Row],[J67'']]-G$9)^2</f>
        <v>0.10221118878646177</v>
      </c>
      <c r="S22">
        <f>chloroform!J27</f>
        <v>1.7085745049514281E-3</v>
      </c>
      <c r="T22" t="str">
        <f>chloroform!F27</f>
        <v>45TH</v>
      </c>
    </row>
    <row r="23" spans="11:20" x14ac:dyDescent="0.25">
      <c r="K23">
        <f>chloroform!E28</f>
        <v>34</v>
      </c>
      <c r="L23">
        <f>Table3[[#This Row],[weight]]*(0.9155*Table2[[#This Row],[J1,2]]-A$9)^2</f>
        <v>3.1110249989043851E-4</v>
      </c>
      <c r="M23">
        <f>Table3[[#This Row],[weight]]*(0.9155*Table2[[#This Row],[J2,3]]-B$9)^2</f>
        <v>4.9123198959361383E-4</v>
      </c>
      <c r="N23">
        <f>Table3[[#This Row],[weight]]*(0.9155*Table2[[#This Row],[J34]]-C$9)^2</f>
        <v>6.0834070665307374E-3</v>
      </c>
      <c r="O23">
        <f>Table3[[#This Row],[weight]]*(0.9155*Table2[[#This Row],[J45]]-D$9)^2</f>
        <v>9.7145711698498128E-4</v>
      </c>
      <c r="P23">
        <f>Table3[[#This Row],[weight]]*(0.9155*Table2[[#This Row],[J56]]-E$9)^2</f>
        <v>4.4322582597155262E-2</v>
      </c>
      <c r="Q23">
        <f>Table3[[#This Row],[weight]]*(0.9155*Table2[[#This Row],[J67]]-F$9)^2</f>
        <v>8.3787451139572531E-4</v>
      </c>
      <c r="R23">
        <f>Table3[[#This Row],[weight]]*(0.9155*Table2[[#This Row],[J67'']]-G$9)^2</f>
        <v>3.964663131533702E-4</v>
      </c>
      <c r="S23">
        <f>chloroform!J28</f>
        <v>6.0615748228323436E-4</v>
      </c>
      <c r="T23" t="str">
        <f>chloroform!F28</f>
        <v>6H4</v>
      </c>
    </row>
    <row r="24" spans="11:20" x14ac:dyDescent="0.25">
      <c r="K24">
        <f>chloroform!E29</f>
        <v>38</v>
      </c>
      <c r="L24">
        <f>Table3[[#This Row],[weight]]*(0.9155*Table2[[#This Row],[J1,2]]-A$9)^2</f>
        <v>8.4960023058653217E-3</v>
      </c>
      <c r="M24">
        <f>Table3[[#This Row],[weight]]*(0.9155*Table2[[#This Row],[J2,3]]-B$9)^2</f>
        <v>1.238181640661977</v>
      </c>
      <c r="N24">
        <f>Table3[[#This Row],[weight]]*(0.9155*Table2[[#This Row],[J34]]-C$9)^2</f>
        <v>1.5103581343937686</v>
      </c>
      <c r="O24">
        <f>Table3[[#This Row],[weight]]*(0.9155*Table2[[#This Row],[J45]]-D$9)^2</f>
        <v>0.79990255888396988</v>
      </c>
      <c r="P24">
        <f>Table3[[#This Row],[weight]]*(0.9155*Table2[[#This Row],[J56]]-E$9)^2</f>
        <v>2.1672209209274164E-3</v>
      </c>
      <c r="Q24">
        <f>Table3[[#This Row],[weight]]*(0.9155*Table2[[#This Row],[J67]]-F$9)^2</f>
        <v>4.016628414095778E-3</v>
      </c>
      <c r="R24">
        <f>Table3[[#This Row],[weight]]*(0.9155*Table2[[#This Row],[J67'']]-G$9)^2</f>
        <v>6.7151034564360404E-2</v>
      </c>
      <c r="S24">
        <f>chloroform!J29</f>
        <v>3.9980502403189573E-2</v>
      </c>
      <c r="T24" t="str">
        <f>chloroform!F29</f>
        <v>45TH</v>
      </c>
    </row>
    <row r="25" spans="11:20" x14ac:dyDescent="0.25">
      <c r="K25">
        <f>chloroform!E30</f>
        <v>39</v>
      </c>
      <c r="L25">
        <f>Table3[[#This Row],[weight]]*(0.9155*Table2[[#This Row],[J1,2]]-A$9)^2</f>
        <v>8.6118942132438772E-2</v>
      </c>
      <c r="M25">
        <f>Table3[[#This Row],[weight]]*(0.9155*Table2[[#This Row],[J2,3]]-B$9)^2</f>
        <v>1.0883900882818869</v>
      </c>
      <c r="N25">
        <f>Table3[[#This Row],[weight]]*(0.9155*Table2[[#This Row],[J34]]-C$9)^2</f>
        <v>0.360031283328624</v>
      </c>
      <c r="O25">
        <f>Table3[[#This Row],[weight]]*(0.9155*Table2[[#This Row],[J45]]-D$9)^2</f>
        <v>5.2114609996400842</v>
      </c>
      <c r="P25">
        <f>Table3[[#This Row],[weight]]*(0.9155*Table2[[#This Row],[J56]]-E$9)^2</f>
        <v>0.22887524222521519</v>
      </c>
      <c r="Q25">
        <f>Table3[[#This Row],[weight]]*(0.9155*Table2[[#This Row],[J67]]-F$9)^2</f>
        <v>5.6224466716218606E-2</v>
      </c>
      <c r="R25">
        <f>Table3[[#This Row],[weight]]*(0.9155*Table2[[#This Row],[J67'']]-G$9)^2</f>
        <v>2.5212546635790538</v>
      </c>
      <c r="S25">
        <f>chloroform!J30</f>
        <v>5.0704803416262205E-2</v>
      </c>
      <c r="T25" t="str">
        <f>chloroform!F30</f>
        <v>4H6</v>
      </c>
    </row>
    <row r="26" spans="11:20" x14ac:dyDescent="0.25">
      <c r="K26">
        <f>chloroform!E31</f>
        <v>41</v>
      </c>
      <c r="L26">
        <f>Table3[[#This Row],[weight]]*(0.9155*Table2[[#This Row],[J1,2]]-A$9)^2</f>
        <v>5.0639886398911031E-2</v>
      </c>
      <c r="M26">
        <f>Table3[[#This Row],[weight]]*(0.9155*Table2[[#This Row],[J2,3]]-B$9)^2</f>
        <v>0.6332456696962796</v>
      </c>
      <c r="N26">
        <f>Table3[[#This Row],[weight]]*(0.9155*Table2[[#This Row],[J34]]-C$9)^2</f>
        <v>0.15875585601539174</v>
      </c>
      <c r="O26">
        <f>Table3[[#This Row],[weight]]*(0.9155*Table2[[#This Row],[J45]]-D$9)^2</f>
        <v>2.6130567028924743</v>
      </c>
      <c r="P26">
        <f>Table3[[#This Row],[weight]]*(0.9155*Table2[[#This Row],[J56]]-E$9)^2</f>
        <v>8.3006502685586389E-2</v>
      </c>
      <c r="Q26">
        <f>Table3[[#This Row],[weight]]*(0.9155*Table2[[#This Row],[J67]]-F$9)^2</f>
        <v>3.0538087270408597E-2</v>
      </c>
      <c r="R26">
        <f>Table3[[#This Row],[weight]]*(0.9155*Table2[[#This Row],[J67'']]-G$9)^2</f>
        <v>1.2762091442251264</v>
      </c>
      <c r="S26">
        <f>chloroform!J31</f>
        <v>2.5893864222968029E-2</v>
      </c>
      <c r="T26" t="str">
        <f>chloroform!F31</f>
        <v>4H6</v>
      </c>
    </row>
    <row r="27" spans="11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11:20" x14ac:dyDescent="0.25">
      <c r="K28">
        <f>chloroform!E33</f>
        <v>48</v>
      </c>
      <c r="L28">
        <f>Table3[[#This Row],[weight]]*(0.9155*Table2[[#This Row],[J1,2]]-A$9)^2</f>
        <v>2.9235054755109714E-2</v>
      </c>
      <c r="M28">
        <f>Table3[[#This Row],[weight]]*(0.9155*Table2[[#This Row],[J2,3]]-B$9)^2</f>
        <v>7.2151557990827203E-2</v>
      </c>
      <c r="N28">
        <f>Table3[[#This Row],[weight]]*(0.9155*Table2[[#This Row],[J34]]-C$9)^2</f>
        <v>2.1670771240322077E-2</v>
      </c>
      <c r="O28">
        <f>Table3[[#This Row],[weight]]*(0.9155*Table2[[#This Row],[J45]]-D$9)^2</f>
        <v>3.366424582307885E-4</v>
      </c>
      <c r="P28">
        <f>Table3[[#This Row],[weight]]*(0.9155*Table2[[#This Row],[J56]]-E$9)^2</f>
        <v>1.6221061526883625E-2</v>
      </c>
      <c r="Q28">
        <f>Table3[[#This Row],[weight]]*(0.9155*Table2[[#This Row],[J67]]-F$9)^2</f>
        <v>2.2091975183972509E-3</v>
      </c>
      <c r="R28">
        <f>Table3[[#This Row],[weight]]*(0.9155*Table2[[#This Row],[J67'']]-G$9)^2</f>
        <v>0.51468007407978666</v>
      </c>
      <c r="S28">
        <f>chloroform!J33</f>
        <v>9.4469832230511426E-3</v>
      </c>
      <c r="T28" t="str">
        <f>chloroform!F33</f>
        <v>56TH</v>
      </c>
    </row>
    <row r="29" spans="11:20" x14ac:dyDescent="0.25">
      <c r="K29">
        <f>chloroform!E34</f>
        <v>57</v>
      </c>
      <c r="L29">
        <f>Table3[[#This Row],[weight]]*(0.9155*Table2[[#This Row],[J1,2]]-A$9)^2</f>
        <v>6.754423846686228E-5</v>
      </c>
      <c r="M29">
        <f>Table3[[#This Row],[weight]]*(0.9155*Table2[[#This Row],[J2,3]]-B$9)^2</f>
        <v>7.330649592417602E-4</v>
      </c>
      <c r="N29">
        <f>Table3[[#This Row],[weight]]*(0.9155*Table2[[#This Row],[J34]]-C$9)^2</f>
        <v>7.6963870506054745E-3</v>
      </c>
      <c r="O29">
        <f>Table3[[#This Row],[weight]]*(0.9155*Table2[[#This Row],[J45]]-D$9)^2</f>
        <v>1.175764078212271E-2</v>
      </c>
      <c r="P29">
        <f>Table3[[#This Row],[weight]]*(0.9155*Table2[[#This Row],[J56]]-E$9)^2</f>
        <v>5.1784319827446551E-2</v>
      </c>
      <c r="Q29">
        <f>Table3[[#This Row],[weight]]*(0.9155*Table2[[#This Row],[J67]]-F$9)^2</f>
        <v>4.9541438049548669E-4</v>
      </c>
      <c r="R29">
        <f>Table3[[#This Row],[weight]]*(0.9155*Table2[[#This Row],[J67'']]-G$9)^2</f>
        <v>5.5834241208828142E-2</v>
      </c>
      <c r="S29">
        <f>chloroform!J34</f>
        <v>6.7499659885470701E-4</v>
      </c>
      <c r="T29" t="str">
        <f>chloroform!F34</f>
        <v>6H4</v>
      </c>
    </row>
    <row r="30" spans="11:20" x14ac:dyDescent="0.25">
      <c r="K30">
        <f>chloroform!E35</f>
        <v>59</v>
      </c>
      <c r="L30">
        <f>Table3[[#This Row],[weight]]*(0.9155*Table2[[#This Row],[J1,2]]-A$9)^2</f>
        <v>4.0000262482316871E-5</v>
      </c>
      <c r="M30">
        <f>Table3[[#This Row],[weight]]*(0.9155*Table2[[#This Row],[J2,3]]-B$9)^2</f>
        <v>3.062765560857252E-5</v>
      </c>
      <c r="N30">
        <f>Table3[[#This Row],[weight]]*(0.9155*Table2[[#This Row],[J34]]-C$9)^2</f>
        <v>7.7850120820349908E-5</v>
      </c>
      <c r="O30">
        <f>Table3[[#This Row],[weight]]*(0.9155*Table2[[#This Row],[J45]]-D$9)^2</f>
        <v>7.2539077614165977E-3</v>
      </c>
      <c r="P30">
        <f>Table3[[#This Row],[weight]]*(0.9155*Table2[[#This Row],[J56]]-E$9)^2</f>
        <v>1.3301269138719343E-3</v>
      </c>
      <c r="Q30">
        <f>Table3[[#This Row],[weight]]*(0.9155*Table2[[#This Row],[J67]]-F$9)^2</f>
        <v>1.4913577317958397E-4</v>
      </c>
      <c r="R30">
        <f>Table3[[#This Row],[weight]]*(0.9155*Table2[[#This Row],[J67'']]-G$9)^2</f>
        <v>3.1509540169568639E-3</v>
      </c>
      <c r="S30">
        <f>chloroform!J35</f>
        <v>7.8954738686043137E-5</v>
      </c>
      <c r="T30" t="str">
        <f>chloroform!F35</f>
        <v>45TH</v>
      </c>
    </row>
    <row r="31" spans="11:20" x14ac:dyDescent="0.25">
      <c r="K31">
        <f>chloroform!E36</f>
        <v>72</v>
      </c>
      <c r="L31">
        <f>Table3[[#This Row],[weight]]*(0.9155*Table2[[#This Row],[J1,2]]-A$9)^2</f>
        <v>4.9720860038194384E-3</v>
      </c>
      <c r="M31">
        <f>Table3[[#This Row],[weight]]*(0.9155*Table2[[#This Row],[J2,3]]-B$9)^2</f>
        <v>8.9441801372122792E-2</v>
      </c>
      <c r="N31">
        <f>Table3[[#This Row],[weight]]*(0.9155*Table2[[#This Row],[J34]]-C$9)^2</f>
        <v>3.1669522995120124E-2</v>
      </c>
      <c r="O31">
        <f>Table3[[#This Row],[weight]]*(0.9155*Table2[[#This Row],[J45]]-D$9)^2</f>
        <v>0.38476001432614521</v>
      </c>
      <c r="P31">
        <f>Table3[[#This Row],[weight]]*(0.9155*Table2[[#This Row],[J56]]-E$9)^2</f>
        <v>1.236219577377181E-2</v>
      </c>
      <c r="Q31">
        <f>Table3[[#This Row],[weight]]*(0.9155*Table2[[#This Row],[J67]]-F$9)^2</f>
        <v>0.12009151489181949</v>
      </c>
      <c r="R31">
        <f>Table3[[#This Row],[weight]]*(0.9155*Table2[[#This Row],[J67'']]-G$9)^2</f>
        <v>2.0860426734033575E-2</v>
      </c>
      <c r="S31">
        <f>chloroform!J36</f>
        <v>3.6519280689127583E-3</v>
      </c>
      <c r="T31" t="str">
        <f>chloroform!F36</f>
        <v>4H6</v>
      </c>
    </row>
    <row r="32" spans="11:20" x14ac:dyDescent="0.25">
      <c r="K32">
        <f>chloroform!E37</f>
        <v>73</v>
      </c>
      <c r="L32">
        <f>Table3[[#This Row],[weight]]*(0.9155*Table2[[#This Row],[J1,2]]-A$9)^2</f>
        <v>6.9600984678838589E-3</v>
      </c>
      <c r="M32">
        <f>Table3[[#This Row],[weight]]*(0.9155*Table2[[#This Row],[J2,3]]-B$9)^2</f>
        <v>4.712103107662669E-4</v>
      </c>
      <c r="N32">
        <f>Table3[[#This Row],[weight]]*(0.9155*Table2[[#This Row],[J34]]-C$9)^2</f>
        <v>1.1187074794856424E-2</v>
      </c>
      <c r="O32">
        <f>Table3[[#This Row],[weight]]*(0.9155*Table2[[#This Row],[J45]]-D$9)^2</f>
        <v>1.4625282463326091E-3</v>
      </c>
      <c r="P32">
        <f>Table3[[#This Row],[weight]]*(0.9155*Table2[[#This Row],[J56]]-E$9)^2</f>
        <v>9.6696087066297021E-4</v>
      </c>
      <c r="Q32">
        <f>Table3[[#This Row],[weight]]*(0.9155*Table2[[#This Row],[J67]]-F$9)^2</f>
        <v>1.7238513097905004E-2</v>
      </c>
      <c r="R32">
        <f>Table3[[#This Row],[weight]]*(0.9155*Table2[[#This Row],[J67'']]-G$9)^2</f>
        <v>0.11389554287511643</v>
      </c>
      <c r="S32">
        <f>chloroform!J37</f>
        <v>7.839261904177762E-2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7.5312153505041618E-5</v>
      </c>
      <c r="M33">
        <f>Table3[[#This Row],[weight]]*(0.9155*Table2[[#This Row],[J2,3]]-B$9)^2</f>
        <v>4.791305203209463E-5</v>
      </c>
      <c r="N33">
        <f>Table3[[#This Row],[weight]]*(0.9155*Table2[[#This Row],[J34]]-C$9)^2</f>
        <v>1.6722132895677835E-4</v>
      </c>
      <c r="O33">
        <f>Table3[[#This Row],[weight]]*(0.9155*Table2[[#This Row],[J45]]-D$9)^2</f>
        <v>1.095834961158333E-2</v>
      </c>
      <c r="P33">
        <f>Table3[[#This Row],[weight]]*(0.9155*Table2[[#This Row],[J56]]-E$9)^2</f>
        <v>2.1799414375878717E-3</v>
      </c>
      <c r="Q33">
        <f>Table3[[#This Row],[weight]]*(0.9155*Table2[[#This Row],[J67]]-F$9)^2</f>
        <v>7.0138917171320986E-5</v>
      </c>
      <c r="R33">
        <f>Table3[[#This Row],[weight]]*(0.9155*Table2[[#This Row],[J67'']]-G$9)^2</f>
        <v>6.6104283366317015E-3</v>
      </c>
      <c r="S33">
        <f>chloroform!J38</f>
        <v>1.1996201063032175E-4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5.9978575716950443E-3</v>
      </c>
      <c r="M34">
        <f>Table3[[#This Row],[weight]]*(0.9155*Table2[[#This Row],[J2,3]]-B$9)^2</f>
        <v>0.80101995295732775</v>
      </c>
      <c r="N34">
        <f>Table3[[#This Row],[weight]]*(0.9155*Table2[[#This Row],[J34]]-C$9)^2</f>
        <v>1.000524703628527</v>
      </c>
      <c r="O34">
        <f>Table3[[#This Row],[weight]]*(0.9155*Table2[[#This Row],[J45]]-D$9)^2</f>
        <v>0.53411224056700946</v>
      </c>
      <c r="P34">
        <f>Table3[[#This Row],[weight]]*(0.9155*Table2[[#This Row],[J56]]-E$9)^2</f>
        <v>2.1400021246376242E-3</v>
      </c>
      <c r="Q34">
        <f>Table3[[#This Row],[weight]]*(0.9155*Table2[[#This Row],[J67]]-F$9)^2</f>
        <v>2.2493313660689076E-3</v>
      </c>
      <c r="R34">
        <f>Table3[[#This Row],[weight]]*(0.9155*Table2[[#This Row],[J67'']]-G$9)^2</f>
        <v>1.6539850657660138</v>
      </c>
      <c r="S34">
        <f>chloroform!J39</f>
        <v>2.6009965125645323E-2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1.5053521915463721E-5</v>
      </c>
      <c r="M35">
        <f>Table3[[#This Row],[weight]]*(0.9155*Table2[[#This Row],[J2,3]]-B$9)^2</f>
        <v>2.2745540372174165E-3</v>
      </c>
      <c r="N35">
        <f>Table3[[#This Row],[weight]]*(0.9155*Table2[[#This Row],[J34]]-C$9)^2</f>
        <v>2.7387158730050585E-3</v>
      </c>
      <c r="O35">
        <f>Table3[[#This Row],[weight]]*(0.9155*Table2[[#This Row],[J45]]-D$9)^2</f>
        <v>3.9784647366944053E-3</v>
      </c>
      <c r="P35">
        <f>Table3[[#This Row],[weight]]*(0.9155*Table2[[#This Row],[J56]]-E$9)^2</f>
        <v>4.1276500159399491E-3</v>
      </c>
      <c r="Q35">
        <f>Table3[[#This Row],[weight]]*(0.9155*Table2[[#This Row],[J67]]-F$9)^2</f>
        <v>9.8423604209082801E-3</v>
      </c>
      <c r="R35">
        <f>Table3[[#This Row],[weight]]*(0.9155*Table2[[#This Row],[J67'']]-G$9)^2</f>
        <v>4.5613884742992753E-4</v>
      </c>
      <c r="S35">
        <f>chloroform!J40</f>
        <v>9.9188715705201253E-5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2.0913335550429003E-2</v>
      </c>
      <c r="M38">
        <f>Table3[[#This Row],[weight]]*(0.9155*Table2[[#This Row],[J2,3]]-B$9)^2</f>
        <v>1.7085404496565921E-3</v>
      </c>
      <c r="N38">
        <f>Table3[[#This Row],[weight]]*(0.9155*Table2[[#This Row],[J34]]-C$9)^2</f>
        <v>3.4964863663276835E-2</v>
      </c>
      <c r="O38">
        <f>Table3[[#This Row],[weight]]*(0.9155*Table2[[#This Row],[J45]]-D$9)^2</f>
        <v>3.9345962308067481E-3</v>
      </c>
      <c r="P38">
        <f>Table3[[#This Row],[weight]]*(0.9155*Table2[[#This Row],[J56]]-E$9)^2</f>
        <v>6.0887762783106893E-3</v>
      </c>
      <c r="Q38">
        <f>Table3[[#This Row],[weight]]*(0.9155*Table2[[#This Row],[J67]]-F$9)^2</f>
        <v>1.2737426683592735E-4</v>
      </c>
      <c r="R38">
        <f>Table3[[#This Row],[weight]]*(0.9155*Table2[[#This Row],[J67'']]-G$9)^2</f>
        <v>0.61669348188441275</v>
      </c>
      <c r="S38">
        <f>chloroform!J43</f>
        <v>1.1649403881724453E-2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3.2748065094442445E-3</v>
      </c>
      <c r="M42">
        <f>Table3[[#This Row],[weight]]*(0.9155*Table2[[#This Row],[J2,3]]-B$9)^2</f>
        <v>0.37917975410064481</v>
      </c>
      <c r="N42">
        <f>Table3[[#This Row],[weight]]*(0.9155*Table2[[#This Row],[J34]]-C$9)^2</f>
        <v>0.36160801643256035</v>
      </c>
      <c r="O42">
        <f>Table3[[#This Row],[weight]]*(0.9155*Table2[[#This Row],[J45]]-D$9)^2</f>
        <v>0.21848136238436289</v>
      </c>
      <c r="P42">
        <f>Table3[[#This Row],[weight]]*(0.9155*Table2[[#This Row],[J56]]-E$9)^2</f>
        <v>2.451112079161067E-4</v>
      </c>
      <c r="Q42">
        <f>Table3[[#This Row],[weight]]*(0.9155*Table2[[#This Row],[J67]]-F$9)^2</f>
        <v>6.0142612986644731E-4</v>
      </c>
      <c r="R42">
        <f>Table3[[#This Row],[weight]]*(0.9155*Table2[[#This Row],[J67'']]-G$9)^2</f>
        <v>0.64230071229477503</v>
      </c>
      <c r="S42">
        <f>chloroform!J47</f>
        <v>1.0082058334038075E-2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3.0646923222653281E-3</v>
      </c>
      <c r="M43">
        <f>Table3[[#This Row],[weight]]*(0.9155*Table2[[#This Row],[J2,3]]-B$9)^2</f>
        <v>1.4503662838637459E-4</v>
      </c>
      <c r="N43">
        <f>Table3[[#This Row],[weight]]*(0.9155*Table2[[#This Row],[J34]]-C$9)^2</f>
        <v>3.3547305248133987E-3</v>
      </c>
      <c r="O43">
        <f>Table3[[#This Row],[weight]]*(0.9155*Table2[[#This Row],[J45]]-D$9)^2</f>
        <v>4.9990667683689767E-4</v>
      </c>
      <c r="P43">
        <f>Table3[[#This Row],[weight]]*(0.9155*Table2[[#This Row],[J56]]-E$9)^2</f>
        <v>8.2967712297596388E-5</v>
      </c>
      <c r="Q43">
        <f>Table3[[#This Row],[weight]]*(0.9155*Table2[[#This Row],[J67]]-F$9)^2</f>
        <v>2.1147654180388828E-3</v>
      </c>
      <c r="R43">
        <f>Table3[[#This Row],[weight]]*(0.9155*Table2[[#This Row],[J67'']]-G$9)^2</f>
        <v>1.3410658027473856E-5</v>
      </c>
      <c r="S43">
        <f>chloroform!J48</f>
        <v>1.4345521435763836E-3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4.3721492709974508E-5</v>
      </c>
      <c r="M45">
        <f>Table3[[#This Row],[weight]]*(0.9155*Table2[[#This Row],[J2,3]]-B$9)^2</f>
        <v>5.2819698595526175E-3</v>
      </c>
      <c r="N45">
        <f>Table3[[#This Row],[weight]]*(0.9155*Table2[[#This Row],[J34]]-C$9)^2</f>
        <v>6.6146691420770646E-3</v>
      </c>
      <c r="O45">
        <f>Table3[[#This Row],[weight]]*(0.9155*Table2[[#This Row],[J45]]-D$9)^2</f>
        <v>9.2872855893486525E-3</v>
      </c>
      <c r="P45">
        <f>Table3[[#This Row],[weight]]*(0.9155*Table2[[#This Row],[J56]]-E$9)^2</f>
        <v>9.2353401314688166E-3</v>
      </c>
      <c r="Q45">
        <f>Table3[[#This Row],[weight]]*(0.9155*Table2[[#This Row],[J67]]-F$9)^2</f>
        <v>1.9761162078584644E-4</v>
      </c>
      <c r="R45">
        <f>Table3[[#This Row],[weight]]*(0.9155*Table2[[#This Row],[J67'']]-G$9)^2</f>
        <v>1.0849415294630831E-2</v>
      </c>
      <c r="S45">
        <f>chloroform!J50</f>
        <v>2.2875892260997214E-4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7.1075790880392297E-3</v>
      </c>
      <c r="M46">
        <f>Table3[[#This Row],[weight]]*(0.9155*Table2[[#This Row],[J2,3]]-B$9)^2</f>
        <v>1.4017206148784683E-2</v>
      </c>
      <c r="N46">
        <f>Table3[[#This Row],[weight]]*(0.9155*Table2[[#This Row],[J34]]-C$9)^2</f>
        <v>7.9545038355462901E-3</v>
      </c>
      <c r="O46">
        <f>Table3[[#This Row],[weight]]*(0.9155*Table2[[#This Row],[J45]]-D$9)^2</f>
        <v>3.6415288750980438E-4</v>
      </c>
      <c r="P46">
        <f>Table3[[#This Row],[weight]]*(0.9155*Table2[[#This Row],[J56]]-E$9)^2</f>
        <v>7.6716298654311453E-3</v>
      </c>
      <c r="Q46">
        <f>Table3[[#This Row],[weight]]*(0.9155*Table2[[#This Row],[J67]]-F$9)^2</f>
        <v>4.3231308819605017E-3</v>
      </c>
      <c r="R46">
        <f>Table3[[#This Row],[weight]]*(0.9155*Table2[[#This Row],[J67'']]-G$9)^2</f>
        <v>0.11467898365284443</v>
      </c>
      <c r="S46">
        <f>chloroform!J51</f>
        <v>2.7960399962709995E-3</v>
      </c>
      <c r="T46" t="str">
        <f>chloroform!F51</f>
        <v>56TH</v>
      </c>
    </row>
    <row r="47" spans="11:20" x14ac:dyDescent="0.25">
      <c r="K47">
        <f>chloroform!E52</f>
        <v>136</v>
      </c>
      <c r="L47">
        <f>Table3[[#This Row],[weight]]*(0.9155*Table2[[#This Row],[J1,2]]-A$9)^2</f>
        <v>1.2195331627514092E-6</v>
      </c>
      <c r="M47">
        <f>Table3[[#This Row],[weight]]*(0.9155*Table2[[#This Row],[J2,3]]-B$9)^2</f>
        <v>4.3626430633088012E-5</v>
      </c>
      <c r="N47">
        <f>Table3[[#This Row],[weight]]*(0.9155*Table2[[#This Row],[J34]]-C$9)^2</f>
        <v>7.0371122890596243E-6</v>
      </c>
      <c r="O47">
        <f>Table3[[#This Row],[weight]]*(0.9155*Table2[[#This Row],[J45]]-D$9)^2</f>
        <v>5.0006978485367665E-6</v>
      </c>
      <c r="P47">
        <f>Table3[[#This Row],[weight]]*(0.9155*Table2[[#This Row],[J56]]-E$9)^2</f>
        <v>1.1824231947654751E-4</v>
      </c>
      <c r="Q47">
        <f>Table3[[#This Row],[weight]]*(0.9155*Table2[[#This Row],[J67]]-F$9)^2</f>
        <v>1.6012049759136911E-8</v>
      </c>
      <c r="R47">
        <f>Table3[[#This Row],[weight]]*(0.9155*Table2[[#This Row],[J67'']]-G$9)^2</f>
        <v>3.9234650132962873E-2</v>
      </c>
      <c r="S47">
        <f>chloroform!J52</f>
        <v>7.0192860949702055E-4</v>
      </c>
      <c r="T47" t="str">
        <f>chloroform!F52</f>
        <v>5C12</v>
      </c>
    </row>
    <row r="48" spans="11:20" x14ac:dyDescent="0.25">
      <c r="K48">
        <f>chloroform!E53</f>
        <v>142</v>
      </c>
      <c r="L48">
        <f>Table3[[#This Row],[weight]]*(0.9155*Table2[[#This Row],[J1,2]]-A$9)^2</f>
        <v>6.291297646991721E-3</v>
      </c>
      <c r="M48">
        <f>Table3[[#This Row],[weight]]*(0.9155*Table2[[#This Row],[J2,3]]-B$9)^2</f>
        <v>1.189845094534181E-3</v>
      </c>
      <c r="N48">
        <f>Table3[[#This Row],[weight]]*(0.9155*Table2[[#This Row],[J34]]-C$9)^2</f>
        <v>1.5548816245929643E-2</v>
      </c>
      <c r="O48">
        <f>Table3[[#This Row],[weight]]*(0.9155*Table2[[#This Row],[J45]]-D$9)^2</f>
        <v>5.8514816599156561E-4</v>
      </c>
      <c r="P48">
        <f>Table3[[#This Row],[weight]]*(0.9155*Table2[[#This Row],[J56]]-E$9)^2</f>
        <v>1.6654065671890751E-3</v>
      </c>
      <c r="Q48">
        <f>Table3[[#This Row],[weight]]*(0.9155*Table2[[#This Row],[J67]]-F$9)^2</f>
        <v>0.27045066899485537</v>
      </c>
      <c r="R48">
        <f>Table3[[#This Row],[weight]]*(0.9155*Table2[[#This Row],[J67'']]-G$9)^2</f>
        <v>3.5922440797785922E-3</v>
      </c>
      <c r="S48">
        <f>chloroform!J53</f>
        <v>4.9171942224301287E-3</v>
      </c>
      <c r="T48" t="str">
        <f>chloroform!F53</f>
        <v>5C12</v>
      </c>
    </row>
    <row r="49" spans="11:20" x14ac:dyDescent="0.25">
      <c r="K49">
        <f>chloroform!E54</f>
        <v>143</v>
      </c>
      <c r="L49">
        <f>Table3[[#This Row],[weight]]*(0.9155*Table2[[#This Row],[J1,2]]-A$9)^2</f>
        <v>1.2139362786700349E-6</v>
      </c>
      <c r="M49">
        <f>Table3[[#This Row],[weight]]*(0.9155*Table2[[#This Row],[J2,3]]-B$9)^2</f>
        <v>6.3823695335367336E-3</v>
      </c>
      <c r="N49">
        <f>Table3[[#This Row],[weight]]*(0.9155*Table2[[#This Row],[J34]]-C$9)^2</f>
        <v>1.0689523599722153E-2</v>
      </c>
      <c r="O49">
        <f>Table3[[#This Row],[weight]]*(0.9155*Table2[[#This Row],[J45]]-D$9)^2</f>
        <v>2.7432826288323477E-4</v>
      </c>
      <c r="P49">
        <f>Table3[[#This Row],[weight]]*(0.9155*Table2[[#This Row],[J56]]-E$9)^2</f>
        <v>4.9882539478608397E-4</v>
      </c>
      <c r="Q49">
        <f>Table3[[#This Row],[weight]]*(0.9155*Table2[[#This Row],[J67]]-F$9)^2</f>
        <v>1.0794288510834695E-2</v>
      </c>
      <c r="R49">
        <f>Table3[[#This Row],[weight]]*(0.9155*Table2[[#This Row],[J67'']]-G$9)^2</f>
        <v>2.8561974612460099E-4</v>
      </c>
      <c r="S49">
        <f>chloroform!J54</f>
        <v>1.8904762616181188E-4</v>
      </c>
      <c r="T49" t="str">
        <f>chloroform!F54</f>
        <v>45TH</v>
      </c>
    </row>
    <row r="50" spans="11:20" x14ac:dyDescent="0.25">
      <c r="K50">
        <f>chloroform!E55</f>
        <v>144</v>
      </c>
      <c r="L50">
        <f>Table3[[#This Row],[weight]]*(0.9155*Table2[[#This Row],[J1,2]]-A$9)^2</f>
        <v>3.4260088474698072E-6</v>
      </c>
      <c r="M50">
        <f>Table3[[#This Row],[weight]]*(0.9155*Table2[[#This Row],[J2,3]]-B$9)^2</f>
        <v>2.2033867457617469E-3</v>
      </c>
      <c r="N50">
        <f>Table3[[#This Row],[weight]]*(0.9155*Table2[[#This Row],[J34]]-C$9)^2</f>
        <v>3.9184506681925989E-3</v>
      </c>
      <c r="O50">
        <f>Table3[[#This Row],[weight]]*(0.9155*Table2[[#This Row],[J45]]-D$9)^2</f>
        <v>4.8456468944375122E-3</v>
      </c>
      <c r="P50">
        <f>Table3[[#This Row],[weight]]*(0.9155*Table2[[#This Row],[J56]]-E$9)^2</f>
        <v>4.6884549620132667E-3</v>
      </c>
      <c r="Q50">
        <f>Table3[[#This Row],[weight]]*(0.9155*Table2[[#This Row],[J67]]-F$9)^2</f>
        <v>1.2065564892788068E-2</v>
      </c>
      <c r="R50">
        <f>Table3[[#This Row],[weight]]*(0.9155*Table2[[#This Row],[J67'']]-G$9)^2</f>
        <v>4.0543427213037898E-4</v>
      </c>
      <c r="S50">
        <f>chloroform!J55</f>
        <v>1.2004404313450875E-4</v>
      </c>
      <c r="T50" t="str">
        <f>chloroform!F55</f>
        <v>12C5</v>
      </c>
    </row>
    <row r="51" spans="11:20" x14ac:dyDescent="0.25">
      <c r="K51">
        <f>chloroform!E56</f>
        <v>145</v>
      </c>
      <c r="L51">
        <f>Table3[[#This Row],[weight]]*(0.9155*Table2[[#This Row],[J1,2]]-A$9)^2</f>
        <v>2.117270579246571E-6</v>
      </c>
      <c r="M51">
        <f>Table3[[#This Row],[weight]]*(0.9155*Table2[[#This Row],[J2,3]]-B$9)^2</f>
        <v>5.0959233234256045E-3</v>
      </c>
      <c r="N51">
        <f>Table3[[#This Row],[weight]]*(0.9155*Table2[[#This Row],[J34]]-C$9)^2</f>
        <v>7.7274683193019238E-3</v>
      </c>
      <c r="O51">
        <f>Table3[[#This Row],[weight]]*(0.9155*Table2[[#This Row],[J45]]-D$9)^2</f>
        <v>9.8284930835377728E-3</v>
      </c>
      <c r="P51">
        <f>Table3[[#This Row],[weight]]*(0.9155*Table2[[#This Row],[J56]]-E$9)^2</f>
        <v>1.1391005124181649E-2</v>
      </c>
      <c r="Q51">
        <f>Table3[[#This Row],[weight]]*(0.9155*Table2[[#This Row],[J67]]-F$9)^2</f>
        <v>2.8232945401710497E-2</v>
      </c>
      <c r="R51">
        <f>Table3[[#This Row],[weight]]*(0.9155*Table2[[#This Row],[J67'']]-G$9)^2</f>
        <v>1.0762922138656524E-3</v>
      </c>
      <c r="S51">
        <f>chloroform!J56</f>
        <v>2.7110679059549544E-4</v>
      </c>
      <c r="T51" t="str">
        <f>chloroform!F56</f>
        <v>5C12</v>
      </c>
    </row>
    <row r="52" spans="11:20" x14ac:dyDescent="0.25">
      <c r="K52">
        <f>chloroform!E57</f>
        <v>166</v>
      </c>
      <c r="L52">
        <f>Table3[[#This Row],[weight]]*(0.9155*Table2[[#This Row],[J1,2]]-A$9)^2</f>
        <v>2.9781063057693495E-5</v>
      </c>
      <c r="M52">
        <f>Table3[[#This Row],[weight]]*(0.9155*Table2[[#This Row],[J2,3]]-B$9)^2</f>
        <v>5.8737415835780777E-5</v>
      </c>
      <c r="N52">
        <f>Table3[[#This Row],[weight]]*(0.9155*Table2[[#This Row],[J34]]-C$9)^2</f>
        <v>1.9935926775905736E-4</v>
      </c>
      <c r="O52">
        <f>Table3[[#This Row],[weight]]*(0.9155*Table2[[#This Row],[J45]]-D$9)^2</f>
        <v>8.0153000144331422E-5</v>
      </c>
      <c r="P52">
        <f>Table3[[#This Row],[weight]]*(0.9155*Table2[[#This Row],[J56]]-E$9)^2</f>
        <v>8.3892880946999804E-4</v>
      </c>
      <c r="Q52">
        <f>Table3[[#This Row],[weight]]*(0.9155*Table2[[#This Row],[J67]]-F$9)^2</f>
        <v>5.4182880233631092E-5</v>
      </c>
      <c r="R52">
        <f>Table3[[#This Row],[weight]]*(0.9155*Table2[[#This Row],[J67'']]-G$9)^2</f>
        <v>6.6550122073528631E-2</v>
      </c>
      <c r="S52">
        <f>chloroform!J57</f>
        <v>1.0003138948241506E-3</v>
      </c>
      <c r="T52" t="str">
        <f>chloroform!F57</f>
        <v>5C12</v>
      </c>
    </row>
    <row r="53" spans="11:20" x14ac:dyDescent="0.25">
      <c r="K53">
        <f>chloroform!E58</f>
        <v>173</v>
      </c>
      <c r="L53">
        <f>Table3[[#This Row],[weight]]*(0.9155*Table2[[#This Row],[J1,2]]-A$9)^2</f>
        <v>7.8059125068000552E-6</v>
      </c>
      <c r="M53">
        <f>Table3[[#This Row],[weight]]*(0.9155*Table2[[#This Row],[J2,3]]-B$9)^2</f>
        <v>4.1009813425413435E-3</v>
      </c>
      <c r="N53">
        <f>Table3[[#This Row],[weight]]*(0.9155*Table2[[#This Row],[J34]]-C$9)^2</f>
        <v>6.8041735142219464E-3</v>
      </c>
      <c r="O53">
        <f>Table3[[#This Row],[weight]]*(0.9155*Table2[[#This Row],[J45]]-D$9)^2</f>
        <v>7.8712146137723E-3</v>
      </c>
      <c r="P53">
        <f>Table3[[#This Row],[weight]]*(0.9155*Table2[[#This Row],[J56]]-E$9)^2</f>
        <v>7.803626868632574E-3</v>
      </c>
      <c r="Q53">
        <f>Table3[[#This Row],[weight]]*(0.9155*Table2[[#This Row],[J67]]-F$9)^2</f>
        <v>2.6334978153169284E-4</v>
      </c>
      <c r="R53">
        <f>Table3[[#This Row],[weight]]*(0.9155*Table2[[#This Row],[J67'']]-G$9)^2</f>
        <v>1.1691709593481366E-2</v>
      </c>
      <c r="S53">
        <f>chloroform!J58</f>
        <v>2.1417677191485216E-4</v>
      </c>
      <c r="T53" t="str">
        <f>chloroform!F58</f>
        <v>12C5</v>
      </c>
    </row>
    <row r="54" spans="11:20" x14ac:dyDescent="0.25">
      <c r="K54">
        <f>chloroform!E59</f>
        <v>191</v>
      </c>
      <c r="L54">
        <f>Table3[[#This Row],[weight]]*(0.9155*Table2[[#This Row],[J1,2]]-A$9)^2</f>
        <v>1.672784345576393E-5</v>
      </c>
      <c r="M54">
        <f>Table3[[#This Row],[weight]]*(0.9155*Table2[[#This Row],[J2,3]]-B$9)^2</f>
        <v>2.2709242854031851E-3</v>
      </c>
      <c r="N54">
        <f>Table3[[#This Row],[weight]]*(0.9155*Table2[[#This Row],[J34]]-C$9)^2</f>
        <v>2.6882204758818967E-3</v>
      </c>
      <c r="O54">
        <f>Table3[[#This Row],[weight]]*(0.9155*Table2[[#This Row],[J45]]-D$9)^2</f>
        <v>4.0132122085343655E-3</v>
      </c>
      <c r="P54">
        <f>Table3[[#This Row],[weight]]*(0.9155*Table2[[#This Row],[J56]]-E$9)^2</f>
        <v>4.1674164279851518E-3</v>
      </c>
      <c r="Q54">
        <f>Table3[[#This Row],[weight]]*(0.9155*Table2[[#This Row],[J67]]-F$9)^2</f>
        <v>9.9232844611011999E-3</v>
      </c>
      <c r="R54">
        <f>Table3[[#This Row],[weight]]*(0.9155*Table2[[#This Row],[J67'']]-G$9)^2</f>
        <v>4.3615051768671099E-4</v>
      </c>
      <c r="S54">
        <f>chloroform!J59</f>
        <v>9.8765904417687437E-5</v>
      </c>
      <c r="T54" t="str">
        <f>chloroform!F59</f>
        <v>12C5</v>
      </c>
    </row>
    <row r="55" spans="11:20" x14ac:dyDescent="0.25">
      <c r="K55">
        <f>chloroform!E60</f>
        <v>193</v>
      </c>
      <c r="L55">
        <f>Table3[[#This Row],[weight]]*(0.9155*Table2[[#This Row],[J1,2]]-A$9)^2</f>
        <v>9.2091082458165218E-6</v>
      </c>
      <c r="M55">
        <f>Table3[[#This Row],[weight]]*(0.9155*Table2[[#This Row],[J2,3]]-B$9)^2</f>
        <v>8.6422216192418369E-3</v>
      </c>
      <c r="N55">
        <f>Table3[[#This Row],[weight]]*(0.9155*Table2[[#This Row],[J34]]-C$9)^2</f>
        <v>1.5490238092314488E-2</v>
      </c>
      <c r="O55">
        <f>Table3[[#This Row],[weight]]*(0.9155*Table2[[#This Row],[J45]]-D$9)^2</f>
        <v>1.8620635301527501E-2</v>
      </c>
      <c r="P55">
        <f>Table3[[#This Row],[weight]]*(0.9155*Table2[[#This Row],[J56]]-E$9)^2</f>
        <v>1.8243214868030502E-2</v>
      </c>
      <c r="Q55">
        <f>Table3[[#This Row],[weight]]*(0.9155*Table2[[#This Row],[J67]]-F$9)^2</f>
        <v>4.1040652865359794E-4</v>
      </c>
      <c r="R55">
        <f>Table3[[#This Row],[weight]]*(0.9155*Table2[[#This Row],[J67'']]-G$9)^2</f>
        <v>2.3886282386058812E-2</v>
      </c>
      <c r="S55">
        <f>chloroform!J60</f>
        <v>4.9141415597775981E-4</v>
      </c>
      <c r="T55" t="str">
        <f>chloroform!F60</f>
        <v>12C5</v>
      </c>
    </row>
    <row r="56" spans="11:20" x14ac:dyDescent="0.25">
      <c r="K56">
        <f>chloroform!E61</f>
        <v>197</v>
      </c>
      <c r="L56">
        <f>Table3[[#This Row],[weight]]*(0.9155*Table2[[#This Row],[J1,2]]-A$9)^2</f>
        <v>0</v>
      </c>
      <c r="M56">
        <f>Table3[[#This Row],[weight]]*(0.9155*Table2[[#This Row],[J2,3]]-B$9)^2</f>
        <v>0</v>
      </c>
      <c r="N56">
        <f>Table3[[#This Row],[weight]]*(0.9155*Table2[[#This Row],[J34]]-C$9)^2</f>
        <v>0</v>
      </c>
      <c r="O56">
        <f>Table3[[#This Row],[weight]]*(0.9155*Table2[[#This Row],[J45]]-D$9)^2</f>
        <v>0</v>
      </c>
      <c r="P56">
        <f>Table3[[#This Row],[weight]]*(0.9155*Table2[[#This Row],[J56]]-E$9)^2</f>
        <v>0</v>
      </c>
      <c r="Q56">
        <f>Table3[[#This Row],[weight]]*(0.9155*Table2[[#This Row],[J67]]-F$9)^2</f>
        <v>0</v>
      </c>
      <c r="R56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>
        <f>Table3[[#This Row],[weight]]*(0.9155*Table2[[#This Row],[J1,2]]-A$9)^2</f>
        <v>2.9561140408159209E-7</v>
      </c>
      <c r="M57">
        <f>Table3[[#This Row],[weight]]*(0.9155*Table2[[#This Row],[J2,3]]-B$9)^2</f>
        <v>2.2090412132736635E-6</v>
      </c>
      <c r="N57">
        <f>Table3[[#This Row],[weight]]*(0.9155*Table2[[#This Row],[J34]]-C$9)^2</f>
        <v>1.6230561875901805E-5</v>
      </c>
      <c r="O57">
        <f>Table3[[#This Row],[weight]]*(0.9155*Table2[[#This Row],[J45]]-D$9)^2</f>
        <v>2.795162170845237E-6</v>
      </c>
      <c r="P57">
        <f>Table3[[#This Row],[weight]]*(0.9155*Table2[[#This Row],[J56]]-E$9)^2</f>
        <v>1.6962296810746165E-5</v>
      </c>
      <c r="Q57">
        <f>Table3[[#This Row],[weight]]*(0.9155*Table2[[#This Row],[J67]]-F$9)^2</f>
        <v>1.8115026156921422E-5</v>
      </c>
      <c r="R57">
        <f>Table3[[#This Row],[weight]]*(0.9155*Table2[[#This Row],[J67'']]-G$9)^2</f>
        <v>2.3307941219962844E-3</v>
      </c>
      <c r="S57">
        <f>chloroform!J62</f>
        <v>4.3091300945158128E-5</v>
      </c>
      <c r="T57" t="str">
        <f>chloroform!F62</f>
        <v>5C12</v>
      </c>
    </row>
    <row r="58" spans="11:20" x14ac:dyDescent="0.25">
      <c r="K58">
        <f>chloroform!E63</f>
        <v>212</v>
      </c>
      <c r="L58">
        <f>Table3[[#This Row],[weight]]*(0.9155*Table2[[#This Row],[J1,2]]-A$9)^2</f>
        <v>5.4259649944520014E-6</v>
      </c>
      <c r="M58">
        <f>Table3[[#This Row],[weight]]*(0.9155*Table2[[#This Row],[J2,3]]-B$9)^2</f>
        <v>1.4690755464966793E-3</v>
      </c>
      <c r="N58">
        <f>Table3[[#This Row],[weight]]*(0.9155*Table2[[#This Row],[J34]]-C$9)^2</f>
        <v>2.8978012731158569E-3</v>
      </c>
      <c r="O58">
        <f>Table3[[#This Row],[weight]]*(0.9155*Table2[[#This Row],[J45]]-D$9)^2</f>
        <v>3.2179268147442559E-3</v>
      </c>
      <c r="P58">
        <f>Table3[[#This Row],[weight]]*(0.9155*Table2[[#This Row],[J56]]-E$9)^2</f>
        <v>2.7174906501229524E-3</v>
      </c>
      <c r="Q58">
        <f>Table3[[#This Row],[weight]]*(0.9155*Table2[[#This Row],[J67]]-F$9)^2</f>
        <v>2.3730495235344563E-5</v>
      </c>
      <c r="R58">
        <f>Table3[[#This Row],[weight]]*(0.9155*Table2[[#This Row],[J67'']]-G$9)^2</f>
        <v>4.1785404043242404E-3</v>
      </c>
      <c r="S58">
        <f>chloroform!J63</f>
        <v>7.8853666299825601E-5</v>
      </c>
      <c r="T58" t="str">
        <f>chloroform!F63</f>
        <v>12C5</v>
      </c>
    </row>
    <row r="59" spans="11:20" x14ac:dyDescent="0.25">
      <c r="K59">
        <f>chloroform!E64</f>
        <v>215</v>
      </c>
      <c r="L59">
        <f>Table3[[#This Row],[weight]]*(0.9155*Table2[[#This Row],[J1,2]]-A$9)^2</f>
        <v>1.3598386272608393E-5</v>
      </c>
      <c r="M59">
        <f>Table3[[#This Row],[weight]]*(0.9155*Table2[[#This Row],[J2,3]]-B$9)^2</f>
        <v>1.1045736819044758E-2</v>
      </c>
      <c r="N59">
        <f>Table3[[#This Row],[weight]]*(0.9155*Table2[[#This Row],[J34]]-C$9)^2</f>
        <v>1.6630534205770351E-2</v>
      </c>
      <c r="O59">
        <f>Table3[[#This Row],[weight]]*(0.9155*Table2[[#This Row],[J45]]-D$9)^2</f>
        <v>2.0878544174352164E-2</v>
      </c>
      <c r="P59">
        <f>Table3[[#This Row],[weight]]*(0.9155*Table2[[#This Row],[J56]]-E$9)^2</f>
        <v>2.1816090200654489E-2</v>
      </c>
      <c r="Q59">
        <f>Table3[[#This Row],[weight]]*(0.9155*Table2[[#This Row],[J67]]-F$9)^2</f>
        <v>5.2684253212543857E-4</v>
      </c>
      <c r="R59">
        <f>Table3[[#This Row],[weight]]*(0.9155*Table2[[#This Row],[J67'']]-G$9)^2</f>
        <v>2.7468668118364185E-2</v>
      </c>
      <c r="S59">
        <f>chloroform!J64</f>
        <v>5.6452163965097087E-4</v>
      </c>
      <c r="T59" t="str">
        <f>chloroform!F64</f>
        <v>12C5</v>
      </c>
    </row>
    <row r="60" spans="11:20" x14ac:dyDescent="0.25">
      <c r="K60">
        <f>chloroform!E65</f>
        <v>219</v>
      </c>
      <c r="L60">
        <f>Table3[[#This Row],[weight]]*(0.9155*Table2[[#This Row],[J1,2]]-A$9)^2</f>
        <v>7.9336440433846533E-6</v>
      </c>
      <c r="M60">
        <f>Table3[[#This Row],[weight]]*(0.9155*Table2[[#This Row],[J2,3]]-B$9)^2</f>
        <v>5.9697799559059082E-4</v>
      </c>
      <c r="N60">
        <f>Table3[[#This Row],[weight]]*(0.9155*Table2[[#This Row],[J34]]-C$9)^2</f>
        <v>1.5430296200785929E-3</v>
      </c>
      <c r="O60">
        <f>Table3[[#This Row],[weight]]*(0.9155*Table2[[#This Row],[J45]]-D$9)^2</f>
        <v>1.0960543661813942E-3</v>
      </c>
      <c r="P60">
        <f>Table3[[#This Row],[weight]]*(0.9155*Table2[[#This Row],[J56]]-E$9)^2</f>
        <v>1.3981187564098864E-3</v>
      </c>
      <c r="Q60">
        <f>Table3[[#This Row],[weight]]*(0.9155*Table2[[#This Row],[J67]]-F$9)^2</f>
        <v>9.3214160455202164E-5</v>
      </c>
      <c r="R60">
        <f>Table3[[#This Row],[weight]]*(0.9155*Table2[[#This Row],[J67'']]-G$9)^2</f>
        <v>2.2350914005478438E-3</v>
      </c>
      <c r="S60">
        <f>chloroform!J65</f>
        <v>4.425759062839742E-5</v>
      </c>
      <c r="T60" t="str">
        <f>chloroform!F65</f>
        <v>12C5</v>
      </c>
    </row>
    <row r="61" spans="11:20" x14ac:dyDescent="0.25">
      <c r="K61">
        <f>chloroform!E66</f>
        <v>220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>
        <f>Table3[[#This Row],[weight]]*(0.9155*Table2[[#This Row],[J1,2]]-A$9)^2</f>
        <v>4.2845575132982911E-6</v>
      </c>
      <c r="M62">
        <f>Table3[[#This Row],[weight]]*(0.9155*Table2[[#This Row],[J2,3]]-B$9)^2</f>
        <v>7.4481224184928868E-3</v>
      </c>
      <c r="N62">
        <f>Table3[[#This Row],[weight]]*(0.9155*Table2[[#This Row],[J34]]-C$9)^2</f>
        <v>1.35812736004796E-2</v>
      </c>
      <c r="O62">
        <f>Table3[[#This Row],[weight]]*(0.9155*Table2[[#This Row],[J45]]-D$9)^2</f>
        <v>1.5674389053149808E-2</v>
      </c>
      <c r="P62">
        <f>Table3[[#This Row],[weight]]*(0.9155*Table2[[#This Row],[J56]]-E$9)^2</f>
        <v>1.5258443545627966E-2</v>
      </c>
      <c r="Q62">
        <f>Table3[[#This Row],[weight]]*(0.9155*Table2[[#This Row],[J67]]-F$9)^2</f>
        <v>5.7532898329925892E-4</v>
      </c>
      <c r="R62">
        <f>Table3[[#This Row],[weight]]*(0.9155*Table2[[#This Row],[J67'']]-G$9)^2</f>
        <v>2.3180637859530832E-2</v>
      </c>
      <c r="S62">
        <f>chloroform!J67</f>
        <v>4.2611597179223275E-4</v>
      </c>
      <c r="T62" t="str">
        <f>chloroform!F67</f>
        <v>12C5</v>
      </c>
    </row>
    <row r="63" spans="11:20" x14ac:dyDescent="0.25">
      <c r="K63">
        <f>chloroform!E68</f>
        <v>272</v>
      </c>
      <c r="L63">
        <f>Table3[[#This Row],[weight]]*(0.9155*Table2[[#This Row],[J1,2]]-A$9)^2</f>
        <v>2.4616404065954203E-4</v>
      </c>
      <c r="M63">
        <f>Table3[[#This Row],[weight]]*(0.9155*Table2[[#This Row],[J2,3]]-B$9)^2</f>
        <v>1.0860725804570526E-5</v>
      </c>
      <c r="N63">
        <f>Table3[[#This Row],[weight]]*(0.9155*Table2[[#This Row],[J34]]-C$9)^2</f>
        <v>4.785773144919564E-4</v>
      </c>
      <c r="O63">
        <f>Table3[[#This Row],[weight]]*(0.9155*Table2[[#This Row],[J45]]-D$9)^2</f>
        <v>7.3265765974159003E-5</v>
      </c>
      <c r="P63">
        <f>Table3[[#This Row],[weight]]*(0.9155*Table2[[#This Row],[J56]]-E$9)^2</f>
        <v>4.2705771546890388E-5</v>
      </c>
      <c r="Q63">
        <f>Table3[[#This Row],[weight]]*(0.9155*Table2[[#This Row],[J67]]-F$9)^2</f>
        <v>2.0548236961046595E-10</v>
      </c>
      <c r="R63">
        <f>Table3[[#This Row],[weight]]*(0.9155*Table2[[#This Row],[J67'']]-G$9)^2</f>
        <v>1.36150932914539E-4</v>
      </c>
      <c r="S63">
        <f>chloroform!J68</f>
        <v>4.9881189024096471E-5</v>
      </c>
      <c r="T63" t="str">
        <f>chloroform!F68</f>
        <v>5C12</v>
      </c>
    </row>
    <row r="64" spans="11:20" x14ac:dyDescent="0.25">
      <c r="K64">
        <f>chloroform!E69</f>
        <v>276</v>
      </c>
      <c r="L64">
        <f>Table3[[#This Row],[weight]]*(0.9155*Table2[[#This Row],[J1,2]]-A$9)^2</f>
        <v>0</v>
      </c>
      <c r="M64">
        <f>Table3[[#This Row],[weight]]*(0.9155*Table2[[#This Row],[J2,3]]-B$9)^2</f>
        <v>0</v>
      </c>
      <c r="N64">
        <f>Table3[[#This Row],[weight]]*(0.9155*Table2[[#This Row],[J34]]-C$9)^2</f>
        <v>0</v>
      </c>
      <c r="O64">
        <f>Table3[[#This Row],[weight]]*(0.9155*Table2[[#This Row],[J45]]-D$9)^2</f>
        <v>0</v>
      </c>
      <c r="P64">
        <f>Table3[[#This Row],[weight]]*(0.9155*Table2[[#This Row],[J56]]-E$9)^2</f>
        <v>0</v>
      </c>
      <c r="Q64">
        <f>Table3[[#This Row],[weight]]*(0.9155*Table2[[#This Row],[J67]]-F$9)^2</f>
        <v>0</v>
      </c>
      <c r="R64">
        <f>Table3[[#This Row],[weight]]*(0.9155*Table2[[#This Row],[J67'']]-G$9)^2</f>
        <v>0</v>
      </c>
      <c r="S64">
        <f>chloroform!J69</f>
        <v>0</v>
      </c>
      <c r="T64" t="str">
        <f>chloroform!F69</f>
        <v>4H6</v>
      </c>
    </row>
    <row r="65" spans="11:20" x14ac:dyDescent="0.25">
      <c r="K65">
        <f>chloroform!E70</f>
        <v>278</v>
      </c>
      <c r="L65">
        <f>Table3[[#This Row],[weight]]*(0.9155*Table2[[#This Row],[J1,2]]-A$9)^2</f>
        <v>1.0930447555417601E-6</v>
      </c>
      <c r="M65">
        <f>Table3[[#This Row],[weight]]*(0.9155*Table2[[#This Row],[J2,3]]-B$9)^2</f>
        <v>2.6022298974502304E-6</v>
      </c>
      <c r="N65">
        <f>Table3[[#This Row],[weight]]*(0.9155*Table2[[#This Row],[J34]]-C$9)^2</f>
        <v>2.752568079861885E-5</v>
      </c>
      <c r="O65">
        <f>Table3[[#This Row],[weight]]*(0.9155*Table2[[#This Row],[J45]]-D$9)^2</f>
        <v>6.4255269740063192E-6</v>
      </c>
      <c r="P65">
        <f>Table3[[#This Row],[weight]]*(0.9155*Table2[[#This Row],[J56]]-E$9)^2</f>
        <v>2.7259595925876594E-6</v>
      </c>
      <c r="Q65">
        <f>Table3[[#This Row],[weight]]*(0.9155*Table2[[#This Row],[J67]]-F$9)^2</f>
        <v>2.4224064636121181E-3</v>
      </c>
      <c r="R65">
        <f>Table3[[#This Row],[weight]]*(0.9155*Table2[[#This Row],[J67'']]-G$9)^2</f>
        <v>6.4044626934992702E-5</v>
      </c>
      <c r="S65">
        <f>chloroform!J70</f>
        <v>4.7629892029221072E-5</v>
      </c>
      <c r="T65" t="str">
        <f>chloroform!F70</f>
        <v>5C12</v>
      </c>
    </row>
    <row r="66" spans="11:20" x14ac:dyDescent="0.25">
      <c r="K66">
        <f>chloroform!E71</f>
        <v>283</v>
      </c>
      <c r="L66">
        <f>Table3[[#This Row],[weight]]*(0.9155*Table2[[#This Row],[J1,2]]-A$9)^2</f>
        <v>2.3717326316782168E-4</v>
      </c>
      <c r="M66">
        <f>Table3[[#This Row],[weight]]*(0.9155*Table2[[#This Row],[J2,3]]-B$9)^2</f>
        <v>3.4509082876763981E-6</v>
      </c>
      <c r="N66">
        <f>Table3[[#This Row],[weight]]*(0.9155*Table2[[#This Row],[J34]]-C$9)^2</f>
        <v>1.9635838332710342E-4</v>
      </c>
      <c r="O66">
        <f>Table3[[#This Row],[weight]]*(0.9155*Table2[[#This Row],[J45]]-D$9)^2</f>
        <v>1.014608171939534E-4</v>
      </c>
      <c r="P66">
        <f>Table3[[#This Row],[weight]]*(0.9155*Table2[[#This Row],[J56]]-E$9)^2</f>
        <v>1.9309465365516682E-5</v>
      </c>
      <c r="Q66">
        <f>Table3[[#This Row],[weight]]*(0.9155*Table2[[#This Row],[J67]]-F$9)^2</f>
        <v>3.2880145720014429E-3</v>
      </c>
      <c r="R66">
        <f>Table3[[#This Row],[weight]]*(0.9155*Table2[[#This Row],[J67'']]-G$9)^2</f>
        <v>5.4326198432021792E-5</v>
      </c>
      <c r="S66">
        <f>chloroform!J71</f>
        <v>5.1523839288763394E-5</v>
      </c>
      <c r="T66" t="str">
        <f>chloroform!F71</f>
        <v>5C12</v>
      </c>
    </row>
    <row r="67" spans="11:20" x14ac:dyDescent="0.25">
      <c r="K67">
        <f>chloroform!E72</f>
        <v>290</v>
      </c>
      <c r="L67">
        <f>Table3[[#This Row],[weight]]*(0.9155*Table2[[#This Row],[J1,2]]-A$9)^2</f>
        <v>0</v>
      </c>
      <c r="M67">
        <f>Table3[[#This Row],[weight]]*(0.9155*Table2[[#This Row],[J2,3]]-B$9)^2</f>
        <v>0</v>
      </c>
      <c r="N67">
        <f>Table3[[#This Row],[weight]]*(0.9155*Table2[[#This Row],[J34]]-C$9)^2</f>
        <v>0</v>
      </c>
      <c r="O67">
        <f>Table3[[#This Row],[weight]]*(0.9155*Table2[[#This Row],[J45]]-D$9)^2</f>
        <v>0</v>
      </c>
      <c r="P67">
        <f>Table3[[#This Row],[weight]]*(0.9155*Table2[[#This Row],[J56]]-E$9)^2</f>
        <v>0</v>
      </c>
      <c r="Q67">
        <f>Table3[[#This Row],[weight]]*(0.9155*Table2[[#This Row],[J67]]-F$9)^2</f>
        <v>0</v>
      </c>
      <c r="R67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>
        <f>Table3[[#This Row],[weight]]*(0.9155*Table2[[#This Row],[J1,2]]-A$9)^2</f>
        <v>0</v>
      </c>
      <c r="M68">
        <f>Table3[[#This Row],[weight]]*(0.9155*Table2[[#This Row],[J2,3]]-B$9)^2</f>
        <v>0</v>
      </c>
      <c r="N68">
        <f>Table3[[#This Row],[weight]]*(0.9155*Table2[[#This Row],[J34]]-C$9)^2</f>
        <v>0</v>
      </c>
      <c r="O68">
        <f>Table3[[#This Row],[weight]]*(0.9155*Table2[[#This Row],[J45]]-D$9)^2</f>
        <v>0</v>
      </c>
      <c r="P68">
        <f>Table3[[#This Row],[weight]]*(0.9155*Table2[[#This Row],[J56]]-E$9)^2</f>
        <v>0</v>
      </c>
      <c r="Q68">
        <f>Table3[[#This Row],[weight]]*(0.9155*Table2[[#This Row],[J67]]-F$9)^2</f>
        <v>0</v>
      </c>
      <c r="R68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>
        <f>Table3[[#This Row],[weight]]*(0.9155*Table2[[#This Row],[J1,2]]-A$9)^2</f>
        <v>0</v>
      </c>
      <c r="M69">
        <f>Table3[[#This Row],[weight]]*(0.9155*Table2[[#This Row],[J2,3]]-B$9)^2</f>
        <v>0</v>
      </c>
      <c r="N69">
        <f>Table3[[#This Row],[weight]]*(0.9155*Table2[[#This Row],[J34]]-C$9)^2</f>
        <v>0</v>
      </c>
      <c r="O69">
        <f>Table3[[#This Row],[weight]]*(0.9155*Table2[[#This Row],[J45]]-D$9)^2</f>
        <v>0</v>
      </c>
      <c r="P69">
        <f>Table3[[#This Row],[weight]]*(0.9155*Table2[[#This Row],[J56]]-E$9)^2</f>
        <v>0</v>
      </c>
      <c r="Q69">
        <f>Table3[[#This Row],[weight]]*(0.9155*Table2[[#This Row],[J67]]-F$9)^2</f>
        <v>0</v>
      </c>
      <c r="R69">
        <f>Table3[[#This Row],[weight]]*(0.9155*Table2[[#This Row],[J67'']]-G$9)^2</f>
        <v>0</v>
      </c>
      <c r="S69">
        <f>chloroform!J74</f>
        <v>0</v>
      </c>
      <c r="T69" t="str">
        <f>chloroform!F74</f>
        <v>4H6</v>
      </c>
    </row>
    <row r="70" spans="11:20" x14ac:dyDescent="0.25">
      <c r="K70">
        <f>chloroform!E75</f>
        <v>396</v>
      </c>
      <c r="L70">
        <f>Table3[[#This Row],[weight]]*(0.9155*Table2[[#This Row],[J1,2]]-A$9)^2</f>
        <v>0</v>
      </c>
      <c r="M70">
        <f>Table3[[#This Row],[weight]]*(0.9155*Table2[[#This Row],[J2,3]]-B$9)^2</f>
        <v>0</v>
      </c>
      <c r="N70">
        <f>Table3[[#This Row],[weight]]*(0.9155*Table2[[#This Row],[J34]]-C$9)^2</f>
        <v>0</v>
      </c>
      <c r="O70">
        <f>Table3[[#This Row],[weight]]*(0.9155*Table2[[#This Row],[J45]]-D$9)^2</f>
        <v>0</v>
      </c>
      <c r="P70">
        <f>Table3[[#This Row],[weight]]*(0.9155*Table2[[#This Row],[J56]]-E$9)^2</f>
        <v>0</v>
      </c>
      <c r="Q70">
        <f>Table3[[#This Row],[weight]]*(0.9155*Table2[[#This Row],[J67]]-F$9)^2</f>
        <v>0</v>
      </c>
      <c r="R70">
        <f>Table3[[#This Row],[weight]]*(0.9155*Table2[[#This Row],[J67'']]-G$9)^2</f>
        <v>0</v>
      </c>
      <c r="S70">
        <f>chloroform!J75</f>
        <v>0</v>
      </c>
      <c r="T70" t="str">
        <f>chloroform!F75</f>
        <v>4H6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C877-BDD3-45E1-BA89-4846EDD764E0}">
  <dimension ref="A1:T70"/>
  <sheetViews>
    <sheetView workbookViewId="0">
      <selection activeCell="N74" sqref="N74"/>
    </sheetView>
  </sheetViews>
  <sheetFormatPr defaultRowHeight="15" x14ac:dyDescent="0.25"/>
  <cols>
    <col min="1" max="1" width="14.5703125" customWidth="1"/>
    <col min="11" max="11" width="10.5703125" customWidth="1"/>
    <col min="20" max="20" width="14" customWidth="1"/>
  </cols>
  <sheetData>
    <row r="1" spans="1:20" x14ac:dyDescent="0.25">
      <c r="A1" t="s">
        <v>77</v>
      </c>
      <c r="B1">
        <f>SUMIF(Table1[Classification],E1,Table1[weight])</f>
        <v>0.63222900898975809</v>
      </c>
      <c r="D1" t="s">
        <v>11</v>
      </c>
      <c r="E1" t="s">
        <v>17</v>
      </c>
      <c r="G1">
        <f>COUNTIF(Table3[classification],E1)</f>
        <v>17</v>
      </c>
      <c r="K1" t="s">
        <v>76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74</v>
      </c>
      <c r="S1" t="s">
        <v>15</v>
      </c>
      <c r="T1" t="s">
        <v>75</v>
      </c>
    </row>
    <row r="2" spans="1:20" x14ac:dyDescent="0.25">
      <c r="K2">
        <f>chloroform!E7</f>
        <v>2</v>
      </c>
      <c r="L2">
        <f>Table3[[#This Row],[weight]]*(0.9155*Table2[[#This Row],[J1,2]]-A$9)^2</f>
        <v>8.81264655041123E-4</v>
      </c>
      <c r="M2">
        <f>Table3[[#This Row],[weight]]*(0.9155*Table2[[#This Row],[J2,3]]-B$9)^2</f>
        <v>7.6763997667126724E-5</v>
      </c>
      <c r="N2">
        <f>Table3[[#This Row],[weight]]*(0.9155*Table2[[#This Row],[J34]]-C$9)^2</f>
        <v>5.275106182246349E-3</v>
      </c>
      <c r="O2">
        <f>Table3[[#This Row],[weight]]*(0.9155*Table2[[#This Row],[J45]]-D$9)^2</f>
        <v>2.8422959584985183E-3</v>
      </c>
      <c r="P2">
        <f>Table3[[#This Row],[weight]]*(0.9155*Table2[[#This Row],[J56]]-E$9)^2</f>
        <v>9.8045399272150618E-4</v>
      </c>
      <c r="Q2">
        <f>Table3[[#This Row],[weight]]*(0.9155*Table2[[#This Row],[J67]]-F$9)^2</f>
        <v>8.0926334467002851E-6</v>
      </c>
      <c r="R2">
        <f>Table3[[#This Row],[weight]]*(0.9155*Table2[[#This Row],[J67'']]-G$9)^2</f>
        <v>0.54138310653646915</v>
      </c>
      <c r="S2">
        <f>chloroform!J7</f>
        <v>1.9326078955663063E-2</v>
      </c>
      <c r="T2" t="str">
        <f>chloroform!F7</f>
        <v>4H6</v>
      </c>
    </row>
    <row r="3" spans="1:20" x14ac:dyDescent="0.25">
      <c r="A3" t="s">
        <v>91</v>
      </c>
      <c r="K3">
        <f>chloroform!E8</f>
        <v>3</v>
      </c>
      <c r="L3">
        <f>Table3[[#This Row],[weight]]*(0.9155*Table2[[#This Row],[J1,2]]-A$9)^2</f>
        <v>1.5833022287908767E-4</v>
      </c>
      <c r="M3">
        <f>Table3[[#This Row],[weight]]*(0.9155*Table2[[#This Row],[J2,3]]-B$9)^2</f>
        <v>4.8502004955346019E-3</v>
      </c>
      <c r="N3">
        <f>Table3[[#This Row],[weight]]*(0.9155*Table2[[#This Row],[J34]]-C$9)^2</f>
        <v>1.6680157986369449E-5</v>
      </c>
      <c r="O3">
        <f>Table3[[#This Row],[weight]]*(0.9155*Table2[[#This Row],[J45]]-D$9)^2</f>
        <v>7.5563853737048404E-5</v>
      </c>
      <c r="P3">
        <f>Table3[[#This Row],[weight]]*(0.9155*Table2[[#This Row],[J56]]-E$9)^2</f>
        <v>1.7076511414319229E-3</v>
      </c>
      <c r="Q3">
        <f>Table3[[#This Row],[weight]]*(0.9155*Table2[[#This Row],[J67]]-F$9)^2</f>
        <v>6.6450093299644318E-4</v>
      </c>
      <c r="R3">
        <f>Table3[[#This Row],[weight]]*(0.9155*Table2[[#This Row],[J67'']]-G$9)^2</f>
        <v>0.69575725353373252</v>
      </c>
      <c r="S3">
        <f>chloroform!J8</f>
        <v>2.5992690474494064E-2</v>
      </c>
      <c r="T3" t="str">
        <f>chloroform!F8</f>
        <v>4H6</v>
      </c>
    </row>
    <row r="4" spans="1:20" x14ac:dyDescent="0.25">
      <c r="A4" t="s">
        <v>67</v>
      </c>
      <c r="B4" t="s">
        <v>68</v>
      </c>
      <c r="C4" t="s">
        <v>69</v>
      </c>
      <c r="D4" t="s">
        <v>70</v>
      </c>
      <c r="E4" t="s">
        <v>71</v>
      </c>
      <c r="F4" t="s">
        <v>72</v>
      </c>
      <c r="G4" t="s">
        <v>74</v>
      </c>
      <c r="K4">
        <f>chloroform!E9</f>
        <v>4</v>
      </c>
      <c r="L4">
        <f>Table3[[#This Row],[weight]]*(0.9155*Table2[[#This Row],[J1,2]]-A$9)^2</f>
        <v>1.9043131161494836E-4</v>
      </c>
      <c r="M4">
        <f>Table3[[#This Row],[weight]]*(0.9155*Table2[[#This Row],[J2,3]]-B$9)^2</f>
        <v>5.2226374498081799E-3</v>
      </c>
      <c r="N4">
        <f>Table3[[#This Row],[weight]]*(0.9155*Table2[[#This Row],[J34]]-C$9)^2</f>
        <v>1.133390417495829E-2</v>
      </c>
      <c r="O4">
        <f>Table3[[#This Row],[weight]]*(0.9155*Table2[[#This Row],[J45]]-D$9)^2</f>
        <v>9.2941577026610782E-5</v>
      </c>
      <c r="P4">
        <f>Table3[[#This Row],[weight]]*(0.9155*Table2[[#This Row],[J56]]-E$9)^2</f>
        <v>1.0674521976847455E-3</v>
      </c>
      <c r="Q4">
        <f>Table3[[#This Row],[weight]]*(0.9155*Table2[[#This Row],[J67]]-F$9)^2</f>
        <v>1.7860112700671643E-2</v>
      </c>
      <c r="R4">
        <f>Table3[[#This Row],[weight]]*(0.9155*Table2[[#This Row],[J67'']]-G$9)^2</f>
        <v>0.12063132274000093</v>
      </c>
      <c r="S4">
        <f>chloroform!J9</f>
        <v>8.9978232529870944E-2</v>
      </c>
      <c r="T4" t="str">
        <f>chloroform!F9</f>
        <v>4H6</v>
      </c>
    </row>
    <row r="5" spans="1:20" x14ac:dyDescent="0.25">
      <c r="A5">
        <f>SUMIF(Table1[Classification],E1,Table2[J1,23])/$B$1</f>
        <v>7.2418345143464382</v>
      </c>
      <c r="B5">
        <f>SUMIF(Table1[Classification],E1,Table2[J2,34])/$B$1</f>
        <v>7.9244226383806504</v>
      </c>
      <c r="C5">
        <f>SUMIF(Table1[Classification],E1,Table2[J345])/$B$1</f>
        <v>5.42097720934827</v>
      </c>
      <c r="D5">
        <f>SUMIF(Table1[Classification],E1,Table2[J456])/$B$1</f>
        <v>0.45967779083552412</v>
      </c>
      <c r="E5">
        <f>SUMIF(Table1[Classification],E1,Table2[J567])/$B$1</f>
        <v>10.863297962344253</v>
      </c>
      <c r="F5">
        <f>SUMIF(Table1[Classification],E1,Table2[J678])/$B$1</f>
        <v>1.3280683230339732</v>
      </c>
      <c r="G5">
        <f>SUMIF(Table1[Classification],E1,Table2[J67''9])/$B$1</f>
        <v>4.1488125374014491</v>
      </c>
      <c r="K5">
        <f>chloroform!E10</f>
        <v>6</v>
      </c>
      <c r="L5">
        <f>Table3[[#This Row],[weight]]*(0.9155*Table2[[#This Row],[J1,2]]-A$9)^2</f>
        <v>2.1154737274359904E-3</v>
      </c>
      <c r="M5">
        <f>Table3[[#This Row],[weight]]*(0.9155*Table2[[#This Row],[J2,3]]-B$9)^2</f>
        <v>9.9865210904623715E-4</v>
      </c>
      <c r="N5">
        <f>Table3[[#This Row],[weight]]*(0.9155*Table2[[#This Row],[J34]]-C$9)^2</f>
        <v>1.3449097366137532E-2</v>
      </c>
      <c r="O5">
        <f>Table3[[#This Row],[weight]]*(0.9155*Table2[[#This Row],[J45]]-D$9)^2</f>
        <v>4.8142694546316799E-3</v>
      </c>
      <c r="P5">
        <f>Table3[[#This Row],[weight]]*(0.9155*Table2[[#This Row],[J56]]-E$9)^2</f>
        <v>5.7784855636676099E-4</v>
      </c>
      <c r="Q5">
        <f>Table3[[#This Row],[weight]]*(0.9155*Table2[[#This Row],[J67]]-F$9)^2</f>
        <v>1.050008043865802E-2</v>
      </c>
      <c r="R5">
        <f>Table3[[#This Row],[weight]]*(0.9155*Table2[[#This Row],[J67'']]-G$9)^2</f>
        <v>0.46471419011361292</v>
      </c>
      <c r="S5">
        <f>chloroform!J10</f>
        <v>0.19168619495999895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4.5524845815579449E-3</v>
      </c>
      <c r="M6">
        <f>Table3[[#This Row],[weight]]*(0.9155*Table2[[#This Row],[J2,3]]-B$9)^2</f>
        <v>9.53484637398592E-3</v>
      </c>
      <c r="N6">
        <f>Table3[[#This Row],[weight]]*(0.9155*Table2[[#This Row],[J34]]-C$9)^2</f>
        <v>8.2005598404137292E-2</v>
      </c>
      <c r="O6">
        <f>Table3[[#This Row],[weight]]*(0.9155*Table2[[#This Row],[J45]]-D$9)^2</f>
        <v>0.33307641015499867</v>
      </c>
      <c r="P6">
        <f>Table3[[#This Row],[weight]]*(0.9155*Table2[[#This Row],[J56]]-E$9)^2</f>
        <v>6.4956602792080015E-2</v>
      </c>
      <c r="Q6">
        <f>Table3[[#This Row],[weight]]*(0.9155*Table2[[#This Row],[J67]]-F$9)^2</f>
        <v>6.6543296751665477E-4</v>
      </c>
      <c r="R6">
        <f>Table3[[#This Row],[weight]]*(0.9155*Table2[[#This Row],[J67'']]-G$9)^2</f>
        <v>4.2037427485595261E-2</v>
      </c>
      <c r="S6">
        <f>chloroform!J11</f>
        <v>1.0782558885098603E-2</v>
      </c>
      <c r="T6" t="str">
        <f>chloroform!F11</f>
        <v>45TH</v>
      </c>
    </row>
    <row r="7" spans="1:20" x14ac:dyDescent="0.25">
      <c r="A7" t="s">
        <v>92</v>
      </c>
      <c r="K7">
        <f>chloroform!E12</f>
        <v>8</v>
      </c>
      <c r="L7">
        <f>Table3[[#This Row],[weight]]*(0.9155*Table2[[#This Row],[J1,2]]-A$9)^2</f>
        <v>1.3897901124706321E-3</v>
      </c>
      <c r="M7">
        <f>Table3[[#This Row],[weight]]*(0.9155*Table2[[#This Row],[J2,3]]-B$9)^2</f>
        <v>1.4533913346310079E-2</v>
      </c>
      <c r="N7">
        <f>Table3[[#This Row],[weight]]*(0.9155*Table2[[#This Row],[J34]]-C$9)^2</f>
        <v>1.0470624670899018E-2</v>
      </c>
      <c r="O7">
        <f>Table3[[#This Row],[weight]]*(0.9155*Table2[[#This Row],[J45]]-D$9)^2</f>
        <v>1.978515229073695E-4</v>
      </c>
      <c r="P7">
        <f>Table3[[#This Row],[weight]]*(0.9155*Table2[[#This Row],[J56]]-E$9)^2</f>
        <v>1.2780512770868304E-3</v>
      </c>
      <c r="Q7">
        <f>Table3[[#This Row],[weight]]*(0.9155*Table2[[#This Row],[J67]]-F$9)^2</f>
        <v>3.6013548090336653E-4</v>
      </c>
      <c r="R7">
        <f>Table3[[#This Row],[weight]]*(0.9155*Table2[[#This Row],[J67'']]-G$9)^2</f>
        <v>0.25212537293527676</v>
      </c>
      <c r="S7">
        <f>chloroform!J12</f>
        <v>8.3702807101061455E-2</v>
      </c>
      <c r="T7" t="str">
        <f>chloroform!F12</f>
        <v>4H6</v>
      </c>
    </row>
    <row r="8" spans="1:20" x14ac:dyDescent="0.25">
      <c r="A8" t="s">
        <v>67</v>
      </c>
      <c r="B8" t="s">
        <v>68</v>
      </c>
      <c r="C8" t="s">
        <v>69</v>
      </c>
      <c r="D8" t="s">
        <v>70</v>
      </c>
      <c r="E8" t="s">
        <v>71</v>
      </c>
      <c r="F8" t="s">
        <v>72</v>
      </c>
      <c r="G8" t="s">
        <v>74</v>
      </c>
      <c r="K8">
        <f>chloroform!E13</f>
        <v>9</v>
      </c>
      <c r="L8">
        <f>Table3[[#This Row],[weight]]*(0.9155*Table2[[#This Row],[J1,2]]-A$9)^2</f>
        <v>5.9564295007318892E-4</v>
      </c>
      <c r="M8">
        <f>Table3[[#This Row],[weight]]*(0.9155*Table2[[#This Row],[J2,3]]-B$9)^2</f>
        <v>3.3967852999855884E-6</v>
      </c>
      <c r="N8">
        <f>Table3[[#This Row],[weight]]*(0.9155*Table2[[#This Row],[J34]]-C$9)^2</f>
        <v>6.1666922468329131E-3</v>
      </c>
      <c r="O8">
        <f>Table3[[#This Row],[weight]]*(0.9155*Table2[[#This Row],[J45]]-D$9)^2</f>
        <v>2.6406985227675254E-3</v>
      </c>
      <c r="P8">
        <f>Table3[[#This Row],[weight]]*(0.9155*Table2[[#This Row],[J56]]-E$9)^2</f>
        <v>2.6384454748726213E-4</v>
      </c>
      <c r="Q8">
        <f>Table3[[#This Row],[weight]]*(0.9155*Table2[[#This Row],[J67]]-F$9)^2</f>
        <v>2.5779403957888414E-2</v>
      </c>
      <c r="R8">
        <f>Table3[[#This Row],[weight]]*(0.9155*Table2[[#This Row],[J67'']]-G$9)^2</f>
        <v>0.21359825839167892</v>
      </c>
      <c r="S8">
        <f>chloroform!J13</f>
        <v>2.3405625614782842E-2</v>
      </c>
      <c r="T8" t="str">
        <f>chloroform!F13</f>
        <v>4H6</v>
      </c>
    </row>
    <row r="9" spans="1:20" x14ac:dyDescent="0.25">
      <c r="A9">
        <f>A5</f>
        <v>7.2418345143464382</v>
      </c>
      <c r="B9">
        <f t="shared" ref="B9:G9" si="0">B5</f>
        <v>7.9244226383806504</v>
      </c>
      <c r="C9">
        <f>C5</f>
        <v>5.42097720934827</v>
      </c>
      <c r="D9">
        <f t="shared" si="0"/>
        <v>0.45967779083552412</v>
      </c>
      <c r="E9">
        <f t="shared" si="0"/>
        <v>10.863297962344253</v>
      </c>
      <c r="F9">
        <f t="shared" si="0"/>
        <v>1.3280683230339732</v>
      </c>
      <c r="G9">
        <f t="shared" si="0"/>
        <v>4.1488125374014491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1.4227422744937029E-2</v>
      </c>
      <c r="M10">
        <f>Table3[[#This Row],[weight]]*(0.9155*Table2[[#This Row],[J2,3]]-B$9)^2</f>
        <v>5.4370948201113252E-3</v>
      </c>
      <c r="N10">
        <f>Table3[[#This Row],[weight]]*(0.9155*Table2[[#This Row],[J34]]-C$9)^2</f>
        <v>0.31125804642001198</v>
      </c>
      <c r="O10">
        <f>Table3[[#This Row],[weight]]*(0.9155*Table2[[#This Row],[J45]]-D$9)^2</f>
        <v>0.7561820723659447</v>
      </c>
      <c r="P10">
        <f>Table3[[#This Row],[weight]]*(0.9155*Table2[[#This Row],[J56]]-E$9)^2</f>
        <v>0.11672271573046542</v>
      </c>
      <c r="Q10">
        <f>Table3[[#This Row],[weight]]*(0.9155*Table2[[#This Row],[J67]]-F$9)^2</f>
        <v>5.3319480806673175E-2</v>
      </c>
      <c r="R10">
        <f>Table3[[#This Row],[weight]]*(0.9155*Table2[[#This Row],[J67'']]-G$9)^2</f>
        <v>1.1340400947565121</v>
      </c>
      <c r="S10">
        <f>chloroform!J15</f>
        <v>2.6673295322250507E-2</v>
      </c>
      <c r="T10" t="str">
        <f>chloroform!F15</f>
        <v>45TH</v>
      </c>
    </row>
    <row r="11" spans="1:20" x14ac:dyDescent="0.25">
      <c r="A11" t="s">
        <v>93</v>
      </c>
      <c r="K11">
        <f>chloroform!E16</f>
        <v>16</v>
      </c>
      <c r="L11">
        <f>Table3[[#This Row],[weight]]*(0.9155*Table2[[#This Row],[J1,2]]-A$9)^2</f>
        <v>4.3057803661373271E-7</v>
      </c>
      <c r="M11">
        <f>Table3[[#This Row],[weight]]*(0.9155*Table2[[#This Row],[J2,3]]-B$9)^2</f>
        <v>2.5843549628251183E-3</v>
      </c>
      <c r="N11">
        <f>Table3[[#This Row],[weight]]*(0.9155*Table2[[#This Row],[J34]]-C$9)^2</f>
        <v>1.0214627228533407E-3</v>
      </c>
      <c r="O11">
        <f>Table3[[#This Row],[weight]]*(0.9155*Table2[[#This Row],[J45]]-D$9)^2</f>
        <v>7.0039306854820162E-4</v>
      </c>
      <c r="P11">
        <f>Table3[[#This Row],[weight]]*(0.9155*Table2[[#This Row],[J56]]-E$9)^2</f>
        <v>1.6186636176975772E-4</v>
      </c>
      <c r="Q11">
        <f>Table3[[#This Row],[weight]]*(0.9155*Table2[[#This Row],[J67]]-F$9)^2</f>
        <v>3.6879151602410051E-2</v>
      </c>
      <c r="R11">
        <f>Table3[[#This Row],[weight]]*(0.9155*Table2[[#This Row],[J67'']]-G$9)^2</f>
        <v>0.40656282119239345</v>
      </c>
      <c r="S11">
        <f>chloroform!J16</f>
        <v>4.8616292036398993E-2</v>
      </c>
      <c r="T11" t="str">
        <f>chloroform!F16</f>
        <v>4H6</v>
      </c>
    </row>
    <row r="12" spans="1:20" x14ac:dyDescent="0.25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  <c r="G12" t="s">
        <v>74</v>
      </c>
      <c r="K12">
        <f>chloroform!E17</f>
        <v>17</v>
      </c>
      <c r="L12">
        <f>Table3[[#This Row],[weight]]*(0.9155*Table2[[#This Row],[J1,2]]-A$9)^2</f>
        <v>6.8316867921613011E-2</v>
      </c>
      <c r="M12">
        <f>Table3[[#This Row],[weight]]*(0.9155*Table2[[#This Row],[J2,3]]-B$9)^2</f>
        <v>2.87143835572066E-2</v>
      </c>
      <c r="N12">
        <f>Table3[[#This Row],[weight]]*(0.9155*Table2[[#This Row],[J34]]-C$9)^2</f>
        <v>1.30227946956273</v>
      </c>
      <c r="O12">
        <f>Table3[[#This Row],[weight]]*(0.9155*Table2[[#This Row],[J45]]-D$9)^2</f>
        <v>2.994381454962221</v>
      </c>
      <c r="P12">
        <f>Table3[[#This Row],[weight]]*(0.9155*Table2[[#This Row],[J56]]-E$9)^2</f>
        <v>0.24290750078603465</v>
      </c>
      <c r="Q12">
        <f>Table3[[#This Row],[weight]]*(0.9155*Table2[[#This Row],[J67]]-F$9)^2</f>
        <v>3.7933589683202713E-2</v>
      </c>
      <c r="R12">
        <f>Table3[[#This Row],[weight]]*(0.9155*Table2[[#This Row],[J67'']]-G$9)^2</f>
        <v>0.70382034078934097</v>
      </c>
      <c r="S12">
        <f>chloroform!J17</f>
        <v>0.12189078843388949</v>
      </c>
      <c r="T12" t="str">
        <f>chloroform!F17</f>
        <v>45TH</v>
      </c>
    </row>
    <row r="13" spans="1:20" x14ac:dyDescent="0.25">
      <c r="A13">
        <f>SQRT(SUMIF($T$2:$T$46,$E$1,L$2:L$46)/(($G$1-1)*$B$1/$G$1))</f>
        <v>0.11437926495464459</v>
      </c>
      <c r="B13">
        <f>SQRT(SUMIF($T$2:$T$46,$E$1,M$2:M$46)/(($G$1-1)*$B$1/$G$1))</f>
        <v>0.24683808377969929</v>
      </c>
      <c r="C13">
        <f>SQRT(SUMIF($T$2:$T$46,$E$1,N$2:N$46)/(($G$1-1)*$B$1/$G$1))</f>
        <v>0.33302556374555642</v>
      </c>
      <c r="D13">
        <f t="shared" ref="D13:F13" si="1">SQRT(SUMIF($T$2:$T$46,$E$1,O$2:O$46)/(($G$1-1)*$B$1/$G$1))</f>
        <v>0.18599537554841336</v>
      </c>
      <c r="E13">
        <f t="shared" si="1"/>
        <v>0.18329487589217028</v>
      </c>
      <c r="F13">
        <f t="shared" si="1"/>
        <v>0.66515820643310586</v>
      </c>
      <c r="G13">
        <f>SQRT(SUMIF($T$2:$T$46,$E$1,R$2:R$46)/(($G$1-1)*$B$1/$G$1))</f>
        <v>3.3255857797398414</v>
      </c>
      <c r="K13">
        <f>chloroform!E18</f>
        <v>19</v>
      </c>
      <c r="L13">
        <f>Table3[[#This Row],[weight]]*(0.9155*Table2[[#This Row],[J1,2]]-A$9)^2</f>
        <v>2.0400145240323081E-3</v>
      </c>
      <c r="M13">
        <f>Table3[[#This Row],[weight]]*(0.9155*Table2[[#This Row],[J2,3]]-B$9)^2</f>
        <v>0.10785818214147289</v>
      </c>
      <c r="N13">
        <f>Table3[[#This Row],[weight]]*(0.9155*Table2[[#This Row],[J34]]-C$9)^2</f>
        <v>9.0032937481072814E-2</v>
      </c>
      <c r="O13">
        <f>Table3[[#This Row],[weight]]*(0.9155*Table2[[#This Row],[J45]]-D$9)^2</f>
        <v>0.18983598142124503</v>
      </c>
      <c r="P13">
        <f>Table3[[#This Row],[weight]]*(0.9155*Table2[[#This Row],[J56]]-E$9)^2</f>
        <v>0.3298324087760926</v>
      </c>
      <c r="Q13">
        <f>Table3[[#This Row],[weight]]*(0.9155*Table2[[#This Row],[J67]]-F$9)^2</f>
        <v>0.31202638593074783</v>
      </c>
      <c r="R13">
        <f>Table3[[#This Row],[weight]]*(0.9155*Table2[[#This Row],[J67'']]-G$9)^2</f>
        <v>5.2787758870197618E-3</v>
      </c>
      <c r="S13">
        <f>chloroform!J18</f>
        <v>2.9215514810765719E-3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3.0094866318225455E-4</v>
      </c>
      <c r="M14">
        <f>Table3[[#This Row],[weight]]*(0.9155*Table2[[#This Row],[J2,3]]-B$9)^2</f>
        <v>3.9525139834829353E-4</v>
      </c>
      <c r="N14">
        <f>Table3[[#This Row],[weight]]*(0.9155*Table2[[#This Row],[J34]]-C$9)^2</f>
        <v>8.9235791803542741E-3</v>
      </c>
      <c r="O14">
        <f>Table3[[#This Row],[weight]]*(0.9155*Table2[[#This Row],[J45]]-D$9)^2</f>
        <v>3.4157023673129015E-3</v>
      </c>
      <c r="P14">
        <f>Table3[[#This Row],[weight]]*(0.9155*Table2[[#This Row],[J56]]-E$9)^2</f>
        <v>2.2836314625573548E-4</v>
      </c>
      <c r="Q14">
        <f>Table3[[#This Row],[weight]]*(0.9155*Table2[[#This Row],[J67]]-F$9)^2</f>
        <v>6.2580576562975424E-3</v>
      </c>
      <c r="R14">
        <f>Table3[[#This Row],[weight]]*(0.9155*Table2[[#This Row],[J67'']]-G$9)^2</f>
        <v>0.19245878061695781</v>
      </c>
      <c r="S14">
        <f>chloroform!J19</f>
        <v>3.9576682262289983E-2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3.1115965624831874E-4</v>
      </c>
      <c r="M15">
        <f>Table3[[#This Row],[weight]]*(0.9155*Table2[[#This Row],[J2,3]]-B$9)^2</f>
        <v>3.2504379965875639E-3</v>
      </c>
      <c r="N15">
        <f>Table3[[#This Row],[weight]]*(0.9155*Table2[[#This Row],[J34]]-C$9)^2</f>
        <v>1.9054218804160069E-4</v>
      </c>
      <c r="O15">
        <f>Table3[[#This Row],[weight]]*(0.9155*Table2[[#This Row],[J45]]-D$9)^2</f>
        <v>1.1075596473435464E-4</v>
      </c>
      <c r="P15">
        <f>Table3[[#This Row],[weight]]*(0.9155*Table2[[#This Row],[J56]]-E$9)^2</f>
        <v>5.3014762317770163E-3</v>
      </c>
      <c r="Q15">
        <f>Table3[[#This Row],[weight]]*(0.9155*Table2[[#This Row],[J67]]-F$9)^2</f>
        <v>7.5042587336949824E-4</v>
      </c>
      <c r="R15">
        <f>Table3[[#This Row],[weight]]*(0.9155*Table2[[#This Row],[J67'']]-G$9)^2</f>
        <v>1.0258663067154211E-3</v>
      </c>
      <c r="S15">
        <f>chloroform!J20</f>
        <v>1.1248033002108086E-4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1.6538624396574095E-4</v>
      </c>
      <c r="M16">
        <f>Table3[[#This Row],[weight]]*(0.9155*Table2[[#This Row],[J2,3]]-B$9)^2</f>
        <v>3.5500622833348634E-4</v>
      </c>
      <c r="N16">
        <f>Table3[[#This Row],[weight]]*(0.9155*Table2[[#This Row],[J34]]-C$9)^2</f>
        <v>3.2821275634236802E-3</v>
      </c>
      <c r="O16">
        <f>Table3[[#This Row],[weight]]*(0.9155*Table2[[#This Row],[J45]]-D$9)^2</f>
        <v>1.4426019836654778E-2</v>
      </c>
      <c r="P16">
        <f>Table3[[#This Row],[weight]]*(0.9155*Table2[[#This Row],[J56]]-E$9)^2</f>
        <v>3.1245224117202003E-3</v>
      </c>
      <c r="Q16">
        <f>Table3[[#This Row],[weight]]*(0.9155*Table2[[#This Row],[J67]]-F$9)^2</f>
        <v>1.7194763821979844E-3</v>
      </c>
      <c r="R16">
        <f>Table3[[#This Row],[weight]]*(0.9155*Table2[[#This Row],[J67'']]-G$9)^2</f>
        <v>1.7958685605638916E-2</v>
      </c>
      <c r="S16">
        <f>chloroform!J21</f>
        <v>4.1839475733440249E-4</v>
      </c>
      <c r="T16" t="str">
        <f>chloroform!F21</f>
        <v>45TH</v>
      </c>
    </row>
    <row r="17" spans="7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7:20" x14ac:dyDescent="0.25">
      <c r="G18" t="s">
        <v>67</v>
      </c>
      <c r="K18">
        <f>chloroform!E23</f>
        <v>24</v>
      </c>
      <c r="L18">
        <f>Table3[[#This Row],[weight]]*(0.9155*Table2[[#This Row],[J1,2]]-A$9)^2</f>
        <v>4.1214126813767139E-4</v>
      </c>
      <c r="M18">
        <f>Table3[[#This Row],[weight]]*(0.9155*Table2[[#This Row],[J2,3]]-B$9)^2</f>
        <v>9.217942802344231E-4</v>
      </c>
      <c r="N18">
        <f>Table3[[#This Row],[weight]]*(0.9155*Table2[[#This Row],[J34]]-C$9)^2</f>
        <v>7.7845212324472411E-3</v>
      </c>
      <c r="O18">
        <f>Table3[[#This Row],[weight]]*(0.9155*Table2[[#This Row],[J45]]-D$9)^2</f>
        <v>3.3609380796330281E-2</v>
      </c>
      <c r="P18">
        <f>Table3[[#This Row],[weight]]*(0.9155*Table2[[#This Row],[J56]]-E$9)^2</f>
        <v>4.1339108390435328E-3</v>
      </c>
      <c r="Q18">
        <f>Table3[[#This Row],[weight]]*(0.9155*Table2[[#This Row],[J67]]-F$9)^2</f>
        <v>8.2897868789064091E-2</v>
      </c>
      <c r="R18">
        <f>Table3[[#This Row],[weight]]*(0.9155*Table2[[#This Row],[J67'']]-G$9)^2</f>
        <v>3.4221441858224792E-3</v>
      </c>
      <c r="S18">
        <f>chloroform!J23</f>
        <v>1.1195174007312013E-3</v>
      </c>
      <c r="T18" t="str">
        <f>chloroform!F23</f>
        <v>45TH</v>
      </c>
    </row>
    <row r="19" spans="7:20" x14ac:dyDescent="0.25">
      <c r="G19" t="s">
        <v>68</v>
      </c>
      <c r="K19">
        <f>chloroform!E24</f>
        <v>26</v>
      </c>
      <c r="L19">
        <f>Table3[[#This Row],[weight]]*(0.9155*Table2[[#This Row],[J1,2]]-A$9)^2</f>
        <v>6.6917219498915468E-3</v>
      </c>
      <c r="M19">
        <f>Table3[[#This Row],[weight]]*(0.9155*Table2[[#This Row],[J2,3]]-B$9)^2</f>
        <v>3.1400337262276192E-3</v>
      </c>
      <c r="N19">
        <f>Table3[[#This Row],[weight]]*(0.9155*Table2[[#This Row],[J34]]-C$9)^2</f>
        <v>0.14992791186996413</v>
      </c>
      <c r="O19">
        <f>Table3[[#This Row],[weight]]*(0.9155*Table2[[#This Row],[J45]]-D$9)^2</f>
        <v>0.54039345833303709</v>
      </c>
      <c r="P19">
        <f>Table3[[#This Row],[weight]]*(0.9155*Table2[[#This Row],[J56]]-E$9)^2</f>
        <v>9.2207098448352121E-2</v>
      </c>
      <c r="Q19">
        <f>Table3[[#This Row],[weight]]*(0.9155*Table2[[#This Row],[J67]]-F$9)^2</f>
        <v>2.7353547868103839E-3</v>
      </c>
      <c r="R19">
        <f>Table3[[#This Row],[weight]]*(0.9155*Table2[[#This Row],[J67'']]-G$9)^2</f>
        <v>5.6218272597490328E-2</v>
      </c>
      <c r="S19">
        <f>chloroform!J24</f>
        <v>1.0506013961301909E-2</v>
      </c>
      <c r="T19" t="str">
        <f>chloroform!F24</f>
        <v>45TH</v>
      </c>
    </row>
    <row r="20" spans="7:20" x14ac:dyDescent="0.25">
      <c r="G20" t="s">
        <v>69</v>
      </c>
      <c r="K20">
        <f>chloroform!E25</f>
        <v>27</v>
      </c>
      <c r="L20">
        <f>Table3[[#This Row],[weight]]*(0.9155*Table2[[#This Row],[J1,2]]-A$9)^2</f>
        <v>1.2515558122035552E-3</v>
      </c>
      <c r="M20">
        <f>Table3[[#This Row],[weight]]*(0.9155*Table2[[#This Row],[J2,3]]-B$9)^2</f>
        <v>1.43150626328442E-4</v>
      </c>
      <c r="N20">
        <f>Table3[[#This Row],[weight]]*(0.9155*Table2[[#This Row],[J34]]-C$9)^2</f>
        <v>8.2763337947237628E-3</v>
      </c>
      <c r="O20">
        <f>Table3[[#This Row],[weight]]*(0.9155*Table2[[#This Row],[J45]]-D$9)^2</f>
        <v>5.518606583868488E-3</v>
      </c>
      <c r="P20">
        <f>Table3[[#This Row],[weight]]*(0.9155*Table2[[#This Row],[J56]]-E$9)^2</f>
        <v>2.0934399982375077E-3</v>
      </c>
      <c r="Q20">
        <f>Table3[[#This Row],[weight]]*(0.9155*Table2[[#This Row],[J67]]-F$9)^2</f>
        <v>6.5031496518468709E-4</v>
      </c>
      <c r="R20">
        <f>Table3[[#This Row],[weight]]*(0.9155*Table2[[#This Row],[J67'']]-G$9)^2</f>
        <v>0.99194884773103487</v>
      </c>
      <c r="S20">
        <f>chloroform!J25</f>
        <v>2.9693809347054925E-2</v>
      </c>
      <c r="T20" t="str">
        <f>chloroform!F25</f>
        <v>4H6</v>
      </c>
    </row>
    <row r="21" spans="7:20" x14ac:dyDescent="0.25">
      <c r="G21" t="s">
        <v>70</v>
      </c>
      <c r="K21">
        <f>chloroform!E26</f>
        <v>30</v>
      </c>
      <c r="L21">
        <f>Table3[[#This Row],[weight]]*(0.9155*Table2[[#This Row],[J1,2]]-A$9)^2</f>
        <v>1.7705406114080835E-4</v>
      </c>
      <c r="M21">
        <f>Table3[[#This Row],[weight]]*(0.9155*Table2[[#This Row],[J2,3]]-B$9)^2</f>
        <v>2.6289413996561869E-2</v>
      </c>
      <c r="N21">
        <f>Table3[[#This Row],[weight]]*(0.9155*Table2[[#This Row],[J34]]-C$9)^2</f>
        <v>2.4277733194767323E-2</v>
      </c>
      <c r="O21">
        <f>Table3[[#This Row],[weight]]*(0.9155*Table2[[#This Row],[J45]]-D$9)^2</f>
        <v>4.9332307248588142E-2</v>
      </c>
      <c r="P21">
        <f>Table3[[#This Row],[weight]]*(0.9155*Table2[[#This Row],[J56]]-E$9)^2</f>
        <v>8.3232026073847248E-2</v>
      </c>
      <c r="Q21">
        <f>Table3[[#This Row],[weight]]*(0.9155*Table2[[#This Row],[J67]]-F$9)^2</f>
        <v>7.1590954795960698E-2</v>
      </c>
      <c r="R21">
        <f>Table3[[#This Row],[weight]]*(0.9155*Table2[[#This Row],[J67'']]-G$9)^2</f>
        <v>3.0901622919470018E-4</v>
      </c>
      <c r="S21">
        <f>chloroform!J26</f>
        <v>7.2780620693175906E-4</v>
      </c>
      <c r="T21" t="str">
        <f>chloroform!F26</f>
        <v>6H4</v>
      </c>
    </row>
    <row r="22" spans="7:20" x14ac:dyDescent="0.25">
      <c r="G22" t="s">
        <v>71</v>
      </c>
      <c r="K22">
        <f>chloroform!E27</f>
        <v>33</v>
      </c>
      <c r="L22">
        <f>Table3[[#This Row],[weight]]*(0.9155*Table2[[#This Row],[J1,2]]-A$9)^2</f>
        <v>7.1124614787529471E-4</v>
      </c>
      <c r="M22">
        <f>Table3[[#This Row],[weight]]*(0.9155*Table2[[#This Row],[J2,3]]-B$9)^2</f>
        <v>1.5612904631132811E-3</v>
      </c>
      <c r="N22">
        <f>Table3[[#This Row],[weight]]*(0.9155*Table2[[#This Row],[J34]]-C$9)^2</f>
        <v>1.5054451245326422E-2</v>
      </c>
      <c r="O22">
        <f>Table3[[#This Row],[weight]]*(0.9155*Table2[[#This Row],[J45]]-D$9)^2</f>
        <v>6.0408046398758422E-2</v>
      </c>
      <c r="P22">
        <f>Table3[[#This Row],[weight]]*(0.9155*Table2[[#This Row],[J56]]-E$9)^2</f>
        <v>1.0719489980139652E-2</v>
      </c>
      <c r="Q22">
        <f>Table3[[#This Row],[weight]]*(0.9155*Table2[[#This Row],[J67]]-F$9)^2</f>
        <v>5.5643855361610383E-4</v>
      </c>
      <c r="R22">
        <f>Table3[[#This Row],[weight]]*(0.9155*Table2[[#This Row],[J67'']]-G$9)^2</f>
        <v>7.4014770439301741E-2</v>
      </c>
      <c r="S22">
        <f>chloroform!J27</f>
        <v>1.7085745049514281E-3</v>
      </c>
      <c r="T22" t="str">
        <f>chloroform!F27</f>
        <v>45TH</v>
      </c>
    </row>
    <row r="23" spans="7:20" x14ac:dyDescent="0.25">
      <c r="G23" t="s">
        <v>72</v>
      </c>
      <c r="K23">
        <f>chloroform!E28</f>
        <v>34</v>
      </c>
      <c r="L23">
        <f>Table3[[#This Row],[weight]]*(0.9155*Table2[[#This Row],[J1,2]]-A$9)^2</f>
        <v>1.6491864985859492E-4</v>
      </c>
      <c r="M23">
        <f>Table3[[#This Row],[weight]]*(0.9155*Table2[[#This Row],[J2,3]]-B$9)^2</f>
        <v>2.1193924572412648E-2</v>
      </c>
      <c r="N23">
        <f>Table3[[#This Row],[weight]]*(0.9155*Table2[[#This Row],[J34]]-C$9)^2</f>
        <v>2.013020338663311E-2</v>
      </c>
      <c r="O23">
        <f>Table3[[#This Row],[weight]]*(0.9155*Table2[[#This Row],[J45]]-D$9)^2</f>
        <v>4.7731943634232957E-2</v>
      </c>
      <c r="P23">
        <f>Table3[[#This Row],[weight]]*(0.9155*Table2[[#This Row],[J56]]-E$9)^2</f>
        <v>6.3172442531351125E-2</v>
      </c>
      <c r="Q23">
        <f>Table3[[#This Row],[weight]]*(0.9155*Table2[[#This Row],[J67]]-F$9)^2</f>
        <v>2.9912720206772317E-5</v>
      </c>
      <c r="R23">
        <f>Table3[[#This Row],[weight]]*(0.9155*Table2[[#This Row],[J67'']]-G$9)^2</f>
        <v>7.1727973739407478E-5</v>
      </c>
      <c r="S23">
        <f>chloroform!J28</f>
        <v>6.0615748228323436E-4</v>
      </c>
      <c r="T23" t="str">
        <f>chloroform!F28</f>
        <v>6H4</v>
      </c>
    </row>
    <row r="24" spans="7:20" x14ac:dyDescent="0.25">
      <c r="G24" t="s">
        <v>74</v>
      </c>
      <c r="K24">
        <f>chloroform!E29</f>
        <v>38</v>
      </c>
      <c r="L24">
        <f>Table3[[#This Row],[weight]]*(0.9155*Table2[[#This Row],[J1,2]]-A$9)^2</f>
        <v>2.4139251771005368E-2</v>
      </c>
      <c r="M24">
        <f>Table3[[#This Row],[weight]]*(0.9155*Table2[[#This Row],[J2,3]]-B$9)^2</f>
        <v>1.2190688955201565E-2</v>
      </c>
      <c r="N24">
        <f>Table3[[#This Row],[weight]]*(0.9155*Table2[[#This Row],[J34]]-C$9)^2</f>
        <v>0.50428760684064522</v>
      </c>
      <c r="O24">
        <f>Table3[[#This Row],[weight]]*(0.9155*Table2[[#This Row],[J45]]-D$9)^2</f>
        <v>1.2839006154142558</v>
      </c>
      <c r="P24">
        <f>Table3[[#This Row],[weight]]*(0.9155*Table2[[#This Row],[J56]]-E$9)^2</f>
        <v>0.14288727468922607</v>
      </c>
      <c r="Q24">
        <f>Table3[[#This Row],[weight]]*(0.9155*Table2[[#This Row],[J67]]-F$9)^2</f>
        <v>1.6202209854294998E-2</v>
      </c>
      <c r="R24">
        <f>Table3[[#This Row],[weight]]*(0.9155*Table2[[#This Row],[J67'']]-G$9)^2</f>
        <v>0.23973404301368106</v>
      </c>
      <c r="S24">
        <f>chloroform!J29</f>
        <v>3.9980502403189573E-2</v>
      </c>
      <c r="T24" t="str">
        <f>chloroform!F29</f>
        <v>45TH</v>
      </c>
    </row>
    <row r="25" spans="7:20" x14ac:dyDescent="0.25">
      <c r="K25">
        <f>chloroform!E30</f>
        <v>39</v>
      </c>
      <c r="L25">
        <f>Table3[[#This Row],[weight]]*(0.9155*Table2[[#This Row],[J1,2]]-A$9)^2</f>
        <v>2.1574664524091845E-4</v>
      </c>
      <c r="M25">
        <f>Table3[[#This Row],[weight]]*(0.9155*Table2[[#This Row],[J2,3]]-B$9)^2</f>
        <v>7.3135731497578045E-3</v>
      </c>
      <c r="N25">
        <f>Table3[[#This Row],[weight]]*(0.9155*Table2[[#This Row],[J34]]-C$9)^2</f>
        <v>2.4760036649129413E-4</v>
      </c>
      <c r="O25">
        <f>Table3[[#This Row],[weight]]*(0.9155*Table2[[#This Row],[J45]]-D$9)^2</f>
        <v>1.5249375449110081E-7</v>
      </c>
      <c r="P25">
        <f>Table3[[#This Row],[weight]]*(0.9155*Table2[[#This Row],[J56]]-E$9)^2</f>
        <v>1.1054846823699787E-2</v>
      </c>
      <c r="Q25">
        <f>Table3[[#This Row],[weight]]*(0.9155*Table2[[#This Row],[J67]]-F$9)^2</f>
        <v>5.0166056521504514E-4</v>
      </c>
      <c r="R25">
        <f>Table3[[#This Row],[weight]]*(0.9155*Table2[[#This Row],[J67'']]-G$9)^2</f>
        <v>1.7643162775452703</v>
      </c>
      <c r="S25">
        <f>chloroform!J30</f>
        <v>5.0704803416262205E-2</v>
      </c>
      <c r="T25" t="str">
        <f>chloroform!F30</f>
        <v>4H6</v>
      </c>
    </row>
    <row r="26" spans="7:20" x14ac:dyDescent="0.25">
      <c r="K26">
        <f>chloroform!E31</f>
        <v>41</v>
      </c>
      <c r="L26">
        <f>Table3[[#This Row],[weight]]*(0.9155*Table2[[#This Row],[J1,2]]-A$9)^2</f>
        <v>6.6655053019607944E-4</v>
      </c>
      <c r="M26">
        <f>Table3[[#This Row],[weight]]*(0.9155*Table2[[#This Row],[J2,3]]-B$9)^2</f>
        <v>1.1833448076667949E-4</v>
      </c>
      <c r="N26">
        <f>Table3[[#This Row],[weight]]*(0.9155*Table2[[#This Row],[J34]]-C$9)^2</f>
        <v>3.6491822471669663E-4</v>
      </c>
      <c r="O26">
        <f>Table3[[#This Row],[weight]]*(0.9155*Table2[[#This Row],[J45]]-D$9)^2</f>
        <v>2.2977141051249843E-4</v>
      </c>
      <c r="P26">
        <f>Table3[[#This Row],[weight]]*(0.9155*Table2[[#This Row],[J56]]-E$9)^2</f>
        <v>4.5647119613635695E-4</v>
      </c>
      <c r="Q26">
        <f>Table3[[#This Row],[weight]]*(0.9155*Table2[[#This Row],[J67]]-F$9)^2</f>
        <v>4.5408687423247713E-4</v>
      </c>
      <c r="R26">
        <f>Table3[[#This Row],[weight]]*(0.9155*Table2[[#This Row],[J67'']]-G$9)^2</f>
        <v>0.89151502503368585</v>
      </c>
      <c r="S26">
        <f>chloroform!J31</f>
        <v>2.5893864222968029E-2</v>
      </c>
      <c r="T26" t="str">
        <f>chloroform!F31</f>
        <v>4H6</v>
      </c>
    </row>
    <row r="27" spans="7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7:20" x14ac:dyDescent="0.25">
      <c r="K28">
        <f>chloroform!E33</f>
        <v>48</v>
      </c>
      <c r="L28">
        <f>Table3[[#This Row],[weight]]*(0.9155*Table2[[#This Row],[J1,2]]-A$9)^2</f>
        <v>2.5657656437651781E-3</v>
      </c>
      <c r="M28">
        <f>Table3[[#This Row],[weight]]*(0.9155*Table2[[#This Row],[J2,3]]-B$9)^2</f>
        <v>4.7792970227325184E-2</v>
      </c>
      <c r="N28">
        <f>Table3[[#This Row],[weight]]*(0.9155*Table2[[#This Row],[J34]]-C$9)^2</f>
        <v>0.15953107178897458</v>
      </c>
      <c r="O28">
        <f>Table3[[#This Row],[weight]]*(0.9155*Table2[[#This Row],[J45]]-D$9)^2</f>
        <v>1.0077989289941773</v>
      </c>
      <c r="P28">
        <f>Table3[[#This Row],[weight]]*(0.9155*Table2[[#This Row],[J56]]-E$9)^2</f>
        <v>8.3220157843792927E-2</v>
      </c>
      <c r="Q28">
        <f>Table3[[#This Row],[weight]]*(0.9155*Table2[[#This Row],[J67]]-F$9)^2</f>
        <v>2.0866048476531267E-3</v>
      </c>
      <c r="R28">
        <f>Table3[[#This Row],[weight]]*(0.9155*Table2[[#This Row],[J67'']]-G$9)^2</f>
        <v>0.36647414628351294</v>
      </c>
      <c r="S28">
        <f>chloroform!J33</f>
        <v>9.4469832230511426E-3</v>
      </c>
      <c r="T28" t="str">
        <f>chloroform!F33</f>
        <v>56TH</v>
      </c>
    </row>
    <row r="29" spans="7:20" x14ac:dyDescent="0.25">
      <c r="K29">
        <f>chloroform!E34</f>
        <v>57</v>
      </c>
      <c r="L29">
        <f>Table3[[#This Row],[weight]]*(0.9155*Table2[[#This Row],[J1,2]]-A$9)^2</f>
        <v>5.7340431375564496E-4</v>
      </c>
      <c r="M29">
        <f>Table3[[#This Row],[weight]]*(0.9155*Table2[[#This Row],[J2,3]]-B$9)^2</f>
        <v>2.4747185345469238E-2</v>
      </c>
      <c r="N29">
        <f>Table3[[#This Row],[weight]]*(0.9155*Table2[[#This Row],[J34]]-C$9)^2</f>
        <v>2.4069615607728152E-2</v>
      </c>
      <c r="O29">
        <f>Table3[[#This Row],[weight]]*(0.9155*Table2[[#This Row],[J45]]-D$9)^2</f>
        <v>2.4027004662691791E-2</v>
      </c>
      <c r="P29">
        <f>Table3[[#This Row],[weight]]*(0.9155*Table2[[#This Row],[J56]]-E$9)^2</f>
        <v>7.3239952318872745E-2</v>
      </c>
      <c r="Q29">
        <f>Table3[[#This Row],[weight]]*(0.9155*Table2[[#This Row],[J67]]-F$9)^2</f>
        <v>2.2120055835474673E-3</v>
      </c>
      <c r="R29">
        <f>Table3[[#This Row],[weight]]*(0.9155*Table2[[#This Row],[J67'']]-G$9)^2</f>
        <v>4.2577757239049649E-2</v>
      </c>
      <c r="S29">
        <f>chloroform!J34</f>
        <v>6.7499659885470701E-4</v>
      </c>
      <c r="T29" t="str">
        <f>chloroform!F34</f>
        <v>6H4</v>
      </c>
    </row>
    <row r="30" spans="7:20" x14ac:dyDescent="0.25">
      <c r="K30">
        <f>chloroform!E35</f>
        <v>59</v>
      </c>
      <c r="L30">
        <f>Table3[[#This Row],[weight]]*(0.9155*Table2[[#This Row],[J1,2]]-A$9)^2</f>
        <v>3.001593434826388E-4</v>
      </c>
      <c r="M30">
        <f>Table3[[#This Row],[weight]]*(0.9155*Table2[[#This Row],[J2,3]]-B$9)^2</f>
        <v>2.5076661450565674E-3</v>
      </c>
      <c r="N30">
        <f>Table3[[#This Row],[weight]]*(0.9155*Table2[[#This Row],[J34]]-C$9)^2</f>
        <v>2.0258505731077876E-4</v>
      </c>
      <c r="O30">
        <f>Table3[[#This Row],[weight]]*(0.9155*Table2[[#This Row],[J45]]-D$9)^2</f>
        <v>2.4293416514514437E-5</v>
      </c>
      <c r="P30">
        <f>Table3[[#This Row],[weight]]*(0.9155*Table2[[#This Row],[J56]]-E$9)^2</f>
        <v>2.6214682417632059E-3</v>
      </c>
      <c r="Q30">
        <f>Table3[[#This Row],[weight]]*(0.9155*Table2[[#This Row],[J67]]-F$9)^2</f>
        <v>1.398124385185136E-5</v>
      </c>
      <c r="R30">
        <f>Table3[[#This Row],[weight]]*(0.9155*Table2[[#This Row],[J67'']]-G$9)^2</f>
        <v>2.1059417882521004E-3</v>
      </c>
      <c r="S30">
        <f>chloroform!J35</f>
        <v>7.8954738686043137E-5</v>
      </c>
      <c r="T30" t="str">
        <f>chloroform!F35</f>
        <v>45TH</v>
      </c>
    </row>
    <row r="31" spans="7:20" x14ac:dyDescent="0.25">
      <c r="K31">
        <f>chloroform!E36</f>
        <v>72</v>
      </c>
      <c r="L31">
        <f>Table3[[#This Row],[weight]]*(0.9155*Table2[[#This Row],[J1,2]]-A$9)^2</f>
        <v>1.8502563597478237E-5</v>
      </c>
      <c r="M31">
        <f>Table3[[#This Row],[weight]]*(0.9155*Table2[[#This Row],[J2,3]]-B$9)^2</f>
        <v>1.4930094830783619E-5</v>
      </c>
      <c r="N31">
        <f>Table3[[#This Row],[weight]]*(0.9155*Table2[[#This Row],[J34]]-C$9)^2</f>
        <v>4.4741924335962678E-4</v>
      </c>
      <c r="O31">
        <f>Table3[[#This Row],[weight]]*(0.9155*Table2[[#This Row],[J45]]-D$9)^2</f>
        <v>5.6701127612232669E-5</v>
      </c>
      <c r="P31">
        <f>Table3[[#This Row],[weight]]*(0.9155*Table2[[#This Row],[J56]]-E$9)^2</f>
        <v>1.2124516448285726E-4</v>
      </c>
      <c r="Q31">
        <f>Table3[[#This Row],[weight]]*(0.9155*Table2[[#This Row],[J67]]-F$9)^2</f>
        <v>0.16335077349653437</v>
      </c>
      <c r="R31">
        <f>Table3[[#This Row],[weight]]*(0.9155*Table2[[#This Row],[J67'']]-G$9)^2</f>
        <v>4.5835672226998039E-2</v>
      </c>
      <c r="S31">
        <f>chloroform!J36</f>
        <v>3.6519280689127583E-3</v>
      </c>
      <c r="T31" t="str">
        <f>chloroform!F36</f>
        <v>4H6</v>
      </c>
    </row>
    <row r="32" spans="7:20" x14ac:dyDescent="0.25">
      <c r="K32">
        <f>chloroform!E37</f>
        <v>73</v>
      </c>
      <c r="L32">
        <f>Table3[[#This Row],[weight]]*(0.9155*Table2[[#This Row],[J1,2]]-A$9)^2</f>
        <v>0.18494645225926373</v>
      </c>
      <c r="M32">
        <f>Table3[[#This Row],[weight]]*(0.9155*Table2[[#This Row],[J2,3]]-B$9)^2</f>
        <v>1.9094353239102848</v>
      </c>
      <c r="N32">
        <f>Table3[[#This Row],[weight]]*(0.9155*Table2[[#This Row],[J34]]-C$9)^2</f>
        <v>0.38532035680496096</v>
      </c>
      <c r="O32">
        <f>Table3[[#This Row],[weight]]*(0.9155*Table2[[#This Row],[J45]]-D$9)^2</f>
        <v>8.2785902907476654</v>
      </c>
      <c r="P32">
        <f>Table3[[#This Row],[weight]]*(0.9155*Table2[[#This Row],[J56]]-E$9)^2</f>
        <v>0.24524141886602469</v>
      </c>
      <c r="Q32">
        <f>Table3[[#This Row],[weight]]*(0.9155*Table2[[#This Row],[J67]]-F$9)^2</f>
        <v>1.8411147032833166E-2</v>
      </c>
      <c r="R32">
        <f>Table3[[#This Row],[weight]]*(0.9155*Table2[[#This Row],[J67'']]-G$9)^2</f>
        <v>0.43591076940111417</v>
      </c>
      <c r="S32">
        <f>chloroform!J37</f>
        <v>7.839261904177762E-2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4.9452167976553134E-4</v>
      </c>
      <c r="M33">
        <f>Table3[[#This Row],[weight]]*(0.9155*Table2[[#This Row],[J2,3]]-B$9)^2</f>
        <v>3.822478991763995E-3</v>
      </c>
      <c r="N33">
        <f>Table3[[#This Row],[weight]]*(0.9155*Table2[[#This Row],[J34]]-C$9)^2</f>
        <v>2.3990102660871246E-4</v>
      </c>
      <c r="O33">
        <f>Table3[[#This Row],[weight]]*(0.9155*Table2[[#This Row],[J45]]-D$9)^2</f>
        <v>4.0656525773850169E-5</v>
      </c>
      <c r="P33">
        <f>Table3[[#This Row],[weight]]*(0.9155*Table2[[#This Row],[J56]]-E$9)^2</f>
        <v>4.2049659373280847E-3</v>
      </c>
      <c r="Q33">
        <f>Table3[[#This Row],[weight]]*(0.9155*Table2[[#This Row],[J67]]-F$9)^2</f>
        <v>4.2813174900822407E-6</v>
      </c>
      <c r="R33">
        <f>Table3[[#This Row],[weight]]*(0.9155*Table2[[#This Row],[J67'']]-G$9)^2</f>
        <v>4.7167961321384752E-3</v>
      </c>
      <c r="S33">
        <f>chloroform!J38</f>
        <v>1.1996201063032175E-4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1.4936681249564579E-2</v>
      </c>
      <c r="M34">
        <f>Table3[[#This Row],[weight]]*(0.9155*Table2[[#This Row],[J2,3]]-B$9)^2</f>
        <v>7.4900896180680665E-3</v>
      </c>
      <c r="N34">
        <f>Table3[[#This Row],[weight]]*(0.9155*Table2[[#This Row],[J34]]-C$9)^2</f>
        <v>0.33847107436652307</v>
      </c>
      <c r="O34">
        <f>Table3[[#This Row],[weight]]*(0.9155*Table2[[#This Row],[J45]]-D$9)^2</f>
        <v>0.81807940888855013</v>
      </c>
      <c r="P34">
        <f>Table3[[#This Row],[weight]]*(0.9155*Table2[[#This Row],[J56]]-E$9)^2</f>
        <v>9.8345458172760677E-2</v>
      </c>
      <c r="Q34">
        <f>Table3[[#This Row],[weight]]*(0.9155*Table2[[#This Row],[J67]]-F$9)^2</f>
        <v>1.1312169285108744E-2</v>
      </c>
      <c r="R34">
        <f>Table3[[#This Row],[weight]]*(0.9155*Table2[[#This Row],[J67'']]-G$9)^2</f>
        <v>1.2103621133369156</v>
      </c>
      <c r="S34">
        <f>chloroform!J39</f>
        <v>2.6009965125645323E-2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7.1400869282702109E-5</v>
      </c>
      <c r="M35">
        <f>Table3[[#This Row],[weight]]*(0.9155*Table2[[#This Row],[J2,3]]-B$9)^2</f>
        <v>4.9836557989974476E-6</v>
      </c>
      <c r="N35">
        <f>Table3[[#This Row],[weight]]*(0.9155*Table2[[#This Row],[J34]]-C$9)^2</f>
        <v>7.0172955624827639E-4</v>
      </c>
      <c r="O35">
        <f>Table3[[#This Row],[weight]]*(0.9155*Table2[[#This Row],[J45]]-D$9)^2</f>
        <v>1.4372285927096199E-3</v>
      </c>
      <c r="P35">
        <f>Table3[[#This Row],[weight]]*(0.9155*Table2[[#This Row],[J56]]-E$9)^2</f>
        <v>6.5215311295127318E-3</v>
      </c>
      <c r="Q35">
        <f>Table3[[#This Row],[weight]]*(0.9155*Table2[[#This Row],[J67]]-F$9)^2</f>
        <v>1.1816880344161257E-2</v>
      </c>
      <c r="R35">
        <f>Table3[[#This Row],[weight]]*(0.9155*Table2[[#This Row],[J67'']]-G$9)^2</f>
        <v>9.7552943434600981E-5</v>
      </c>
      <c r="S35">
        <f>chloroform!J40</f>
        <v>9.9188715705201253E-5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1.2084422238213087E-4</v>
      </c>
      <c r="M38">
        <f>Table3[[#This Row],[weight]]*(0.9155*Table2[[#This Row],[J2,3]]-B$9)^2</f>
        <v>0.33916986885532335</v>
      </c>
      <c r="N38">
        <f>Table3[[#This Row],[weight]]*(0.9155*Table2[[#This Row],[J34]]-C$9)^2</f>
        <v>0.21813785881609804</v>
      </c>
      <c r="O38">
        <f>Table3[[#This Row],[weight]]*(0.9155*Table2[[#This Row],[J45]]-D$9)^2</f>
        <v>1.0643777708970945</v>
      </c>
      <c r="P38">
        <f>Table3[[#This Row],[weight]]*(0.9155*Table2[[#This Row],[J56]]-E$9)^2</f>
        <v>1.017767591002546E-2</v>
      </c>
      <c r="Q38">
        <f>Table3[[#This Row],[weight]]*(0.9155*Table2[[#This Row],[J67]]-F$9)^2</f>
        <v>8.396717552339129E-3</v>
      </c>
      <c r="R38">
        <f>Table3[[#This Row],[weight]]*(0.9155*Table2[[#This Row],[J67'']]-G$9)^2</f>
        <v>0.4367632076913448</v>
      </c>
      <c r="S38">
        <f>chloroform!J43</f>
        <v>1.1649403881724453E-2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4.5000079318436147E-3</v>
      </c>
      <c r="M42">
        <f>Table3[[#This Row],[weight]]*(0.9155*Table2[[#This Row],[J2,3]]-B$9)^2</f>
        <v>1.26424596503523E-2</v>
      </c>
      <c r="N42">
        <f>Table3[[#This Row],[weight]]*(0.9155*Table2[[#This Row],[J34]]-C$9)^2</f>
        <v>0.11614172989998889</v>
      </c>
      <c r="O42">
        <f>Table3[[#This Row],[weight]]*(0.9155*Table2[[#This Row],[J45]]-D$9)^2</f>
        <v>0.30328380075594008</v>
      </c>
      <c r="P42">
        <f>Table3[[#This Row],[weight]]*(0.9155*Table2[[#This Row],[J56]]-E$9)^2</f>
        <v>3.3160636874599893E-2</v>
      </c>
      <c r="Q42">
        <f>Table3[[#This Row],[weight]]*(0.9155*Table2[[#This Row],[J67]]-F$9)^2</f>
        <v>1.4464887194190951E-2</v>
      </c>
      <c r="R42">
        <f>Table3[[#This Row],[weight]]*(0.9155*Table2[[#This Row],[J67'']]-G$9)^2</f>
        <v>0.47017205462187556</v>
      </c>
      <c r="S42">
        <f>chloroform!J47</f>
        <v>1.0082058334038075E-2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7.1730633148955105E-5</v>
      </c>
      <c r="M43">
        <f>Table3[[#This Row],[weight]]*(0.9155*Table2[[#This Row],[J2,3]]-B$9)^2</f>
        <v>4.0766453527930978E-2</v>
      </c>
      <c r="N43">
        <f>Table3[[#This Row],[weight]]*(0.9155*Table2[[#This Row],[J34]]-C$9)^2</f>
        <v>2.4398272858154137E-2</v>
      </c>
      <c r="O43">
        <f>Table3[[#This Row],[weight]]*(0.9155*Table2[[#This Row],[J45]]-D$9)^2</f>
        <v>0.13082059591593004</v>
      </c>
      <c r="P43">
        <f>Table3[[#This Row],[weight]]*(0.9155*Table2[[#This Row],[J56]]-E$9)^2</f>
        <v>2.8811084298881696E-3</v>
      </c>
      <c r="Q43">
        <f>Table3[[#This Row],[weight]]*(0.9155*Table2[[#This Row],[J67]]-F$9)^2</f>
        <v>9.7420324730636152E-5</v>
      </c>
      <c r="R43">
        <f>Table3[[#This Row],[weight]]*(0.9155*Table2[[#This Row],[J67'']]-G$9)^2</f>
        <v>2.2394225792753369E-3</v>
      </c>
      <c r="S43">
        <f>chloroform!J48</f>
        <v>1.4345521435763836E-3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1.4671075383926814E-4</v>
      </c>
      <c r="M45">
        <f>Table3[[#This Row],[weight]]*(0.9155*Table2[[#This Row],[J2,3]]-B$9)^2</f>
        <v>9.8659451031180362E-6</v>
      </c>
      <c r="N45">
        <f>Table3[[#This Row],[weight]]*(0.9155*Table2[[#This Row],[J34]]-C$9)^2</f>
        <v>1.7711295410451338E-3</v>
      </c>
      <c r="O45">
        <f>Table3[[#This Row],[weight]]*(0.9155*Table2[[#This Row],[J45]]-D$9)^2</f>
        <v>3.2480534012249073E-3</v>
      </c>
      <c r="P45">
        <f>Table3[[#This Row],[weight]]*(0.9155*Table2[[#This Row],[J56]]-E$9)^2</f>
        <v>1.4682749617962489E-2</v>
      </c>
      <c r="Q45">
        <f>Table3[[#This Row],[weight]]*(0.9155*Table2[[#This Row],[J67]]-F$9)^2</f>
        <v>1.3314322060774028E-7</v>
      </c>
      <c r="R45">
        <f>Table3[[#This Row],[weight]]*(0.9155*Table2[[#This Row],[J67'']]-G$9)^2</f>
        <v>7.5213349352928702E-3</v>
      </c>
      <c r="S45">
        <f>chloroform!J50</f>
        <v>2.2875892260997214E-4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3.5507400410460975E-4</v>
      </c>
      <c r="M46">
        <f>Table3[[#This Row],[weight]]*(0.9155*Table2[[#This Row],[J2,3]]-B$9)^2</f>
        <v>2.1512942514324427E-2</v>
      </c>
      <c r="N46">
        <f>Table3[[#This Row],[weight]]*(0.9155*Table2[[#This Row],[J34]]-C$9)^2</f>
        <v>5.125468996027837E-2</v>
      </c>
      <c r="O46">
        <f>Table3[[#This Row],[weight]]*(0.9155*Table2[[#This Row],[J45]]-D$9)^2</f>
        <v>0.3083038203805144</v>
      </c>
      <c r="P46">
        <f>Table3[[#This Row],[weight]]*(0.9155*Table2[[#This Row],[J56]]-E$9)^2</f>
        <v>3.0709352234240428E-2</v>
      </c>
      <c r="Q46">
        <f>Table3[[#This Row],[weight]]*(0.9155*Table2[[#This Row],[J67]]-F$9)^2</f>
        <v>2.3497075492619611E-4</v>
      </c>
      <c r="R46">
        <f>Table3[[#This Row],[weight]]*(0.9155*Table2[[#This Row],[J67'']]-G$9)^2</f>
        <v>7.7111113947231663E-2</v>
      </c>
      <c r="S46">
        <f>chloroform!J51</f>
        <v>2.7960399962709995E-3</v>
      </c>
      <c r="T46" t="str">
        <f>chloroform!F51</f>
        <v>56TH</v>
      </c>
    </row>
    <row r="47" spans="11:20" x14ac:dyDescent="0.25">
      <c r="K47">
        <f>chloroform!E52</f>
        <v>136</v>
      </c>
      <c r="L47">
        <f>Table3[[#This Row],[weight]]*(0.9155*Table2[[#This Row],[J1,2]]-A$9)^2</f>
        <v>1.0046023611192177E-3</v>
      </c>
      <c r="M47">
        <f>Table3[[#This Row],[weight]]*(0.9155*Table2[[#This Row],[J2,3]]-B$9)^2</f>
        <v>1.9436549403375157E-2</v>
      </c>
      <c r="N47">
        <f>Table3[[#This Row],[weight]]*(0.9155*Table2[[#This Row],[J34]]-C$9)^2</f>
        <v>5.0978613043890448E-3</v>
      </c>
      <c r="O47">
        <f>Table3[[#This Row],[weight]]*(0.9155*Table2[[#This Row],[J45]]-D$9)^2</f>
        <v>7.337569520093673E-2</v>
      </c>
      <c r="P47">
        <f>Table3[[#This Row],[weight]]*(0.9155*Table2[[#This Row],[J56]]-E$9)^2</f>
        <v>3.0021444682754288E-3</v>
      </c>
      <c r="Q47">
        <f>Table3[[#This Row],[weight]]*(0.9155*Table2[[#This Row],[J67]]-F$9)^2</f>
        <v>6.3186478001500299E-4</v>
      </c>
      <c r="R47">
        <f>Table3[[#This Row],[weight]]*(0.9155*Table2[[#This Row],[J67'']]-G$9)^2</f>
        <v>2.8068591596979584E-2</v>
      </c>
      <c r="S47">
        <f>chloroform!J52</f>
        <v>7.0192860949702055E-4</v>
      </c>
      <c r="T47" t="str">
        <f>chloroform!F52</f>
        <v>5C12</v>
      </c>
    </row>
    <row r="48" spans="11:20" x14ac:dyDescent="0.25">
      <c r="K48">
        <f>chloroform!E53</f>
        <v>142</v>
      </c>
      <c r="L48">
        <f>Table3[[#This Row],[weight]]*(0.9155*Table2[[#This Row],[J1,2]]-A$9)^2</f>
        <v>5.6174943308893387E-5</v>
      </c>
      <c r="M48">
        <f>Table3[[#This Row],[weight]]*(0.9155*Table2[[#This Row],[J2,3]]-B$9)^2</f>
        <v>0.14900249187746614</v>
      </c>
      <c r="N48">
        <f>Table3[[#This Row],[weight]]*(0.9155*Table2[[#This Row],[J34]]-C$9)^2</f>
        <v>9.4033936681776065E-2</v>
      </c>
      <c r="O48">
        <f>Table3[[#This Row],[weight]]*(0.9155*Table2[[#This Row],[J45]]-D$9)^2</f>
        <v>0.47174993802296084</v>
      </c>
      <c r="P48">
        <f>Table3[[#This Row],[weight]]*(0.9155*Table2[[#This Row],[J56]]-E$9)^2</f>
        <v>5.6897027267984934E-3</v>
      </c>
      <c r="Q48">
        <f>Table3[[#This Row],[weight]]*(0.9155*Table2[[#This Row],[J67]]-F$9)^2</f>
        <v>0.34446882909372262</v>
      </c>
      <c r="R48">
        <f>Table3[[#This Row],[weight]]*(0.9155*Table2[[#This Row],[J67'']]-G$9)^2</f>
        <v>1.9815740869164607E-2</v>
      </c>
      <c r="S48">
        <f>chloroform!J53</f>
        <v>4.9171942224301287E-3</v>
      </c>
      <c r="T48" t="str">
        <f>chloroform!F53</f>
        <v>5C12</v>
      </c>
    </row>
    <row r="49" spans="11:20" x14ac:dyDescent="0.25">
      <c r="K49">
        <f>chloroform!E54</f>
        <v>143</v>
      </c>
      <c r="L49">
        <f>Table3[[#This Row],[weight]]*(0.9155*Table2[[#This Row],[J1,2]]-A$9)^2</f>
        <v>2.5345264171666438E-4</v>
      </c>
      <c r="M49">
        <f>Table3[[#This Row],[weight]]*(0.9155*Table2[[#This Row],[J2,3]]-B$9)^2</f>
        <v>1.2024930088247783E-4</v>
      </c>
      <c r="N49">
        <f>Table3[[#This Row],[weight]]*(0.9155*Table2[[#This Row],[J34]]-C$9)^2</f>
        <v>4.5850516119380824E-3</v>
      </c>
      <c r="O49">
        <f>Table3[[#This Row],[weight]]*(0.9155*Table2[[#This Row],[J45]]-D$9)^2</f>
        <v>1.5093089661117417E-2</v>
      </c>
      <c r="P49">
        <f>Table3[[#This Row],[weight]]*(0.9155*Table2[[#This Row],[J56]]-E$9)^2</f>
        <v>2.036383734574777E-3</v>
      </c>
      <c r="Q49">
        <f>Table3[[#This Row],[weight]]*(0.9155*Table2[[#This Row],[J67]]-F$9)^2</f>
        <v>1.3690509107094339E-2</v>
      </c>
      <c r="R49">
        <f>Table3[[#This Row],[weight]]*(0.9155*Table2[[#This Row],[J67'']]-G$9)^2</f>
        <v>1.0725495850455347E-3</v>
      </c>
      <c r="S49">
        <f>chloroform!J54</f>
        <v>1.8904762616181188E-4</v>
      </c>
      <c r="T49" t="str">
        <f>chloroform!F54</f>
        <v>45TH</v>
      </c>
    </row>
    <row r="50" spans="11:20" x14ac:dyDescent="0.25">
      <c r="K50">
        <f>chloroform!E55</f>
        <v>144</v>
      </c>
      <c r="L50">
        <f>Table3[[#This Row],[weight]]*(0.9155*Table2[[#This Row],[J1,2]]-A$9)^2</f>
        <v>1.3720076849561328E-4</v>
      </c>
      <c r="M50">
        <f>Table3[[#This Row],[weight]]*(0.9155*Table2[[#This Row],[J2,3]]-B$9)^2</f>
        <v>6.3725048100370791E-5</v>
      </c>
      <c r="N50">
        <f>Table3[[#This Row],[weight]]*(0.9155*Table2[[#This Row],[J34]]-C$9)^2</f>
        <v>1.167429430158573E-3</v>
      </c>
      <c r="O50">
        <f>Table3[[#This Row],[weight]]*(0.9155*Table2[[#This Row],[J45]]-D$9)^2</f>
        <v>1.7210606238351042E-3</v>
      </c>
      <c r="P50">
        <f>Table3[[#This Row],[weight]]*(0.9155*Table2[[#This Row],[J56]]-E$9)^2</f>
        <v>7.5055133254245667E-3</v>
      </c>
      <c r="Q50">
        <f>Table3[[#This Row],[weight]]*(0.9155*Table2[[#This Row],[J67]]-F$9)^2</f>
        <v>1.4469917005386183E-2</v>
      </c>
      <c r="R50">
        <f>Table3[[#This Row],[weight]]*(0.9155*Table2[[#This Row],[J67'']]-G$9)^2</f>
        <v>5.6332182738596555E-5</v>
      </c>
      <c r="S50">
        <f>chloroform!J55</f>
        <v>1.2004404313450875E-4</v>
      </c>
      <c r="T50" t="str">
        <f>chloroform!F55</f>
        <v>12C5</v>
      </c>
    </row>
    <row r="51" spans="11:20" x14ac:dyDescent="0.25">
      <c r="K51">
        <f>chloroform!E56</f>
        <v>145</v>
      </c>
      <c r="L51">
        <f>Table3[[#This Row],[weight]]*(0.9155*Table2[[#This Row],[J1,2]]-A$9)^2</f>
        <v>3.5831334530750061E-4</v>
      </c>
      <c r="M51">
        <f>Table3[[#This Row],[weight]]*(0.9155*Table2[[#This Row],[J2,3]]-B$9)^2</f>
        <v>1.2437530059928757E-4</v>
      </c>
      <c r="N51">
        <f>Table3[[#This Row],[weight]]*(0.9155*Table2[[#This Row],[J34]]-C$9)^2</f>
        <v>2.0413904828087588E-3</v>
      </c>
      <c r="O51">
        <f>Table3[[#This Row],[weight]]*(0.9155*Table2[[#This Row],[J45]]-D$9)^2</f>
        <v>4.5990556815739469E-3</v>
      </c>
      <c r="P51">
        <f>Table3[[#This Row],[weight]]*(0.9155*Table2[[#This Row],[J56]]-E$9)^2</f>
        <v>1.7962039279730595E-2</v>
      </c>
      <c r="Q51">
        <f>Table3[[#This Row],[weight]]*(0.9155*Table2[[#This Row],[J67]]-F$9)^2</f>
        <v>3.3755695706655896E-2</v>
      </c>
      <c r="R51">
        <f>Table3[[#This Row],[weight]]*(0.9155*Table2[[#This Row],[J67'']]-G$9)^2</f>
        <v>1.9117772053747073E-4</v>
      </c>
      <c r="S51">
        <f>chloroform!J56</f>
        <v>2.7110679059549544E-4</v>
      </c>
      <c r="T51" t="str">
        <f>chloroform!F56</f>
        <v>5C12</v>
      </c>
    </row>
    <row r="52" spans="11:20" x14ac:dyDescent="0.25">
      <c r="K52">
        <f>chloroform!E57</f>
        <v>166</v>
      </c>
      <c r="L52">
        <f>Table3[[#This Row],[weight]]*(0.9155*Table2[[#This Row],[J1,2]]-A$9)^2</f>
        <v>1.9902927352092926E-3</v>
      </c>
      <c r="M52">
        <f>Table3[[#This Row],[weight]]*(0.9155*Table2[[#This Row],[J2,3]]-B$9)^2</f>
        <v>2.2765053686109319E-2</v>
      </c>
      <c r="N52">
        <f>Table3[[#This Row],[weight]]*(0.9155*Table2[[#This Row],[J34]]-C$9)^2</f>
        <v>4.6169716233395632E-3</v>
      </c>
      <c r="O52">
        <f>Table3[[#This Row],[weight]]*(0.9155*Table2[[#This Row],[J45]]-D$9)^2</f>
        <v>0.1086703341714701</v>
      </c>
      <c r="P52">
        <f>Table3[[#This Row],[weight]]*(0.9155*Table2[[#This Row],[J56]]-E$9)^2</f>
        <v>6.6247003542863449E-3</v>
      </c>
      <c r="Q52">
        <f>Table3[[#This Row],[weight]]*(0.9155*Table2[[#This Row],[J67]]-F$9)^2</f>
        <v>5.1974554258301514E-4</v>
      </c>
      <c r="R52">
        <f>Table3[[#This Row],[weight]]*(0.9155*Table2[[#This Row],[J67'']]-G$9)^2</f>
        <v>4.9068730568097074E-2</v>
      </c>
      <c r="S52">
        <f>chloroform!J57</f>
        <v>1.0003138948241506E-3</v>
      </c>
      <c r="T52" t="str">
        <f>chloroform!F57</f>
        <v>5C12</v>
      </c>
    </row>
    <row r="53" spans="11:20" x14ac:dyDescent="0.25">
      <c r="K53">
        <f>chloroform!E58</f>
        <v>173</v>
      </c>
      <c r="L53">
        <f>Table3[[#This Row],[weight]]*(0.9155*Table2[[#This Row],[J1,2]]-A$9)^2</f>
        <v>2.3482847061083429E-4</v>
      </c>
      <c r="M53">
        <f>Table3[[#This Row],[weight]]*(0.9155*Table2[[#This Row],[J2,3]]-B$9)^2</f>
        <v>8.6917929312524525E-5</v>
      </c>
      <c r="N53">
        <f>Table3[[#This Row],[weight]]*(0.9155*Table2[[#This Row],[J34]]-C$9)^2</f>
        <v>1.981410616424067E-3</v>
      </c>
      <c r="O53">
        <f>Table3[[#This Row],[weight]]*(0.9155*Table2[[#This Row],[J45]]-D$9)^2</f>
        <v>3.5609745785995261E-3</v>
      </c>
      <c r="P53">
        <f>Table3[[#This Row],[weight]]*(0.9155*Table2[[#This Row],[J56]]-E$9)^2</f>
        <v>1.2678221257456429E-2</v>
      </c>
      <c r="Q53">
        <f>Table3[[#This Row],[weight]]*(0.9155*Table2[[#This Row],[J67]]-F$9)^2</f>
        <v>5.1663877267736129E-6</v>
      </c>
      <c r="R53">
        <f>Table3[[#This Row],[weight]]*(0.9155*Table2[[#This Row],[J67'']]-G$9)^2</f>
        <v>8.3280504363899381E-3</v>
      </c>
      <c r="S53">
        <f>chloroform!J58</f>
        <v>2.1417677191485216E-4</v>
      </c>
      <c r="T53" t="str">
        <f>chloroform!F58</f>
        <v>12C5</v>
      </c>
    </row>
    <row r="54" spans="11:20" x14ac:dyDescent="0.25">
      <c r="K54">
        <f>chloroform!E59</f>
        <v>191</v>
      </c>
      <c r="L54">
        <f>Table3[[#This Row],[weight]]*(0.9155*Table2[[#This Row],[J1,2]]-A$9)^2</f>
        <v>6.7461821715136754E-5</v>
      </c>
      <c r="M54">
        <f>Table3[[#This Row],[weight]]*(0.9155*Table2[[#This Row],[J2,3]]-B$9)^2</f>
        <v>4.6827179053516831E-6</v>
      </c>
      <c r="N54">
        <f>Table3[[#This Row],[weight]]*(0.9155*Table2[[#This Row],[J34]]-C$9)^2</f>
        <v>6.7915626496037427E-4</v>
      </c>
      <c r="O54">
        <f>Table3[[#This Row],[weight]]*(0.9155*Table2[[#This Row],[J45]]-D$9)^2</f>
        <v>1.4002927296567038E-3</v>
      </c>
      <c r="P54">
        <f>Table3[[#This Row],[weight]]*(0.9155*Table2[[#This Row],[J56]]-E$9)^2</f>
        <v>6.565781963731014E-3</v>
      </c>
      <c r="Q54">
        <f>Table3[[#This Row],[weight]]*(0.9155*Table2[[#This Row],[J67]]-F$9)^2</f>
        <v>1.1901113627758359E-2</v>
      </c>
      <c r="R54">
        <f>Table3[[#This Row],[weight]]*(0.9155*Table2[[#This Row],[J67'']]-G$9)^2</f>
        <v>8.8890843979025851E-5</v>
      </c>
      <c r="S54">
        <f>chloroform!J59</f>
        <v>9.8765904417687437E-5</v>
      </c>
      <c r="T54" t="str">
        <f>chloroform!F59</f>
        <v>12C5</v>
      </c>
    </row>
    <row r="55" spans="11:20" x14ac:dyDescent="0.25">
      <c r="K55">
        <f>chloroform!E60</f>
        <v>193</v>
      </c>
      <c r="L55">
        <f>Table3[[#This Row],[weight]]*(0.9155*Table2[[#This Row],[J1,2]]-A$9)^2</f>
        <v>5.9581932748618187E-4</v>
      </c>
      <c r="M55">
        <f>Table3[[#This Row],[weight]]*(0.9155*Table2[[#This Row],[J2,3]]-B$9)^2</f>
        <v>3.2980430797834221E-4</v>
      </c>
      <c r="N55">
        <f>Table3[[#This Row],[weight]]*(0.9155*Table2[[#This Row],[J34]]-C$9)^2</f>
        <v>4.4807679505503269E-3</v>
      </c>
      <c r="O55">
        <f>Table3[[#This Row],[weight]]*(0.9155*Table2[[#This Row],[J45]]-D$9)^2</f>
        <v>7.8004746956521721E-3</v>
      </c>
      <c r="P55">
        <f>Table3[[#This Row],[weight]]*(0.9155*Table2[[#This Row],[J56]]-E$9)^2</f>
        <v>2.9520117550114702E-2</v>
      </c>
      <c r="Q55">
        <f>Table3[[#This Row],[weight]]*(0.9155*Table2[[#This Row],[J67]]-F$9)^2</f>
        <v>7.740711947445997E-7</v>
      </c>
      <c r="R55">
        <f>Table3[[#This Row],[weight]]*(0.9155*Table2[[#This Row],[J67'']]-G$9)^2</f>
        <v>1.664052352526035E-2</v>
      </c>
      <c r="S55">
        <f>chloroform!J60</f>
        <v>4.9141415597775981E-4</v>
      </c>
      <c r="T55" t="str">
        <f>chloroform!F60</f>
        <v>12C5</v>
      </c>
    </row>
    <row r="56" spans="11:20" x14ac:dyDescent="0.25">
      <c r="K56">
        <f>chloroform!E61</f>
        <v>197</v>
      </c>
      <c r="L56">
        <f>Table3[[#This Row],[weight]]*(0.9155*Table2[[#This Row],[J1,2]]-A$9)^2</f>
        <v>0</v>
      </c>
      <c r="M56">
        <f>Table3[[#This Row],[weight]]*(0.9155*Table2[[#This Row],[J2,3]]-B$9)^2</f>
        <v>0</v>
      </c>
      <c r="N56">
        <f>Table3[[#This Row],[weight]]*(0.9155*Table2[[#This Row],[J34]]-C$9)^2</f>
        <v>0</v>
      </c>
      <c r="O56">
        <f>Table3[[#This Row],[weight]]*(0.9155*Table2[[#This Row],[J45]]-D$9)^2</f>
        <v>0</v>
      </c>
      <c r="P56">
        <f>Table3[[#This Row],[weight]]*(0.9155*Table2[[#This Row],[J56]]-E$9)^2</f>
        <v>0</v>
      </c>
      <c r="Q56">
        <f>Table3[[#This Row],[weight]]*(0.9155*Table2[[#This Row],[J67]]-F$9)^2</f>
        <v>0</v>
      </c>
      <c r="R56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>
        <f>Table3[[#This Row],[weight]]*(0.9155*Table2[[#This Row],[J1,2]]-A$9)^2</f>
        <v>7.5177529308045164E-5</v>
      </c>
      <c r="M57">
        <f>Table3[[#This Row],[weight]]*(0.9155*Table2[[#This Row],[J2,3]]-B$9)^2</f>
        <v>1.1828500607880331E-3</v>
      </c>
      <c r="N57">
        <f>Table3[[#This Row],[weight]]*(0.9155*Table2[[#This Row],[J34]]-C$9)^2</f>
        <v>4.4360933337549374E-4</v>
      </c>
      <c r="O57">
        <f>Table3[[#This Row],[weight]]*(0.9155*Table2[[#This Row],[J45]]-D$9)^2</f>
        <v>4.655817998040386E-3</v>
      </c>
      <c r="P57">
        <f>Table3[[#This Row],[weight]]*(0.9155*Table2[[#This Row],[J56]]-E$9)^2</f>
        <v>2.2500177694922103E-4</v>
      </c>
      <c r="Q57">
        <f>Table3[[#This Row],[weight]]*(0.9155*Table2[[#This Row],[J67]]-F$9)^2</f>
        <v>4.0133978006504231E-6</v>
      </c>
      <c r="R57">
        <f>Table3[[#This Row],[weight]]*(0.9155*Table2[[#This Row],[J67'']]-G$9)^2</f>
        <v>1.6574078276956209E-3</v>
      </c>
      <c r="S57">
        <f>chloroform!J62</f>
        <v>4.3091300945158128E-5</v>
      </c>
      <c r="T57" t="str">
        <f>chloroform!F62</f>
        <v>5C12</v>
      </c>
    </row>
    <row r="58" spans="11:20" x14ac:dyDescent="0.25">
      <c r="K58">
        <f>chloroform!E63</f>
        <v>212</v>
      </c>
      <c r="L58">
        <f>Table3[[#This Row],[weight]]*(0.9155*Table2[[#This Row],[J1,2]]-A$9)^2</f>
        <v>7.5066938027066452E-5</v>
      </c>
      <c r="M58">
        <f>Table3[[#This Row],[weight]]*(0.9155*Table2[[#This Row],[J2,3]]-B$9)^2</f>
        <v>3.8258387035709829E-5</v>
      </c>
      <c r="N58">
        <f>Table3[[#This Row],[weight]]*(0.9155*Table2[[#This Row],[J34]]-C$9)^2</f>
        <v>9.4799223986920993E-4</v>
      </c>
      <c r="O58">
        <f>Table3[[#This Row],[weight]]*(0.9155*Table2[[#This Row],[J45]]-D$9)^2</f>
        <v>1.109839268400585E-3</v>
      </c>
      <c r="P58">
        <f>Table3[[#This Row],[weight]]*(0.9155*Table2[[#This Row],[J56]]-E$9)^2</f>
        <v>4.4688551666777617E-3</v>
      </c>
      <c r="Q58">
        <f>Table3[[#This Row],[weight]]*(0.9155*Table2[[#This Row],[J67]]-F$9)^2</f>
        <v>1.2932259444960386E-5</v>
      </c>
      <c r="R58">
        <f>Table3[[#This Row],[weight]]*(0.9155*Table2[[#This Row],[J67'']]-G$9)^2</f>
        <v>2.959944384825882E-3</v>
      </c>
      <c r="S58">
        <f>chloroform!J63</f>
        <v>7.8853666299825601E-5</v>
      </c>
      <c r="T58" t="str">
        <f>chloroform!F63</f>
        <v>12C5</v>
      </c>
    </row>
    <row r="59" spans="11:20" x14ac:dyDescent="0.25">
      <c r="K59">
        <f>chloroform!E64</f>
        <v>215</v>
      </c>
      <c r="L59">
        <f>Table3[[#This Row],[weight]]*(0.9155*Table2[[#This Row],[J1,2]]-A$9)^2</f>
        <v>6.6188523340022143E-4</v>
      </c>
      <c r="M59">
        <f>Table3[[#This Row],[weight]]*(0.9155*Table2[[#This Row],[J2,3]]-B$9)^2</f>
        <v>1.9613488673471524E-4</v>
      </c>
      <c r="N59">
        <f>Table3[[#This Row],[weight]]*(0.9155*Table2[[#This Row],[J34]]-C$9)^2</f>
        <v>4.5303360998085202E-3</v>
      </c>
      <c r="O59">
        <f>Table3[[#This Row],[weight]]*(0.9155*Table2[[#This Row],[J45]]-D$9)^2</f>
        <v>9.2976252715644726E-3</v>
      </c>
      <c r="P59">
        <f>Table3[[#This Row],[weight]]*(0.9155*Table2[[#This Row],[J56]]-E$9)^2</f>
        <v>3.5001964904924375E-2</v>
      </c>
      <c r="Q59">
        <f>Table3[[#This Row],[weight]]*(0.9155*Table2[[#This Row],[J67]]-F$9)^2</f>
        <v>8.8133458591449179E-8</v>
      </c>
      <c r="R59">
        <f>Table3[[#This Row],[weight]]*(0.9155*Table2[[#This Row],[J67'']]-G$9)^2</f>
        <v>1.9140194607868949E-2</v>
      </c>
      <c r="S59">
        <f>chloroform!J64</f>
        <v>5.6452163965097087E-4</v>
      </c>
      <c r="T59" t="str">
        <f>chloroform!F64</f>
        <v>12C5</v>
      </c>
    </row>
    <row r="60" spans="11:20" x14ac:dyDescent="0.25">
      <c r="K60">
        <f>chloroform!E65</f>
        <v>219</v>
      </c>
      <c r="L60">
        <f>Table3[[#This Row],[weight]]*(0.9155*Table2[[#This Row],[J1,2]]-A$9)^2</f>
        <v>1.2216245182971661E-4</v>
      </c>
      <c r="M60">
        <f>Table3[[#This Row],[weight]]*(0.9155*Table2[[#This Row],[J2,3]]-B$9)^2</f>
        <v>7.9486323512622091E-5</v>
      </c>
      <c r="N60">
        <f>Table3[[#This Row],[weight]]*(0.9155*Table2[[#This Row],[J34]]-C$9)^2</f>
        <v>4.8484201568473485E-4</v>
      </c>
      <c r="O60">
        <f>Table3[[#This Row],[weight]]*(0.9155*Table2[[#This Row],[J45]]-D$9)^2</f>
        <v>1.1799032308254464E-3</v>
      </c>
      <c r="P60">
        <f>Table3[[#This Row],[weight]]*(0.9155*Table2[[#This Row],[J56]]-E$9)^2</f>
        <v>2.3444217073604555E-3</v>
      </c>
      <c r="Q60">
        <f>Table3[[#This Row],[weight]]*(0.9155*Table2[[#This Row],[J67]]-F$9)^2</f>
        <v>1.0963272069573727E-5</v>
      </c>
      <c r="R60">
        <f>Table3[[#This Row],[weight]]*(0.9155*Table2[[#This Row],[J67'']]-G$9)^2</f>
        <v>1.5687944099381E-3</v>
      </c>
      <c r="S60">
        <f>chloroform!J65</f>
        <v>4.425759062839742E-5</v>
      </c>
      <c r="T60" t="str">
        <f>chloroform!F65</f>
        <v>12C5</v>
      </c>
    </row>
    <row r="61" spans="11:20" x14ac:dyDescent="0.25">
      <c r="K61">
        <f>chloroform!E66</f>
        <v>220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>
        <f>Table3[[#This Row],[weight]]*(0.9155*Table2[[#This Row],[J1,2]]-A$9)^2</f>
        <v>5.5158388022986038E-4</v>
      </c>
      <c r="M62">
        <f>Table3[[#This Row],[weight]]*(0.9155*Table2[[#This Row],[J2,3]]-B$9)^2</f>
        <v>2.9499899991482085E-4</v>
      </c>
      <c r="N62">
        <f>Table3[[#This Row],[weight]]*(0.9155*Table2[[#This Row],[J34]]-C$9)^2</f>
        <v>3.9658875922884843E-3</v>
      </c>
      <c r="O62">
        <f>Table3[[#This Row],[weight]]*(0.9155*Table2[[#This Row],[J45]]-D$9)^2</f>
        <v>7.0752056360943606E-3</v>
      </c>
      <c r="P62">
        <f>Table3[[#This Row],[weight]]*(0.9155*Table2[[#This Row],[J56]]-E$9)^2</f>
        <v>2.4882985771482909E-2</v>
      </c>
      <c r="Q62">
        <f>Table3[[#This Row],[weight]]*(0.9155*Table2[[#This Row],[J67]]-F$9)^2</f>
        <v>1.8508555171014181E-5</v>
      </c>
      <c r="R62">
        <f>Table3[[#This Row],[weight]]*(0.9155*Table2[[#This Row],[J67'']]-G$9)^2</f>
        <v>1.6501052164635512E-2</v>
      </c>
      <c r="S62">
        <f>chloroform!J67</f>
        <v>4.2611597179223275E-4</v>
      </c>
      <c r="T62" t="str">
        <f>chloroform!F67</f>
        <v>12C5</v>
      </c>
    </row>
    <row r="63" spans="11:20" x14ac:dyDescent="0.25">
      <c r="K63">
        <f>chloroform!E68</f>
        <v>272</v>
      </c>
      <c r="L63">
        <f>Table3[[#This Row],[weight]]*(0.9155*Table2[[#This Row],[J1,2]]-A$9)^2</f>
        <v>4.8246385642123702E-5</v>
      </c>
      <c r="M63">
        <f>Table3[[#This Row],[weight]]*(0.9155*Table2[[#This Row],[J2,3]]-B$9)^2</f>
        <v>1.0309536796808834E-3</v>
      </c>
      <c r="N63">
        <f>Table3[[#This Row],[weight]]*(0.9155*Table2[[#This Row],[J34]]-C$9)^2</f>
        <v>1.61625132197648E-3</v>
      </c>
      <c r="O63">
        <f>Table3[[#This Row],[weight]]*(0.9155*Table2[[#This Row],[J45]]-D$9)^2</f>
        <v>3.9758634756774562E-3</v>
      </c>
      <c r="P63">
        <f>Table3[[#This Row],[weight]]*(0.9155*Table2[[#This Row],[J56]]-E$9)^2</f>
        <v>2.6754927263704325E-5</v>
      </c>
      <c r="Q63">
        <f>Table3[[#This Row],[weight]]*(0.9155*Table2[[#This Row],[J67]]-F$9)^2</f>
        <v>4.5162579032867327E-5</v>
      </c>
      <c r="R63">
        <f>Table3[[#This Row],[weight]]*(0.9155*Table2[[#This Row],[J67'']]-G$9)^2</f>
        <v>3.9242685729963447E-4</v>
      </c>
      <c r="S63">
        <f>chloroform!J68</f>
        <v>4.9881189024096471E-5</v>
      </c>
      <c r="T63" t="str">
        <f>chloroform!F68</f>
        <v>5C12</v>
      </c>
    </row>
    <row r="64" spans="11:20" x14ac:dyDescent="0.25">
      <c r="K64">
        <f>chloroform!E69</f>
        <v>276</v>
      </c>
      <c r="L64">
        <f>Table3[[#This Row],[weight]]*(0.9155*Table2[[#This Row],[J1,2]]-A$9)^2</f>
        <v>0</v>
      </c>
      <c r="M64">
        <f>Table3[[#This Row],[weight]]*(0.9155*Table2[[#This Row],[J2,3]]-B$9)^2</f>
        <v>0</v>
      </c>
      <c r="N64">
        <f>Table3[[#This Row],[weight]]*(0.9155*Table2[[#This Row],[J34]]-C$9)^2</f>
        <v>0</v>
      </c>
      <c r="O64">
        <f>Table3[[#This Row],[weight]]*(0.9155*Table2[[#This Row],[J45]]-D$9)^2</f>
        <v>0</v>
      </c>
      <c r="P64">
        <f>Table3[[#This Row],[weight]]*(0.9155*Table2[[#This Row],[J56]]-E$9)^2</f>
        <v>0</v>
      </c>
      <c r="Q64">
        <f>Table3[[#This Row],[weight]]*(0.9155*Table2[[#This Row],[J67]]-F$9)^2</f>
        <v>0</v>
      </c>
      <c r="R64">
        <f>Table3[[#This Row],[weight]]*(0.9155*Table2[[#This Row],[J67'']]-G$9)^2</f>
        <v>0</v>
      </c>
      <c r="S64">
        <f>chloroform!J69</f>
        <v>0</v>
      </c>
      <c r="T64" t="str">
        <f>chloroform!F69</f>
        <v>4H6</v>
      </c>
    </row>
    <row r="65" spans="11:20" x14ac:dyDescent="0.25">
      <c r="K65">
        <f>chloroform!E70</f>
        <v>278</v>
      </c>
      <c r="L65">
        <f>Table3[[#This Row],[weight]]*(0.9155*Table2[[#This Row],[J1,2]]-A$9)^2</f>
        <v>9.1959452666543807E-5</v>
      </c>
      <c r="M65">
        <f>Table3[[#This Row],[weight]]*(0.9155*Table2[[#This Row],[J2,3]]-B$9)^2</f>
        <v>1.3110916348335517E-3</v>
      </c>
      <c r="N65">
        <f>Table3[[#This Row],[weight]]*(0.9155*Table2[[#This Row],[J34]]-C$9)^2</f>
        <v>5.3612510610227316E-4</v>
      </c>
      <c r="O65">
        <f>Table3[[#This Row],[weight]]*(0.9155*Table2[[#This Row],[J45]]-D$9)^2</f>
        <v>5.2582963203358594E-3</v>
      </c>
      <c r="P65">
        <f>Table3[[#This Row],[weight]]*(0.9155*Table2[[#This Row],[J56]]-E$9)^2</f>
        <v>1.7138165473564834E-4</v>
      </c>
      <c r="Q65">
        <f>Table3[[#This Row],[weight]]*(0.9155*Table2[[#This Row],[J67]]-F$9)^2</f>
        <v>3.1135129487706108E-3</v>
      </c>
      <c r="R65">
        <f>Table3[[#This Row],[weight]]*(0.9155*Table2[[#This Row],[J67'']]-G$9)^2</f>
        <v>2.5466853755790021E-4</v>
      </c>
      <c r="S65">
        <f>chloroform!J70</f>
        <v>4.7629892029221072E-5</v>
      </c>
      <c r="T65" t="str">
        <f>chloroform!F70</f>
        <v>5C12</v>
      </c>
    </row>
    <row r="66" spans="11:20" x14ac:dyDescent="0.25">
      <c r="K66">
        <f>chloroform!E71</f>
        <v>283</v>
      </c>
      <c r="L66">
        <f>Table3[[#This Row],[weight]]*(0.9155*Table2[[#This Row],[J1,2]]-A$9)^2</f>
        <v>4.2431846059329415E-5</v>
      </c>
      <c r="M66">
        <f>Table3[[#This Row],[weight]]*(0.9155*Table2[[#This Row],[J2,3]]-B$9)^2</f>
        <v>1.1644879570064607E-3</v>
      </c>
      <c r="N66">
        <f>Table3[[#This Row],[weight]]*(0.9155*Table2[[#This Row],[J34]]-C$9)^2</f>
        <v>1.0652599564434928E-3</v>
      </c>
      <c r="O66">
        <f>Table3[[#This Row],[weight]]*(0.9155*Table2[[#This Row],[J45]]-D$9)^2</f>
        <v>3.9326485724423248E-3</v>
      </c>
      <c r="P66">
        <f>Table3[[#This Row],[weight]]*(0.9155*Table2[[#This Row],[J56]]-E$9)^2</f>
        <v>5.6316586192855914E-5</v>
      </c>
      <c r="Q66">
        <f>Table3[[#This Row],[weight]]*(0.9155*Table2[[#This Row],[J67]]-F$9)^2</f>
        <v>4.1198232586889556E-3</v>
      </c>
      <c r="R66">
        <f>Table3[[#This Row],[weight]]*(0.9155*Table2[[#This Row],[J67'']]-G$9)^2</f>
        <v>2.4476576406860155E-4</v>
      </c>
      <c r="S66">
        <f>chloroform!J71</f>
        <v>5.1523839288763394E-5</v>
      </c>
      <c r="T66" t="str">
        <f>chloroform!F71</f>
        <v>5C12</v>
      </c>
    </row>
    <row r="67" spans="11:20" x14ac:dyDescent="0.25">
      <c r="K67">
        <f>chloroform!E72</f>
        <v>290</v>
      </c>
      <c r="L67">
        <f>Table3[[#This Row],[weight]]*(0.9155*Table2[[#This Row],[J1,2]]-A$9)^2</f>
        <v>0</v>
      </c>
      <c r="M67">
        <f>Table3[[#This Row],[weight]]*(0.9155*Table2[[#This Row],[J2,3]]-B$9)^2</f>
        <v>0</v>
      </c>
      <c r="N67">
        <f>Table3[[#This Row],[weight]]*(0.9155*Table2[[#This Row],[J34]]-C$9)^2</f>
        <v>0</v>
      </c>
      <c r="O67">
        <f>Table3[[#This Row],[weight]]*(0.9155*Table2[[#This Row],[J45]]-D$9)^2</f>
        <v>0</v>
      </c>
      <c r="P67">
        <f>Table3[[#This Row],[weight]]*(0.9155*Table2[[#This Row],[J56]]-E$9)^2</f>
        <v>0</v>
      </c>
      <c r="Q67">
        <f>Table3[[#This Row],[weight]]*(0.9155*Table2[[#This Row],[J67]]-F$9)^2</f>
        <v>0</v>
      </c>
      <c r="R67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>
        <f>Table3[[#This Row],[weight]]*(0.9155*Table2[[#This Row],[J1,2]]-A$9)^2</f>
        <v>0</v>
      </c>
      <c r="M68">
        <f>Table3[[#This Row],[weight]]*(0.9155*Table2[[#This Row],[J2,3]]-B$9)^2</f>
        <v>0</v>
      </c>
      <c r="N68">
        <f>Table3[[#This Row],[weight]]*(0.9155*Table2[[#This Row],[J34]]-C$9)^2</f>
        <v>0</v>
      </c>
      <c r="O68">
        <f>Table3[[#This Row],[weight]]*(0.9155*Table2[[#This Row],[J45]]-D$9)^2</f>
        <v>0</v>
      </c>
      <c r="P68">
        <f>Table3[[#This Row],[weight]]*(0.9155*Table2[[#This Row],[J56]]-E$9)^2</f>
        <v>0</v>
      </c>
      <c r="Q68">
        <f>Table3[[#This Row],[weight]]*(0.9155*Table2[[#This Row],[J67]]-F$9)^2</f>
        <v>0</v>
      </c>
      <c r="R68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>
        <f>Table3[[#This Row],[weight]]*(0.9155*Table2[[#This Row],[J1,2]]-A$9)^2</f>
        <v>0</v>
      </c>
      <c r="M69">
        <f>Table3[[#This Row],[weight]]*(0.9155*Table2[[#This Row],[J2,3]]-B$9)^2</f>
        <v>0</v>
      </c>
      <c r="N69">
        <f>Table3[[#This Row],[weight]]*(0.9155*Table2[[#This Row],[J34]]-C$9)^2</f>
        <v>0</v>
      </c>
      <c r="O69">
        <f>Table3[[#This Row],[weight]]*(0.9155*Table2[[#This Row],[J45]]-D$9)^2</f>
        <v>0</v>
      </c>
      <c r="P69">
        <f>Table3[[#This Row],[weight]]*(0.9155*Table2[[#This Row],[J56]]-E$9)^2</f>
        <v>0</v>
      </c>
      <c r="Q69">
        <f>Table3[[#This Row],[weight]]*(0.9155*Table2[[#This Row],[J67]]-F$9)^2</f>
        <v>0</v>
      </c>
      <c r="R69">
        <f>Table3[[#This Row],[weight]]*(0.9155*Table2[[#This Row],[J67'']]-G$9)^2</f>
        <v>0</v>
      </c>
      <c r="S69">
        <f>chloroform!J74</f>
        <v>0</v>
      </c>
      <c r="T69" t="str">
        <f>chloroform!F74</f>
        <v>4H6</v>
      </c>
    </row>
    <row r="70" spans="11:20" x14ac:dyDescent="0.25">
      <c r="K70">
        <f>chloroform!E75</f>
        <v>396</v>
      </c>
      <c r="L70">
        <f>Table3[[#This Row],[weight]]*(0.9155*Table2[[#This Row],[J1,2]]-A$9)^2</f>
        <v>0</v>
      </c>
      <c r="M70">
        <f>Table3[[#This Row],[weight]]*(0.9155*Table2[[#This Row],[J2,3]]-B$9)^2</f>
        <v>0</v>
      </c>
      <c r="N70">
        <f>Table3[[#This Row],[weight]]*(0.9155*Table2[[#This Row],[J34]]-C$9)^2</f>
        <v>0</v>
      </c>
      <c r="O70">
        <f>Table3[[#This Row],[weight]]*(0.9155*Table2[[#This Row],[J45]]-D$9)^2</f>
        <v>0</v>
      </c>
      <c r="P70">
        <f>Table3[[#This Row],[weight]]*(0.9155*Table2[[#This Row],[J56]]-E$9)^2</f>
        <v>0</v>
      </c>
      <c r="Q70">
        <f>Table3[[#This Row],[weight]]*(0.9155*Table2[[#This Row],[J67]]-F$9)^2</f>
        <v>0</v>
      </c>
      <c r="R70">
        <f>Table3[[#This Row],[weight]]*(0.9155*Table2[[#This Row],[J67'']]-G$9)^2</f>
        <v>0</v>
      </c>
      <c r="S70">
        <f>chloroform!J75</f>
        <v>0</v>
      </c>
      <c r="T70" t="str">
        <f>chloroform!F75</f>
        <v>4H6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B92A-13D4-4ABE-A335-DD3FA08D2472}">
  <dimension ref="A1:T70"/>
  <sheetViews>
    <sheetView workbookViewId="0">
      <selection activeCell="G23" sqref="G23"/>
    </sheetView>
  </sheetViews>
  <sheetFormatPr defaultRowHeight="15" x14ac:dyDescent="0.25"/>
  <cols>
    <col min="11" max="11" width="10.5703125" customWidth="1"/>
    <col min="12" max="12" width="12" bestFit="1" customWidth="1"/>
    <col min="13" max="19" width="9.28515625" bestFit="1" customWidth="1"/>
    <col min="20" max="20" width="14" customWidth="1"/>
  </cols>
  <sheetData>
    <row r="1" spans="1:20" x14ac:dyDescent="0.25">
      <c r="A1" t="s">
        <v>77</v>
      </c>
      <c r="B1">
        <f>SUMIF(Table1[Classification],E1,Table1[weight])</f>
        <v>0.24943967149327839</v>
      </c>
      <c r="D1" t="s">
        <v>11</v>
      </c>
      <c r="E1" t="s">
        <v>122</v>
      </c>
      <c r="G1">
        <f>COUNTIF(Table3[classification],E1)</f>
        <v>15</v>
      </c>
      <c r="K1" t="s">
        <v>76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74</v>
      </c>
      <c r="S1" t="s">
        <v>15</v>
      </c>
      <c r="T1" t="s">
        <v>75</v>
      </c>
    </row>
    <row r="2" spans="1:20" x14ac:dyDescent="0.25">
      <c r="K2">
        <f>chloroform!E7</f>
        <v>2</v>
      </c>
      <c r="L2">
        <f>Table3[[#This Row],[weight]]*(0.9155*Table2[[#This Row],[J1,2]]-A$9)^2</f>
        <v>1.7789829955163265E-2</v>
      </c>
      <c r="M2">
        <f>Table3[[#This Row],[weight]]*(0.9155*Table2[[#This Row],[J2,3]]-B$9)^2</f>
        <v>7.258892844190159E-3</v>
      </c>
      <c r="N2">
        <f>Table3[[#This Row],[weight]]*(0.9155*Table2[[#This Row],[J34]]-C$9)^2</f>
        <v>0.29183895132275789</v>
      </c>
      <c r="O2">
        <f>Table3[[#This Row],[weight]]*(0.9155*Table2[[#This Row],[J45]]-D$9)^2</f>
        <v>0.47297542084589961</v>
      </c>
      <c r="P2">
        <f>Table3[[#This Row],[weight]]*(0.9155*Table2[[#This Row],[J56]]-E$9)^2</f>
        <v>7.602488134149929E-2</v>
      </c>
      <c r="Q2">
        <f>Table3[[#This Row],[weight]]*(0.9155*Table2[[#This Row],[J67]]-F$9)^2</f>
        <v>9.6606300247754212E-3</v>
      </c>
      <c r="R2">
        <f>Table3[[#This Row],[weight]]*(0.9155*Table2[[#This Row],[J67'']]-G$9)^2</f>
        <v>0.54483684172476987</v>
      </c>
      <c r="S2">
        <f>chloroform!J7</f>
        <v>1.9326078955663063E-2</v>
      </c>
      <c r="T2" t="str">
        <f>chloroform!F7</f>
        <v>4H6</v>
      </c>
    </row>
    <row r="3" spans="1:20" x14ac:dyDescent="0.25">
      <c r="K3">
        <f>chloroform!E8</f>
        <v>3</v>
      </c>
      <c r="L3">
        <f>Table3[[#This Row],[weight]]*(0.9155*Table2[[#This Row],[J1,2]]-A$9)^2</f>
        <v>1.7645740649895506E-2</v>
      </c>
      <c r="M3">
        <f>Table3[[#This Row],[weight]]*(0.9155*Table2[[#This Row],[J2,3]]-B$9)^2</f>
        <v>2.5055645127372426E-2</v>
      </c>
      <c r="N3">
        <f>Table3[[#This Row],[weight]]*(0.9155*Table2[[#This Row],[J34]]-C$9)^2</f>
        <v>0.29850907252606057</v>
      </c>
      <c r="O3">
        <f>Table3[[#This Row],[weight]]*(0.9155*Table2[[#This Row],[J45]]-D$9)^2</f>
        <v>0.72371338357449844</v>
      </c>
      <c r="P3">
        <f>Table3[[#This Row],[weight]]*(0.9155*Table2[[#This Row],[J56]]-E$9)^2</f>
        <v>5.8626131637697421E-2</v>
      </c>
      <c r="Q3">
        <f>Table3[[#This Row],[weight]]*(0.9155*Table2[[#This Row],[J67]]-F$9)^2</f>
        <v>2.0467405441035258E-2</v>
      </c>
      <c r="R3">
        <f>Table3[[#This Row],[weight]]*(0.9155*Table2[[#This Row],[J67'']]-G$9)^2</f>
        <v>0.70029808289690232</v>
      </c>
      <c r="S3">
        <f>chloroform!J8</f>
        <v>2.5992690474494064E-2</v>
      </c>
      <c r="T3" t="str">
        <f>chloroform!F8</f>
        <v>4H6</v>
      </c>
    </row>
    <row r="4" spans="1:20" x14ac:dyDescent="0.25">
      <c r="A4" t="s">
        <v>67</v>
      </c>
      <c r="B4" t="s">
        <v>68</v>
      </c>
      <c r="C4" t="s">
        <v>69</v>
      </c>
      <c r="D4" t="s">
        <v>70</v>
      </c>
      <c r="E4" t="s">
        <v>71</v>
      </c>
      <c r="F4" t="s">
        <v>72</v>
      </c>
      <c r="G4" t="s">
        <v>74</v>
      </c>
      <c r="K4">
        <f>chloroform!E9</f>
        <v>4</v>
      </c>
      <c r="L4">
        <f>Table3[[#This Row],[weight]]*(0.9155*Table2[[#This Row],[J1,2]]-A$9)^2</f>
        <v>5.6425157791484978E-2</v>
      </c>
      <c r="M4">
        <f>Table3[[#This Row],[weight]]*(0.9155*Table2[[#This Row],[J2,3]]-B$9)^2</f>
        <v>8.5865902440365339E-3</v>
      </c>
      <c r="N4">
        <f>Table3[[#This Row],[weight]]*(0.9155*Table2[[#This Row],[J34]]-C$9)^2</f>
        <v>1.2441081740866304</v>
      </c>
      <c r="O4">
        <f>Table3[[#This Row],[weight]]*(0.9155*Table2[[#This Row],[J45]]-D$9)^2</f>
        <v>2.587643289150936</v>
      </c>
      <c r="P4">
        <f>Table3[[#This Row],[weight]]*(0.9155*Table2[[#This Row],[J56]]-E$9)^2</f>
        <v>0.24473502725381799</v>
      </c>
      <c r="Q4">
        <f>Table3[[#This Row],[weight]]*(0.9155*Table2[[#This Row],[J67]]-F$9)^2</f>
        <v>0.12380537315313109</v>
      </c>
      <c r="R4">
        <f>Table3[[#This Row],[weight]]*(0.9155*Table2[[#This Row],[J67'']]-G$9)^2</f>
        <v>0.11714474025613666</v>
      </c>
      <c r="S4">
        <f>chloroform!J9</f>
        <v>8.9978232529870944E-2</v>
      </c>
      <c r="T4" t="str">
        <f>chloroform!F9</f>
        <v>4H6</v>
      </c>
    </row>
    <row r="5" spans="1:20" x14ac:dyDescent="0.25">
      <c r="A5">
        <f>SUMIF(Table1[Classification],E1,Table2[J1,23])/$B$1</f>
        <v>7.9877251117807067</v>
      </c>
      <c r="B5">
        <f>SUMIF(Table1[Classification],E1,Table2[J2,34])/$B$1</f>
        <v>8.4742613803317646</v>
      </c>
      <c r="C5">
        <f>SUMIF(Table1[Classification],E1,Table2[J345])/$B$1</f>
        <v>2.0574532279260214</v>
      </c>
      <c r="D5">
        <f>SUMIF(Table1[Classification],E1,Table2[J456])/$B$1</f>
        <v>5.7902381621500876</v>
      </c>
      <c r="E5">
        <f>SUMIF(Table1[Classification],E1,Table2[J567])/$B$1</f>
        <v>9.1051556750243847</v>
      </c>
      <c r="F5">
        <f>SUMIF(Table1[Classification],E1,Table2[J678])/$B$1</f>
        <v>2.0555501180978077</v>
      </c>
      <c r="G5">
        <f>SUMIF(Table1[Classification],E1,Table2[J67''9])/$B$1</f>
        <v>4.1319569526140896</v>
      </c>
      <c r="K5">
        <f>chloroform!E10</f>
        <v>6</v>
      </c>
      <c r="L5">
        <f>Table3[[#This Row],[weight]]*(0.9155*Table2[[#This Row],[J1,2]]-A$9)^2</f>
        <v>7.8720314968727598E-2</v>
      </c>
      <c r="M5">
        <f>Table3[[#This Row],[weight]]*(0.9155*Table2[[#This Row],[J2,3]]-B$9)^2</f>
        <v>7.4164585613661627E-2</v>
      </c>
      <c r="N5">
        <f>Table3[[#This Row],[weight]]*(0.9155*Table2[[#This Row],[J34]]-C$9)^2</f>
        <v>1.8404916831521654</v>
      </c>
      <c r="O5">
        <f>Table3[[#This Row],[weight]]*(0.9155*Table2[[#This Row],[J45]]-D$9)^2</f>
        <v>5.7754179202287457</v>
      </c>
      <c r="P5">
        <f>Table3[[#This Row],[weight]]*(0.9155*Table2[[#This Row],[J56]]-E$9)^2</f>
        <v>0.55608498407989315</v>
      </c>
      <c r="Q5">
        <f>Table3[[#This Row],[weight]]*(0.9155*Table2[[#This Row],[J67]]-F$9)^2</f>
        <v>0.17722066533430825</v>
      </c>
      <c r="R5">
        <f>Table3[[#This Row],[weight]]*(0.9155*Table2[[#This Row],[J67'']]-G$9)^2</f>
        <v>0.45470716240835535</v>
      </c>
      <c r="S5">
        <f>chloroform!J10</f>
        <v>0.19168619495999895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9.9610515876098299E-5</v>
      </c>
      <c r="M6">
        <f>Table3[[#This Row],[weight]]*(0.9155*Table2[[#This Row],[J2,3]]-B$9)^2</f>
        <v>1.6444466440419727E-3</v>
      </c>
      <c r="N6">
        <f>Table3[[#This Row],[weight]]*(0.9155*Table2[[#This Row],[J34]]-C$9)^2</f>
        <v>3.9562980264680513E-3</v>
      </c>
      <c r="O6">
        <f>Table3[[#This Row],[weight]]*(0.9155*Table2[[#This Row],[J45]]-D$9)^2</f>
        <v>5.5729648335297937E-4</v>
      </c>
      <c r="P6">
        <f>Table3[[#This Row],[weight]]*(0.9155*Table2[[#This Row],[J56]]-E$9)^2</f>
        <v>5.2275702520440037E-3</v>
      </c>
      <c r="Q6">
        <f>Table3[[#This Row],[weight]]*(0.9155*Table2[[#This Row],[J67]]-F$9)^2</f>
        <v>2.4745718025476226E-3</v>
      </c>
      <c r="R6">
        <f>Table3[[#This Row],[weight]]*(0.9155*Table2[[#This Row],[J67'']]-G$9)^2</f>
        <v>4.1322774633829364E-2</v>
      </c>
      <c r="S6">
        <f>chloroform!J11</f>
        <v>1.0782558885098603E-2</v>
      </c>
      <c r="T6" t="str">
        <f>chloroform!F11</f>
        <v>45TH</v>
      </c>
    </row>
    <row r="7" spans="1:20" x14ac:dyDescent="0.25">
      <c r="A7" t="s">
        <v>92</v>
      </c>
      <c r="K7">
        <f>chloroform!E12</f>
        <v>8</v>
      </c>
      <c r="L7">
        <f>Table3[[#This Row],[weight]]*(0.9155*Table2[[#This Row],[J1,2]]-A$9)^2</f>
        <v>3.1868313058123487E-2</v>
      </c>
      <c r="M7">
        <f>Table3[[#This Row],[weight]]*(0.9155*Table2[[#This Row],[J2,3]]-B$9)^2</f>
        <v>1.4837573091589476E-3</v>
      </c>
      <c r="N7">
        <f>Table3[[#This Row],[weight]]*(0.9155*Table2[[#This Row],[J34]]-C$9)^2</f>
        <v>0.75827481543956354</v>
      </c>
      <c r="O7">
        <f>Table3[[#This Row],[weight]]*(0.9155*Table2[[#This Row],[J45]]-D$9)^2</f>
        <v>2.4219878547898217</v>
      </c>
      <c r="P7">
        <f>Table3[[#This Row],[weight]]*(0.9155*Table2[[#This Row],[J56]]-E$9)^2</f>
        <v>0.22364007776223535</v>
      </c>
      <c r="Q7">
        <f>Table3[[#This Row],[weight]]*(0.9155*Table2[[#This Row],[J67]]-F$9)^2</f>
        <v>5.264646552434403E-2</v>
      </c>
      <c r="R7">
        <f>Table3[[#This Row],[weight]]*(0.9155*Table2[[#This Row],[J67'']]-G$9)^2</f>
        <v>0.24725190567835545</v>
      </c>
      <c r="S7">
        <f>chloroform!J12</f>
        <v>8.3702807101061455E-2</v>
      </c>
      <c r="T7" t="str">
        <f>chloroform!F12</f>
        <v>4H6</v>
      </c>
    </row>
    <row r="8" spans="1:20" x14ac:dyDescent="0.25">
      <c r="A8" t="s">
        <v>67</v>
      </c>
      <c r="B8" t="s">
        <v>68</v>
      </c>
      <c r="C8" t="s">
        <v>69</v>
      </c>
      <c r="D8" t="s">
        <v>70</v>
      </c>
      <c r="E8" t="s">
        <v>71</v>
      </c>
      <c r="F8" t="s">
        <v>72</v>
      </c>
      <c r="G8" t="s">
        <v>74</v>
      </c>
      <c r="K8">
        <f>chloroform!E13</f>
        <v>9</v>
      </c>
      <c r="L8">
        <f>Table3[[#This Row],[weight]]*(0.9155*Table2[[#This Row],[J1,2]]-A$9)^2</f>
        <v>1.9187467190854172E-2</v>
      </c>
      <c r="M8">
        <f>Table3[[#This Row],[weight]]*(0.9155*Table2[[#This Row],[J2,3]]-B$9)^2</f>
        <v>6.7693775341950346E-3</v>
      </c>
      <c r="N8">
        <f>Table3[[#This Row],[weight]]*(0.9155*Table2[[#This Row],[J34]]-C$9)^2</f>
        <v>0.35177990667885084</v>
      </c>
      <c r="O8">
        <f>Table3[[#This Row],[weight]]*(0.9155*Table2[[#This Row],[J45]]-D$9)^2</f>
        <v>0.58389347265407965</v>
      </c>
      <c r="P8">
        <f>Table3[[#This Row],[weight]]*(0.9155*Table2[[#This Row],[J56]]-E$9)^2</f>
        <v>6.3874014343107119E-2</v>
      </c>
      <c r="Q8">
        <f>Table3[[#This Row],[weight]]*(0.9155*Table2[[#This Row],[J67]]-F$9)^2</f>
        <v>2.4268398626763948E-3</v>
      </c>
      <c r="R8">
        <f>Table3[[#This Row],[weight]]*(0.9155*Table2[[#This Row],[J67'']]-G$9)^2</f>
        <v>0.21122131134223354</v>
      </c>
      <c r="S8">
        <f>chloroform!J13</f>
        <v>2.3405625614782842E-2</v>
      </c>
      <c r="T8" t="str">
        <f>chloroform!F13</f>
        <v>4H6</v>
      </c>
    </row>
    <row r="9" spans="1:20" x14ac:dyDescent="0.25">
      <c r="A9">
        <f t="shared" ref="A9:G9" si="0">A5</f>
        <v>7.9877251117807067</v>
      </c>
      <c r="B9">
        <f t="shared" si="0"/>
        <v>8.4742613803317646</v>
      </c>
      <c r="C9">
        <f t="shared" si="0"/>
        <v>2.0574532279260214</v>
      </c>
      <c r="D9">
        <f t="shared" si="0"/>
        <v>5.7902381621500876</v>
      </c>
      <c r="E9">
        <f t="shared" si="0"/>
        <v>9.1051556750243847</v>
      </c>
      <c r="F9">
        <f t="shared" si="0"/>
        <v>2.0555501180978077</v>
      </c>
      <c r="G9">
        <f t="shared" si="0"/>
        <v>4.1319569526140896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6.450591791122581E-6</v>
      </c>
      <c r="M10">
        <f>Table3[[#This Row],[weight]]*(0.9155*Table2[[#This Row],[J2,3]]-B$9)^2</f>
        <v>2.5801324932555632E-4</v>
      </c>
      <c r="N10">
        <f>Table3[[#This Row],[weight]]*(0.9155*Table2[[#This Row],[J34]]-C$9)^2</f>
        <v>7.3541315957271881E-5</v>
      </c>
      <c r="O10">
        <f>Table3[[#This Row],[weight]]*(0.9155*Table2[[#This Row],[J45]]-D$9)^2</f>
        <v>9.9549705179871462E-7</v>
      </c>
      <c r="P10">
        <f>Table3[[#This Row],[weight]]*(0.9155*Table2[[#This Row],[J56]]-E$9)^2</f>
        <v>2.9711164759403988E-3</v>
      </c>
      <c r="Q10">
        <f>Table3[[#This Row],[weight]]*(0.9155*Table2[[#This Row],[J67]]-F$9)^2</f>
        <v>1.256597738337098E-2</v>
      </c>
      <c r="R10">
        <f>Table3[[#This Row],[weight]]*(0.9155*Table2[[#This Row],[J67'']]-G$9)^2</f>
        <v>1.1399107602386589</v>
      </c>
      <c r="S10">
        <f>chloroform!J15</f>
        <v>2.6673295322250507E-2</v>
      </c>
      <c r="T10" t="str">
        <f>chloroform!F15</f>
        <v>45TH</v>
      </c>
    </row>
    <row r="11" spans="1:20" x14ac:dyDescent="0.25">
      <c r="A11" t="s">
        <v>93</v>
      </c>
      <c r="K11">
        <f>chloroform!E16</f>
        <v>16</v>
      </c>
      <c r="L11">
        <f>Table3[[#This Row],[weight]]*(0.9155*Table2[[#This Row],[J1,2]]-A$9)^2</f>
        <v>2.7264075022459384E-2</v>
      </c>
      <c r="M11">
        <f>Table3[[#This Row],[weight]]*(0.9155*Table2[[#This Row],[J2,3]]-B$9)^2</f>
        <v>2.9608449399184302E-2</v>
      </c>
      <c r="N11">
        <f>Table3[[#This Row],[weight]]*(0.9155*Table2[[#This Row],[J34]]-C$9)^2</f>
        <v>0.50362656860470645</v>
      </c>
      <c r="O11">
        <f>Table3[[#This Row],[weight]]*(0.9155*Table2[[#This Row],[J45]]-D$9)^2</f>
        <v>1.4443368435069326</v>
      </c>
      <c r="P11">
        <f>Table3[[#This Row],[weight]]*(0.9155*Table2[[#This Row],[J56]]-E$9)^2</f>
        <v>0.16030195506881473</v>
      </c>
      <c r="Q11">
        <f>Table3[[#This Row],[weight]]*(0.9155*Table2[[#This Row],[J67]]-F$9)^2</f>
        <v>1.0008521050113553E-3</v>
      </c>
      <c r="R11">
        <f>Table3[[#This Row],[weight]]*(0.9155*Table2[[#This Row],[J67'']]-G$9)^2</f>
        <v>0.40183717682608294</v>
      </c>
      <c r="S11">
        <f>chloroform!J16</f>
        <v>4.8616292036398993E-2</v>
      </c>
      <c r="T11" t="str">
        <f>chloroform!F16</f>
        <v>4H6</v>
      </c>
    </row>
    <row r="12" spans="1:20" x14ac:dyDescent="0.25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  <c r="G12" t="s">
        <v>74</v>
      </c>
      <c r="K12">
        <f>chloroform!E17</f>
        <v>17</v>
      </c>
      <c r="L12">
        <f>Table3[[#This Row],[weight]]*(0.9155*Table2[[#This Row],[J1,2]]-A$9)^2</f>
        <v>9.2776737327303922E-7</v>
      </c>
      <c r="M12">
        <f>Table3[[#This Row],[weight]]*(0.9155*Table2[[#This Row],[J2,3]]-B$9)^2</f>
        <v>5.0675626380059305E-4</v>
      </c>
      <c r="N12">
        <f>Table3[[#This Row],[weight]]*(0.9155*Table2[[#This Row],[J34]]-C$9)^2</f>
        <v>1.0974552203549994E-3</v>
      </c>
      <c r="O12">
        <f>Table3[[#This Row],[weight]]*(0.9155*Table2[[#This Row],[J45]]-D$9)^2</f>
        <v>1.7062377504862596E-2</v>
      </c>
      <c r="P12">
        <f>Table3[[#This Row],[weight]]*(0.9155*Table2[[#This Row],[J56]]-E$9)^2</f>
        <v>1.4631637911907783E-2</v>
      </c>
      <c r="Q12">
        <f>Table3[[#This Row],[weight]]*(0.9155*Table2[[#This Row],[J67]]-F$9)^2</f>
        <v>3.5069179802769321E-3</v>
      </c>
      <c r="R12">
        <f>Table3[[#This Row],[weight]]*(0.9155*Table2[[#This Row],[J67'']]-G$9)^2</f>
        <v>0.69398103839981029</v>
      </c>
      <c r="S12">
        <f>chloroform!J17</f>
        <v>0.12189078843388949</v>
      </c>
      <c r="T12" t="str">
        <f>chloroform!F17</f>
        <v>45TH</v>
      </c>
    </row>
    <row r="13" spans="1:20" x14ac:dyDescent="0.25">
      <c r="A13">
        <f>SQRT(SUMIF($T$2:$T$46,$E$1,L$2:L$46)/(($G$1-1)*$B$1/$G$1))</f>
        <v>4.1361225425469696E-2</v>
      </c>
      <c r="B13">
        <f>SQRT(SUMIF($T$2:$T$46,$E$1,M$2:M$46)/(($G$1-1)*$B$1/$G$1))</f>
        <v>0.198710769108393</v>
      </c>
      <c r="C13">
        <f>SQRT(SUMIF($T$2:$T$46,$E$1,N$2:N$46)/(($G$1-1)*$B$1/$G$1))</f>
        <v>0.23480054053732261</v>
      </c>
      <c r="D13">
        <f t="shared" ref="D13:F13" si="1">SQRT(SUMIF($T$2:$T$46,$E$1,O$2:O$46)/(($G$1-1)*$B$1/$G$1))</f>
        <v>0.51856474556928522</v>
      </c>
      <c r="E13">
        <f t="shared" si="1"/>
        <v>0.42650629568168047</v>
      </c>
      <c r="F13">
        <f t="shared" si="1"/>
        <v>0.62879963667343097</v>
      </c>
      <c r="G13">
        <f>SQRT(SUMIF($T$2:$T$46,$E$1,R$2:R$46)/(($G$1-1)*$B$1/$G$1))</f>
        <v>4.121049707415521</v>
      </c>
      <c r="K13">
        <f>chloroform!E18</f>
        <v>19</v>
      </c>
      <c r="L13">
        <f>Table3[[#This Row],[weight]]*(0.9155*Table2[[#This Row],[J1,2]]-A$9)^2</f>
        <v>2.352352042710992E-5</v>
      </c>
      <c r="M13">
        <f>Table3[[#This Row],[weight]]*(0.9155*Table2[[#This Row],[J2,3]]-B$9)^2</f>
        <v>0.12826228009022098</v>
      </c>
      <c r="N13">
        <f>Table3[[#This Row],[weight]]*(0.9155*Table2[[#This Row],[J34]]-C$9)^2</f>
        <v>0.23218712970916072</v>
      </c>
      <c r="O13">
        <f>Table3[[#This Row],[weight]]*(0.9155*Table2[[#This Row],[J45]]-D$9)^2</f>
        <v>2.1779141257132914E-2</v>
      </c>
      <c r="P13">
        <f>Table3[[#This Row],[weight]]*(0.9155*Table2[[#This Row],[J56]]-E$9)^2</f>
        <v>0.22970966641459234</v>
      </c>
      <c r="Q13">
        <f>Table3[[#This Row],[weight]]*(0.9155*Table2[[#This Row],[J67]]-F$9)^2</f>
        <v>0.26964323014787417</v>
      </c>
      <c r="R13">
        <f>Table3[[#This Row],[weight]]*(0.9155*Table2[[#This Row],[J67'']]-G$9)^2</f>
        <v>5.4119934991424604E-3</v>
      </c>
      <c r="S13">
        <f>chloroform!J18</f>
        <v>2.9215514810765719E-3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2.7467931152598317E-2</v>
      </c>
      <c r="M14">
        <f>Table3[[#This Row],[weight]]*(0.9155*Table2[[#This Row],[J2,3]]-B$9)^2</f>
        <v>8.0108548359502738E-3</v>
      </c>
      <c r="N14">
        <f>Table3[[#This Row],[weight]]*(0.9155*Table2[[#This Row],[J34]]-C$9)^2</f>
        <v>0.58308561367113021</v>
      </c>
      <c r="O14">
        <f>Table3[[#This Row],[weight]]*(0.9155*Table2[[#This Row],[J45]]-D$9)^2</f>
        <v>1.0040275610413816</v>
      </c>
      <c r="P14">
        <f>Table3[[#This Row],[weight]]*(0.9155*Table2[[#This Row],[J56]]-E$9)^2</f>
        <v>0.11199141722924733</v>
      </c>
      <c r="Q14">
        <f>Table3[[#This Row],[weight]]*(0.9155*Table2[[#This Row],[J67]]-F$9)^2</f>
        <v>4.3055296897341758E-3</v>
      </c>
      <c r="R14">
        <f>Table3[[#This Row],[weight]]*(0.9155*Table2[[#This Row],[J67'']]-G$9)^2</f>
        <v>0.18952789126265451</v>
      </c>
      <c r="S14">
        <f>chloroform!J19</f>
        <v>3.9576682262289983E-2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9.4654322680972158E-5</v>
      </c>
      <c r="M15">
        <f>Table3[[#This Row],[weight]]*(0.9155*Table2[[#This Row],[J2,3]]-B$9)^2</f>
        <v>3.9493712637050926E-3</v>
      </c>
      <c r="N15">
        <f>Table3[[#This Row],[weight]]*(0.9155*Table2[[#This Row],[J34]]-C$9)^2</f>
        <v>2.4478886507822172E-3</v>
      </c>
      <c r="O15">
        <f>Table3[[#This Row],[weight]]*(0.9155*Table2[[#This Row],[J45]]-D$9)^2</f>
        <v>2.1169313103320156E-3</v>
      </c>
      <c r="P15">
        <f>Table3[[#This Row],[weight]]*(0.9155*Table2[[#This Row],[J56]]-E$9)^2</f>
        <v>2.9338420571456826E-3</v>
      </c>
      <c r="Q15">
        <f>Table3[[#This Row],[weight]]*(0.9155*Table2[[#This Row],[J67]]-F$9)^2</f>
        <v>3.8724206548509553E-4</v>
      </c>
      <c r="R15">
        <f>Table3[[#This Row],[weight]]*(0.9155*Table2[[#This Row],[J67'']]-G$9)^2</f>
        <v>1.0144468923443228E-3</v>
      </c>
      <c r="S15">
        <f>chloroform!J20</f>
        <v>1.1248033002108086E-4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5.7442196989552805E-6</v>
      </c>
      <c r="M16">
        <f>Table3[[#This Row],[weight]]*(0.9155*Table2[[#This Row],[J2,3]]-B$9)^2</f>
        <v>5.7681326953776795E-5</v>
      </c>
      <c r="N16">
        <f>Table3[[#This Row],[weight]]*(0.9155*Table2[[#This Row],[J34]]-C$9)^2</f>
        <v>1.3248053133940206E-4</v>
      </c>
      <c r="O16">
        <f>Table3[[#This Row],[weight]]*(0.9155*Table2[[#This Row],[J45]]-D$9)^2</f>
        <v>1.226191498665404E-4</v>
      </c>
      <c r="P16">
        <f>Table3[[#This Row],[weight]]*(0.9155*Table2[[#This Row],[J56]]-E$9)^2</f>
        <v>3.9741037796199195E-4</v>
      </c>
      <c r="Q16">
        <f>Table3[[#This Row],[weight]]*(0.9155*Table2[[#This Row],[J67]]-F$9)^2</f>
        <v>7.0682323815892843E-4</v>
      </c>
      <c r="R16">
        <f>Table3[[#This Row],[weight]]*(0.9155*Table2[[#This Row],[J67'']]-G$9)^2</f>
        <v>1.8051211335625063E-2</v>
      </c>
      <c r="S16">
        <f>chloroform!J21</f>
        <v>4.1839475733440249E-4</v>
      </c>
      <c r="T16" t="str">
        <f>chloroform!F21</f>
        <v>45TH</v>
      </c>
    </row>
    <row r="17" spans="11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11:20" x14ac:dyDescent="0.25">
      <c r="K18">
        <f>chloroform!E23</f>
        <v>24</v>
      </c>
      <c r="L18">
        <f>Table3[[#This Row],[weight]]*(0.9155*Table2[[#This Row],[J1,2]]-A$9)^2</f>
        <v>2.1674914485550473E-5</v>
      </c>
      <c r="M18">
        <f>Table3[[#This Row],[weight]]*(0.9155*Table2[[#This Row],[J2,3]]-B$9)^2</f>
        <v>1.4313505211079646E-4</v>
      </c>
      <c r="N18">
        <f>Table3[[#This Row],[weight]]*(0.9155*Table2[[#This Row],[J34]]-C$9)^2</f>
        <v>5.9101763918950492E-4</v>
      </c>
      <c r="O18">
        <f>Table3[[#This Row],[weight]]*(0.9155*Table2[[#This Row],[J45]]-D$9)^2</f>
        <v>2.472457819722529E-5</v>
      </c>
      <c r="P18">
        <f>Table3[[#This Row],[weight]]*(0.9155*Table2[[#This Row],[J56]]-E$9)^2</f>
        <v>2.9915203602992058E-5</v>
      </c>
      <c r="Q18">
        <f>Table3[[#This Row],[weight]]*(0.9155*Table2[[#This Row],[J67]]-F$9)^2</f>
        <v>6.9473861983390214E-2</v>
      </c>
      <c r="R18">
        <f>Table3[[#This Row],[weight]]*(0.9155*Table2[[#This Row],[J67'']]-G$9)^2</f>
        <v>3.356478289667497E-3</v>
      </c>
      <c r="S18">
        <f>chloroform!J23</f>
        <v>1.1195174007312013E-3</v>
      </c>
      <c r="T18" t="str">
        <f>chloroform!F23</f>
        <v>45TH</v>
      </c>
    </row>
    <row r="19" spans="11:20" x14ac:dyDescent="0.25">
      <c r="K19">
        <f>chloroform!E24</f>
        <v>26</v>
      </c>
      <c r="L19">
        <f>Table3[[#This Row],[weight]]*(0.9155*Table2[[#This Row],[J1,2]]-A$9)^2</f>
        <v>2.8622697344312728E-5</v>
      </c>
      <c r="M19">
        <f>Table3[[#This Row],[weight]]*(0.9155*Table2[[#This Row],[J2,3]]-B$9)^2</f>
        <v>1.0357719996022603E-7</v>
      </c>
      <c r="N19">
        <f>Table3[[#This Row],[weight]]*(0.9155*Table2[[#This Row],[J34]]-C$9)^2</f>
        <v>1.8018261480132584E-3</v>
      </c>
      <c r="O19">
        <f>Table3[[#This Row],[weight]]*(0.9155*Table2[[#This Row],[J45]]-D$9)^2</f>
        <v>3.5622141432373203E-2</v>
      </c>
      <c r="P19">
        <f>Table3[[#This Row],[weight]]*(0.9155*Table2[[#This Row],[J56]]-E$9)^2</f>
        <v>1.5239571022951063E-2</v>
      </c>
      <c r="Q19">
        <f>Table3[[#This Row],[weight]]*(0.9155*Table2[[#This Row],[J67]]-F$9)^2</f>
        <v>4.9574923894320666E-4</v>
      </c>
      <c r="R19">
        <f>Table3[[#This Row],[weight]]*(0.9155*Table2[[#This Row],[J67'']]-G$9)^2</f>
        <v>5.5401978973569639E-2</v>
      </c>
      <c r="S19">
        <f>chloroform!J24</f>
        <v>1.0506013961301909E-2</v>
      </c>
      <c r="T19" t="str">
        <f>chloroform!F24</f>
        <v>45TH</v>
      </c>
    </row>
    <row r="20" spans="11:20" x14ac:dyDescent="0.25">
      <c r="K20">
        <f>chloroform!E25</f>
        <v>27</v>
      </c>
      <c r="L20">
        <f>Table3[[#This Row],[weight]]*(0.9155*Table2[[#This Row],[J1,2]]-A$9)^2</f>
        <v>2.6865961980374851E-2</v>
      </c>
      <c r="M20">
        <f>Table3[[#This Row],[weight]]*(0.9155*Table2[[#This Row],[J2,3]]-B$9)^2</f>
        <v>1.1387488065095302E-2</v>
      </c>
      <c r="N20">
        <f>Table3[[#This Row],[weight]]*(0.9155*Table2[[#This Row],[J34]]-C$9)^2</f>
        <v>0.44966837571101143</v>
      </c>
      <c r="O20">
        <f>Table3[[#This Row],[weight]]*(0.9155*Table2[[#This Row],[J45]]-D$9)^2</f>
        <v>0.71279026023771874</v>
      </c>
      <c r="P20">
        <f>Table3[[#This Row],[weight]]*(0.9155*Table2[[#This Row],[J56]]-E$9)^2</f>
        <v>0.12160236138518488</v>
      </c>
      <c r="Q20">
        <f>Table3[[#This Row],[weight]]*(0.9155*Table2[[#This Row],[J67]]-F$9)^2</f>
        <v>2.2758784635090474E-2</v>
      </c>
      <c r="R20">
        <f>Table3[[#This Row],[weight]]*(0.9155*Table2[[#This Row],[J67'']]-G$9)^2</f>
        <v>0.9977429241899145</v>
      </c>
      <c r="S20">
        <f>chloroform!J25</f>
        <v>2.9693809347054925E-2</v>
      </c>
      <c r="T20" t="str">
        <f>chloroform!F25</f>
        <v>4H6</v>
      </c>
    </row>
    <row r="21" spans="11:20" x14ac:dyDescent="0.25">
      <c r="K21">
        <f>chloroform!E26</f>
        <v>30</v>
      </c>
      <c r="L21">
        <f>Table3[[#This Row],[weight]]*(0.9155*Table2[[#This Row],[J1,2]]-A$9)^2</f>
        <v>4.6463083749804033E-5</v>
      </c>
      <c r="M21">
        <f>Table3[[#This Row],[weight]]*(0.9155*Table2[[#This Row],[J2,3]]-B$9)^2</f>
        <v>3.1319652153630112E-2</v>
      </c>
      <c r="N21">
        <f>Table3[[#This Row],[weight]]*(0.9155*Table2[[#This Row],[J34]]-C$9)^2</f>
        <v>6.0788822730255758E-2</v>
      </c>
      <c r="O21">
        <f>Table3[[#This Row],[weight]]*(0.9155*Table2[[#This Row],[J45]]-D$9)^2</f>
        <v>6.1311305252184523E-3</v>
      </c>
      <c r="P21">
        <f>Table3[[#This Row],[weight]]*(0.9155*Table2[[#This Row],[J56]]-E$9)^2</f>
        <v>5.8114095855834678E-2</v>
      </c>
      <c r="Q21">
        <f>Table3[[#This Row],[weight]]*(0.9155*Table2[[#This Row],[J67]]-F$9)^2</f>
        <v>6.1473718801355479E-2</v>
      </c>
      <c r="R21">
        <f>Table3[[#This Row],[weight]]*(0.9155*Table2[[#This Row],[J67'']]-G$9)^2</f>
        <v>2.9323580918185448E-4</v>
      </c>
      <c r="S21">
        <f>chloroform!J26</f>
        <v>7.2780620693175906E-4</v>
      </c>
      <c r="T21" t="str">
        <f>chloroform!F26</f>
        <v>6H4</v>
      </c>
    </row>
    <row r="22" spans="11:20" x14ac:dyDescent="0.25">
      <c r="K22">
        <f>chloroform!E27</f>
        <v>33</v>
      </c>
      <c r="L22">
        <f>Table3[[#This Row],[weight]]*(0.9155*Table2[[#This Row],[J1,2]]-A$9)^2</f>
        <v>1.7323240437702056E-5</v>
      </c>
      <c r="M22">
        <f>Table3[[#This Row],[weight]]*(0.9155*Table2[[#This Row],[J2,3]]-B$9)^2</f>
        <v>2.8175754812066734E-4</v>
      </c>
      <c r="N22">
        <f>Table3[[#This Row],[weight]]*(0.9155*Table2[[#This Row],[J34]]-C$9)^2</f>
        <v>2.6681156582279941E-4</v>
      </c>
      <c r="O22">
        <f>Table3[[#This Row],[weight]]*(0.9155*Table2[[#This Row],[J45]]-D$9)^2</f>
        <v>6.4730905241418995E-4</v>
      </c>
      <c r="P22">
        <f>Table3[[#This Row],[weight]]*(0.9155*Table2[[#This Row],[J56]]-E$9)^2</f>
        <v>9.5248295489753826E-4</v>
      </c>
      <c r="Q22">
        <f>Table3[[#This Row],[weight]]*(0.9155*Table2[[#This Row],[J67]]-F$9)^2</f>
        <v>4.2009093557987181E-5</v>
      </c>
      <c r="R22">
        <f>Table3[[#This Row],[weight]]*(0.9155*Table2[[#This Row],[J67'']]-G$9)^2</f>
        <v>7.4394352542092895E-2</v>
      </c>
      <c r="S22">
        <f>chloroform!J27</f>
        <v>1.7085745049514281E-3</v>
      </c>
      <c r="T22" t="str">
        <f>chloroform!F27</f>
        <v>45TH</v>
      </c>
    </row>
    <row r="23" spans="11:20" x14ac:dyDescent="0.25">
      <c r="K23">
        <f>chloroform!E28</f>
        <v>34</v>
      </c>
      <c r="L23">
        <f>Table3[[#This Row],[weight]]*(0.9155*Table2[[#This Row],[J1,2]]-A$9)^2</f>
        <v>3.0492031647158705E-5</v>
      </c>
      <c r="M23">
        <f>Table3[[#This Row],[weight]]*(0.9155*Table2[[#This Row],[J2,3]]-B$9)^2</f>
        <v>2.5318699936973305E-2</v>
      </c>
      <c r="N23">
        <f>Table3[[#This Row],[weight]]*(0.9155*Table2[[#This Row],[J34]]-C$9)^2</f>
        <v>5.0486405879917387E-2</v>
      </c>
      <c r="O23">
        <f>Table3[[#This Row],[weight]]*(0.9155*Table2[[#This Row],[J45]]-D$9)^2</f>
        <v>7.6102246913371018E-3</v>
      </c>
      <c r="P23">
        <f>Table3[[#This Row],[weight]]*(0.9155*Table2[[#This Row],[J56]]-E$9)^2</f>
        <v>4.3287031468041061E-2</v>
      </c>
      <c r="Q23">
        <f>Table3[[#This Row],[weight]]*(0.9155*Table2[[#This Row],[J67]]-F$9)^2</f>
        <v>5.4662661300020749E-4</v>
      </c>
      <c r="R23">
        <f>Table3[[#This Row],[weight]]*(0.9155*Table2[[#This Row],[J67'']]-G$9)^2</f>
        <v>6.4870909693679564E-5</v>
      </c>
      <c r="S23">
        <f>chloroform!J28</f>
        <v>6.0615748228323436E-4</v>
      </c>
      <c r="T23" t="str">
        <f>chloroform!F28</f>
        <v>6H4</v>
      </c>
    </row>
    <row r="24" spans="11:20" x14ac:dyDescent="0.25">
      <c r="K24">
        <f>chloroform!E29</f>
        <v>38</v>
      </c>
      <c r="L24">
        <f>Table3[[#This Row],[weight]]*(0.9155*Table2[[#This Row],[J1,2]]-A$9)^2</f>
        <v>3.8767553877929405E-5</v>
      </c>
      <c r="M24">
        <f>Table3[[#This Row],[weight]]*(0.9155*Table2[[#This Row],[J2,3]]-B$9)^2</f>
        <v>2.2137892537098763E-7</v>
      </c>
      <c r="N24">
        <f>Table3[[#This Row],[weight]]*(0.9155*Table2[[#This Row],[J34]]-C$9)^2</f>
        <v>1.4131043688110064E-3</v>
      </c>
      <c r="O24">
        <f>Table3[[#This Row],[weight]]*(0.9155*Table2[[#This Row],[J45]]-D$9)^2</f>
        <v>4.5213754217635219E-3</v>
      </c>
      <c r="P24">
        <f>Table3[[#This Row],[weight]]*(0.9155*Table2[[#This Row],[J56]]-E$9)^2</f>
        <v>7.0021539763112531E-4</v>
      </c>
      <c r="Q24">
        <f>Table3[[#This Row],[weight]]*(0.9155*Table2[[#This Row],[J67]]-F$9)^2</f>
        <v>3.3025767016586202E-4</v>
      </c>
      <c r="R24">
        <f>Table3[[#This Row],[weight]]*(0.9155*Table2[[#This Row],[J67'']]-G$9)^2</f>
        <v>0.23644503062810465</v>
      </c>
      <c r="S24">
        <f>chloroform!J29</f>
        <v>3.9980502403189573E-2</v>
      </c>
      <c r="T24" t="str">
        <f>chloroform!F29</f>
        <v>45TH</v>
      </c>
    </row>
    <row r="25" spans="11:20" x14ac:dyDescent="0.25">
      <c r="K25">
        <f>chloroform!E30</f>
        <v>39</v>
      </c>
      <c r="L25">
        <f>Table3[[#This Row],[weight]]*(0.9155*Table2[[#This Row],[J1,2]]-A$9)^2</f>
        <v>3.3359534243094943E-2</v>
      </c>
      <c r="M25">
        <f>Table3[[#This Row],[weight]]*(0.9155*Table2[[#This Row],[J2,3]]-B$9)^2</f>
        <v>4.381930799617817E-2</v>
      </c>
      <c r="N25">
        <f>Table3[[#This Row],[weight]]*(0.9155*Table2[[#This Row],[J34]]-C$9)^2</f>
        <v>0.55005040226632773</v>
      </c>
      <c r="O25">
        <f>Table3[[#This Row],[weight]]*(0.9155*Table2[[#This Row],[J45]]-D$9)^2</f>
        <v>1.4398332847804389</v>
      </c>
      <c r="P25">
        <f>Table3[[#This Row],[weight]]*(0.9155*Table2[[#This Row],[J56]]-E$9)^2</f>
        <v>0.25103678682319935</v>
      </c>
      <c r="Q25">
        <f>Table3[[#This Row],[weight]]*(0.9155*Table2[[#This Row],[J67]]-F$9)^2</f>
        <v>3.467421837832714E-2</v>
      </c>
      <c r="R25">
        <f>Table3[[#This Row],[weight]]*(0.9155*Table2[[#This Row],[J67'']]-G$9)^2</f>
        <v>1.7744136096133019</v>
      </c>
      <c r="S25">
        <f>chloroform!J30</f>
        <v>5.0704803416262205E-2</v>
      </c>
      <c r="T25" t="str">
        <f>chloroform!F30</f>
        <v>4H6</v>
      </c>
    </row>
    <row r="26" spans="11:20" x14ac:dyDescent="0.25">
      <c r="K26">
        <f>chloroform!E31</f>
        <v>41</v>
      </c>
      <c r="L26">
        <f>Table3[[#This Row],[weight]]*(0.9155*Table2[[#This Row],[J1,2]]-A$9)^2</f>
        <v>2.1270224836948751E-2</v>
      </c>
      <c r="M26">
        <f>Table3[[#This Row],[weight]]*(0.9155*Table2[[#This Row],[J2,3]]-B$9)^2</f>
        <v>9.871585784169969E-3</v>
      </c>
      <c r="N26">
        <f>Table3[[#This Row],[weight]]*(0.9155*Table2[[#This Row],[J34]]-C$9)^2</f>
        <v>0.31398838696504761</v>
      </c>
      <c r="O26">
        <f>Table3[[#This Row],[weight]]*(0.9155*Table2[[#This Row],[J45]]-D$9)^2</f>
        <v>0.70999611051595946</v>
      </c>
      <c r="P26">
        <f>Table3[[#This Row],[weight]]*(0.9155*Table2[[#This Row],[J56]]-E$9)^2</f>
        <v>9.2585036038571572E-2</v>
      </c>
      <c r="Q26">
        <f>Table3[[#This Row],[weight]]*(0.9155*Table2[[#This Row],[J67]]-F$9)^2</f>
        <v>1.9146965479948441E-2</v>
      </c>
      <c r="R26">
        <f>Table3[[#This Row],[weight]]*(0.9155*Table2[[#This Row],[J67'']]-G$9)^2</f>
        <v>0.89664434652704117</v>
      </c>
      <c r="S26">
        <f>chloroform!J31</f>
        <v>2.5893864222968029E-2</v>
      </c>
      <c r="T26" t="str">
        <f>chloroform!F31</f>
        <v>4H6</v>
      </c>
    </row>
    <row r="27" spans="11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11:20" x14ac:dyDescent="0.25">
      <c r="K28">
        <f>chloroform!E33</f>
        <v>48</v>
      </c>
      <c r="L28">
        <f>Table3[[#This Row],[weight]]*(0.9155*Table2[[#This Row],[J1,2]]-A$9)^2</f>
        <v>1.5166086518743313E-2</v>
      </c>
      <c r="M28">
        <f>Table3[[#This Row],[weight]]*(0.9155*Table2[[#This Row],[J2,3]]-B$9)^2</f>
        <v>7.4015520621262348E-2</v>
      </c>
      <c r="N28">
        <f>Table3[[#This Row],[weight]]*(0.9155*Table2[[#This Row],[J34]]-C$9)^2</f>
        <v>0.52755979577938328</v>
      </c>
      <c r="O28">
        <f>Table3[[#This Row],[weight]]*(0.9155*Table2[[#This Row],[J45]]-D$9)^2</f>
        <v>0.2359869854380153</v>
      </c>
      <c r="P28">
        <f>Table3[[#This Row],[weight]]*(0.9155*Table2[[#This Row],[J56]]-E$9)^2</f>
        <v>1.3828668878075821E-2</v>
      </c>
      <c r="Q28">
        <f>Table3[[#This Row],[weight]]*(0.9155*Table2[[#This Row],[J67]]-F$9)^2</f>
        <v>6.2643352809592791E-4</v>
      </c>
      <c r="R28">
        <f>Table3[[#This Row],[weight]]*(0.9155*Table2[[#This Row],[J67'']]-G$9)^2</f>
        <v>0.3684603752981328</v>
      </c>
      <c r="S28">
        <f>chloroform!J33</f>
        <v>9.4469832230511426E-3</v>
      </c>
      <c r="T28" t="str">
        <f>chloroform!F33</f>
        <v>56TH</v>
      </c>
    </row>
    <row r="29" spans="11:20" x14ac:dyDescent="0.25">
      <c r="K29">
        <f>chloroform!E34</f>
        <v>57</v>
      </c>
      <c r="L29">
        <f>Table3[[#This Row],[weight]]*(0.9155*Table2[[#This Row],[J1,2]]-A$9)^2</f>
        <v>2.0858446166410989E-5</v>
      </c>
      <c r="M29">
        <f>Table3[[#This Row],[weight]]*(0.9155*Table2[[#This Row],[J2,3]]-B$9)^2</f>
        <v>2.9445727738163053E-2</v>
      </c>
      <c r="N29">
        <f>Table3[[#This Row],[weight]]*(0.9155*Table2[[#This Row],[J34]]-C$9)^2</f>
        <v>5.8821068083232696E-2</v>
      </c>
      <c r="O29">
        <f>Table3[[#This Row],[weight]]*(0.9155*Table2[[#This Row],[J45]]-D$9)^2</f>
        <v>2.7273843713461704E-4</v>
      </c>
      <c r="P29">
        <f>Table3[[#This Row],[weight]]*(0.9155*Table2[[#This Row],[J56]]-E$9)^2</f>
        <v>5.0602973842541019E-2</v>
      </c>
      <c r="Q29">
        <f>Table3[[#This Row],[weight]]*(0.9155*Table2[[#This Row],[J67]]-F$9)^2</f>
        <v>7.9138014348840275E-4</v>
      </c>
      <c r="R29">
        <f>Table3[[#This Row],[weight]]*(0.9155*Table2[[#This Row],[J67'']]-G$9)^2</f>
        <v>4.2758673084758073E-2</v>
      </c>
      <c r="S29">
        <f>chloroform!J34</f>
        <v>6.7499659885470701E-4</v>
      </c>
      <c r="T29" t="str">
        <f>chloroform!F34</f>
        <v>6H4</v>
      </c>
    </row>
    <row r="30" spans="11:20" x14ac:dyDescent="0.25">
      <c r="K30">
        <f>chloroform!E35</f>
        <v>59</v>
      </c>
      <c r="L30">
        <f>Table3[[#This Row],[weight]]*(0.9155*Table2[[#This Row],[J1,2]]-A$9)^2</f>
        <v>1.1443406917922333E-4</v>
      </c>
      <c r="M30">
        <f>Table3[[#This Row],[weight]]*(0.9155*Table2[[#This Row],[J2,3]]-B$9)^2</f>
        <v>3.0208518090482752E-3</v>
      </c>
      <c r="N30">
        <f>Table3[[#This Row],[weight]]*(0.9155*Table2[[#This Row],[J34]]-C$9)^2</f>
        <v>1.9466033061318587E-3</v>
      </c>
      <c r="O30">
        <f>Table3[[#This Row],[weight]]*(0.9155*Table2[[#This Row],[J45]]-D$9)^2</f>
        <v>1.8008690413188748E-3</v>
      </c>
      <c r="P30">
        <f>Table3[[#This Row],[weight]]*(0.9155*Table2[[#This Row],[J56]]-E$9)^2</f>
        <v>1.2657971057312204E-3</v>
      </c>
      <c r="Q30">
        <f>Table3[[#This Row],[weight]]*(0.9155*Table2[[#This Row],[J67]]-F$9)^2</f>
        <v>1.0410727454785403E-4</v>
      </c>
      <c r="R30">
        <f>Table3[[#This Row],[weight]]*(0.9155*Table2[[#This Row],[J67'']]-G$9)^2</f>
        <v>2.1197105291269995E-3</v>
      </c>
      <c r="S30">
        <f>chloroform!J35</f>
        <v>7.8954738686043137E-5</v>
      </c>
      <c r="T30" t="str">
        <f>chloroform!F35</f>
        <v>45TH</v>
      </c>
    </row>
    <row r="31" spans="11:20" x14ac:dyDescent="0.25">
      <c r="K31">
        <f>chloroform!E36</f>
        <v>72</v>
      </c>
      <c r="L31">
        <f>Table3[[#This Row],[weight]]*(0.9155*Table2[[#This Row],[J1,2]]-A$9)^2</f>
        <v>1.6624857825294566E-3</v>
      </c>
      <c r="M31">
        <f>Table3[[#This Row],[weight]]*(0.9155*Table2[[#This Row],[J2,3]]-B$9)^2</f>
        <v>1.3757685852343927E-3</v>
      </c>
      <c r="N31">
        <f>Table3[[#This Row],[weight]]*(0.9155*Table2[[#This Row],[J34]]-C$9)^2</f>
        <v>3.316385235625835E-2</v>
      </c>
      <c r="O31">
        <f>Table3[[#This Row],[weight]]*(0.9155*Table2[[#This Row],[J45]]-D$9)^2</f>
        <v>0.10867709542324173</v>
      </c>
      <c r="P31">
        <f>Table3[[#This Row],[weight]]*(0.9155*Table2[[#This Row],[J56]]-E$9)^2</f>
        <v>1.3749382109473397E-2</v>
      </c>
      <c r="Q31">
        <f>Table3[[#This Row],[weight]]*(0.9155*Table2[[#This Row],[J67]]-F$9)^2</f>
        <v>0.12974704972759388</v>
      </c>
      <c r="R31">
        <f>Table3[[#This Row],[weight]]*(0.9155*Table2[[#This Row],[J67'']]-G$9)^2</f>
        <v>4.5400558922023937E-2</v>
      </c>
      <c r="S31">
        <f>chloroform!J36</f>
        <v>3.6519280689127583E-3</v>
      </c>
      <c r="T31" t="str">
        <f>chloroform!F36</f>
        <v>4H6</v>
      </c>
    </row>
    <row r="32" spans="11:20" x14ac:dyDescent="0.25">
      <c r="K32">
        <f>chloroform!E37</f>
        <v>73</v>
      </c>
      <c r="L32">
        <f>Table3[[#This Row],[weight]]*(0.9155*Table2[[#This Row],[J1,2]]-A$9)^2</f>
        <v>4.893584388825601E-2</v>
      </c>
      <c r="M32">
        <f>Table3[[#This Row],[weight]]*(0.9155*Table2[[#This Row],[J2,3]]-B$9)^2</f>
        <v>2.3585919160794546</v>
      </c>
      <c r="N32">
        <f>Table3[[#This Row],[weight]]*(0.9155*Table2[[#This Row],[J34]]-C$9)^2</f>
        <v>2.4413567535283902</v>
      </c>
      <c r="O32">
        <f>Table3[[#This Row],[weight]]*(0.9155*Table2[[#This Row],[J45]]-D$9)^2</f>
        <v>1.917580490720693</v>
      </c>
      <c r="P32">
        <f>Table3[[#This Row],[weight]]*(0.9155*Table2[[#This Row],[J56]]-E$9)^2</f>
        <v>8.7727898463212668E-6</v>
      </c>
      <c r="Q32">
        <f>Table3[[#This Row],[weight]]*(0.9155*Table2[[#This Row],[J67]]-F$9)^2</f>
        <v>4.6236779612887904E-3</v>
      </c>
      <c r="R32">
        <f>Table3[[#This Row],[weight]]*(0.9155*Table2[[#This Row],[J67'']]-G$9)^2</f>
        <v>0.42970128894265219</v>
      </c>
      <c r="S32">
        <f>chloroform!J37</f>
        <v>7.839261904177762E-2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1.97917480085188E-4</v>
      </c>
      <c r="M33">
        <f>Table3[[#This Row],[weight]]*(0.9155*Table2[[#This Row],[J2,3]]-B$9)^2</f>
        <v>4.6034091876809135E-3</v>
      </c>
      <c r="N33">
        <f>Table3[[#This Row],[weight]]*(0.9155*Table2[[#This Row],[J34]]-C$9)^2</f>
        <v>2.7382682638866836E-3</v>
      </c>
      <c r="O33">
        <f>Table3[[#This Row],[weight]]*(0.9155*Table2[[#This Row],[J45]]-D$9)^2</f>
        <v>2.7048187948629974E-3</v>
      </c>
      <c r="P33">
        <f>Table3[[#This Row],[weight]]*(0.9155*Table2[[#This Row],[J56]]-E$9)^2</f>
        <v>2.0783818773303878E-3</v>
      </c>
      <c r="Q33">
        <f>Table3[[#This Row],[weight]]*(0.9155*Table2[[#This Row],[J67]]-F$9)^2</f>
        <v>3.4795461286803637E-5</v>
      </c>
      <c r="R33">
        <f>Table3[[#This Row],[weight]]*(0.9155*Table2[[#This Row],[J67'']]-G$9)^2</f>
        <v>4.7421884624157563E-3</v>
      </c>
      <c r="S33">
        <f>chloroform!J38</f>
        <v>1.1996201063032175E-4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3.6918735022803577E-6</v>
      </c>
      <c r="M34">
        <f>Table3[[#This Row],[weight]]*(0.9155*Table2[[#This Row],[J2,3]]-B$9)^2</f>
        <v>4.5391069166726335E-6</v>
      </c>
      <c r="N34">
        <f>Table3[[#This Row],[weight]]*(0.9155*Table2[[#This Row],[J34]]-C$9)^2</f>
        <v>1.5465971182369853E-3</v>
      </c>
      <c r="O34">
        <f>Table3[[#This Row],[weight]]*(0.9155*Table2[[#This Row],[J45]]-D$9)^2</f>
        <v>2.0057578977867741E-3</v>
      </c>
      <c r="P34">
        <f>Table3[[#This Row],[weight]]*(0.9155*Table2[[#This Row],[J56]]-E$9)^2</f>
        <v>9.0327575701972473E-4</v>
      </c>
      <c r="Q34">
        <f>Table3[[#This Row],[weight]]*(0.9155*Table2[[#This Row],[J67]]-F$9)^2</f>
        <v>1.2026872782105085E-4</v>
      </c>
      <c r="R34">
        <f>Table3[[#This Row],[weight]]*(0.9155*Table2[[#This Row],[J67'']]-G$9)^2</f>
        <v>1.2163508826532914</v>
      </c>
      <c r="S34">
        <f>chloroform!J39</f>
        <v>2.6009965125645323E-2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1.0430855875122255E-6</v>
      </c>
      <c r="M35">
        <f>Table3[[#This Row],[weight]]*(0.9155*Table2[[#This Row],[J2,3]]-B$9)^2</f>
        <v>5.9420178786516072E-5</v>
      </c>
      <c r="N35">
        <f>Table3[[#This Row],[weight]]*(0.9155*Table2[[#This Row],[J34]]-C$9)^2</f>
        <v>4.9116896330076108E-5</v>
      </c>
      <c r="O35">
        <f>Table3[[#This Row],[weight]]*(0.9155*Table2[[#This Row],[J45]]-D$9)^2</f>
        <v>2.3037579821435806E-4</v>
      </c>
      <c r="P35">
        <f>Table3[[#This Row],[weight]]*(0.9155*Table2[[#This Row],[J56]]-E$9)^2</f>
        <v>4.0000612605030792E-3</v>
      </c>
      <c r="Q35">
        <f>Table3[[#This Row],[weight]]*(0.9155*Table2[[#This Row],[J67]]-F$9)^2</f>
        <v>1.0294177683045377E-2</v>
      </c>
      <c r="R35">
        <f>Table3[[#This Row],[weight]]*(0.9155*Table2[[#This Row],[J67'']]-G$9)^2</f>
        <v>1.0089720510799558E-4</v>
      </c>
      <c r="S35">
        <f>chloroform!J40</f>
        <v>9.9188715705201253E-5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8.3720088788153627E-3</v>
      </c>
      <c r="M38">
        <f>Table3[[#This Row],[weight]]*(0.9155*Table2[[#This Row],[J2,3]]-B$9)^2</f>
        <v>0.41181526265270885</v>
      </c>
      <c r="N38">
        <f>Table3[[#This Row],[weight]]*(0.9155*Table2[[#This Row],[J34]]-C$9)^2</f>
        <v>0.68904200109252045</v>
      </c>
      <c r="O38">
        <f>Table3[[#This Row],[weight]]*(0.9155*Table2[[#This Row],[J45]]-D$9)^2</f>
        <v>0.20825227432545654</v>
      </c>
      <c r="P38">
        <f>Table3[[#This Row],[weight]]*(0.9155*Table2[[#This Row],[J56]]-E$9)^2</f>
        <v>7.8989533139031485E-3</v>
      </c>
      <c r="Q38">
        <f>Table3[[#This Row],[weight]]*(0.9155*Table2[[#This Row],[J67]]-F$9)^2</f>
        <v>1.719965563063945E-4</v>
      </c>
      <c r="R38">
        <f>Table3[[#This Row],[weight]]*(0.9155*Table2[[#This Row],[J67'']]-G$9)^2</f>
        <v>0.43917114981397276</v>
      </c>
      <c r="S38">
        <f>chloroform!J43</f>
        <v>1.1649403881724453E-2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6.1033105429455893E-5</v>
      </c>
      <c r="M42">
        <f>Table3[[#This Row],[weight]]*(0.9155*Table2[[#This Row],[J2,3]]-B$9)^2</f>
        <v>3.2752368806340535E-3</v>
      </c>
      <c r="N42">
        <f>Table3[[#This Row],[weight]]*(0.9155*Table2[[#This Row],[J34]]-C$9)^2</f>
        <v>9.401128373435192E-6</v>
      </c>
      <c r="O42">
        <f>Table3[[#This Row],[weight]]*(0.9155*Table2[[#This Row],[J45]]-D$9)^2</f>
        <v>2.394270954485638E-4</v>
      </c>
      <c r="P42">
        <f>Table3[[#This Row],[weight]]*(0.9155*Table2[[#This Row],[J56]]-E$9)^2</f>
        <v>3.0986109866168312E-5</v>
      </c>
      <c r="Q42">
        <f>Table3[[#This Row],[weight]]*(0.9155*Table2[[#This Row],[J67]]-F$9)^2</f>
        <v>2.2301071221355745E-3</v>
      </c>
      <c r="R42">
        <f>Table3[[#This Row],[weight]]*(0.9155*Table2[[#This Row],[J67'']]-G$9)^2</f>
        <v>0.47249592806940915</v>
      </c>
      <c r="S42">
        <f>chloroform!J47</f>
        <v>1.0082058334038075E-2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1.348384829078231E-3</v>
      </c>
      <c r="M43">
        <f>Table3[[#This Row],[weight]]*(0.9155*Table2[[#This Row],[J2,3]]-B$9)^2</f>
        <v>4.9609743936484936E-2</v>
      </c>
      <c r="N43">
        <f>Table3[[#This Row],[weight]]*(0.9155*Table2[[#This Row],[J34]]-C$9)^2</f>
        <v>8.0425872926092531E-2</v>
      </c>
      <c r="O43">
        <f>Table3[[#This Row],[weight]]*(0.9155*Table2[[#This Row],[J45]]-D$9)^2</f>
        <v>2.553404424032003E-2</v>
      </c>
      <c r="P43">
        <f>Table3[[#This Row],[weight]]*(0.9155*Table2[[#This Row],[J56]]-E$9)^2</f>
        <v>1.6678506092942377E-4</v>
      </c>
      <c r="Q43">
        <f>Table3[[#This Row],[weight]]*(0.9155*Table2[[#This Row],[J67]]-F$9)^2</f>
        <v>1.4005480809174526E-3</v>
      </c>
      <c r="R43">
        <f>Table3[[#This Row],[weight]]*(0.9155*Table2[[#This Row],[J67'']]-G$9)^2</f>
        <v>2.1794074665237107E-3</v>
      </c>
      <c r="S43">
        <f>chloroform!J48</f>
        <v>1.4345521435763836E-3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6.9054678719561484E-7</v>
      </c>
      <c r="M45">
        <f>Table3[[#This Row],[weight]]*(0.9155*Table2[[#This Row],[J2,3]]-B$9)^2</f>
        <v>1.3126741693297647E-4</v>
      </c>
      <c r="N45">
        <f>Table3[[#This Row],[weight]]*(0.9155*Table2[[#This Row],[J34]]-C$9)^2</f>
        <v>7.7224814882213781E-5</v>
      </c>
      <c r="O45">
        <f>Table3[[#This Row],[weight]]*(0.9155*Table2[[#This Row],[J45]]-D$9)^2</f>
        <v>5.5846426996429891E-4</v>
      </c>
      <c r="P45">
        <f>Table3[[#This Row],[weight]]*(0.9155*Table2[[#This Row],[J56]]-E$9)^2</f>
        <v>8.9455435658963283E-3</v>
      </c>
      <c r="Q45">
        <f>Table3[[#This Row],[weight]]*(0.9155*Table2[[#This Row],[J67]]-F$9)^2</f>
        <v>1.1316944835490726E-4</v>
      </c>
      <c r="R45">
        <f>Table3[[#This Row],[weight]]*(0.9155*Table2[[#This Row],[J67'']]-G$9)^2</f>
        <v>7.5656190695779363E-3</v>
      </c>
      <c r="S45">
        <f>chloroform!J50</f>
        <v>2.2875892260997214E-4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3.3970605554890306E-3</v>
      </c>
      <c r="M46">
        <f>Table3[[#This Row],[weight]]*(0.9155*Table2[[#This Row],[J2,3]]-B$9)^2</f>
        <v>3.0887029088510189E-2</v>
      </c>
      <c r="N46">
        <f>Table3[[#This Row],[weight]]*(0.9155*Table2[[#This Row],[J34]]-C$9)^2</f>
        <v>0.16341809780280672</v>
      </c>
      <c r="O46">
        <f>Table3[[#This Row],[weight]]*(0.9155*Table2[[#This Row],[J45]]-D$9)^2</f>
        <v>7.4738769428948207E-2</v>
      </c>
      <c r="P46">
        <f>Table3[[#This Row],[weight]]*(0.9155*Table2[[#This Row],[J56]]-E$9)^2</f>
        <v>6.7690943011384248E-3</v>
      </c>
      <c r="Q46">
        <f>Table3[[#This Row],[weight]]*(0.9155*Table2[[#This Row],[J67]]-F$9)^2</f>
        <v>2.8940357778156076E-3</v>
      </c>
      <c r="R46">
        <f>Table3[[#This Row],[weight]]*(0.9155*Table2[[#This Row],[J67'']]-G$9)^2</f>
        <v>7.7606906963932992E-2</v>
      </c>
      <c r="S46">
        <f>chloroform!J51</f>
        <v>2.7960399962709995E-3</v>
      </c>
      <c r="T46" t="str">
        <f>chloroform!F51</f>
        <v>56TH</v>
      </c>
    </row>
    <row r="47" spans="11:20" x14ac:dyDescent="0.25">
      <c r="K47">
        <f>chloroform!E52</f>
        <v>136</v>
      </c>
      <c r="L47">
        <f>Table3[[#This Row],[weight]]*(0.9155*Table2[[#This Row],[J1,2]]-A$9)^2</f>
        <v>1.4241762383262612E-4</v>
      </c>
      <c r="M47">
        <f>Table3[[#This Row],[weight]]*(0.9155*Table2[[#This Row],[J2,3]]-B$9)^2</f>
        <v>2.3710584997127113E-2</v>
      </c>
      <c r="N47">
        <f>Table3[[#This Row],[weight]]*(0.9155*Table2[[#This Row],[J34]]-C$9)^2</f>
        <v>2.5764197074101412E-2</v>
      </c>
      <c r="O47">
        <f>Table3[[#This Row],[weight]]*(0.9155*Table2[[#This Row],[J45]]-D$9)^2</f>
        <v>1.6809631476251388E-2</v>
      </c>
      <c r="P47">
        <f>Table3[[#This Row],[weight]]*(0.9155*Table2[[#This Row],[J56]]-E$9)^2</f>
        <v>6.7432352127138538E-5</v>
      </c>
      <c r="Q47">
        <f>Table3[[#This Row],[weight]]*(0.9155*Table2[[#This Row],[J67]]-F$9)^2</f>
        <v>3.4375531425200675E-5</v>
      </c>
      <c r="R47">
        <f>Table3[[#This Row],[weight]]*(0.9155*Table2[[#This Row],[J67'']]-G$9)^2</f>
        <v>2.8218425131758818E-2</v>
      </c>
      <c r="S47">
        <f>chloroform!J52</f>
        <v>7.0192860949702055E-4</v>
      </c>
      <c r="T47" t="str">
        <f>chloroform!F52</f>
        <v>5C12</v>
      </c>
    </row>
    <row r="48" spans="11:20" x14ac:dyDescent="0.25">
      <c r="K48">
        <f>chloroform!E53</f>
        <v>142</v>
      </c>
      <c r="L48">
        <f>Table3[[#This Row],[weight]]*(0.9155*Table2[[#This Row],[J1,2]]-A$9)^2</f>
        <v>2.0078352118936943E-3</v>
      </c>
      <c r="M48">
        <f>Table3[[#This Row],[weight]]*(0.9155*Table2[[#This Row],[J2,3]]-B$9)^2</f>
        <v>0.18025509176299623</v>
      </c>
      <c r="N48">
        <f>Table3[[#This Row],[weight]]*(0.9155*Table2[[#This Row],[J34]]-C$9)^2</f>
        <v>0.29431595545936867</v>
      </c>
      <c r="O48">
        <f>Table3[[#This Row],[weight]]*(0.9155*Table2[[#This Row],[J45]]-D$9)^2</f>
        <v>9.7998560466593304E-2</v>
      </c>
      <c r="P48">
        <f>Table3[[#This Row],[weight]]*(0.9155*Table2[[#This Row],[J56]]-E$9)^2</f>
        <v>2.2901565978932265E-3</v>
      </c>
      <c r="Q48">
        <f>Table3[[#This Row],[weight]]*(0.9155*Table2[[#This Row],[J67]]-F$9)^2</f>
        <v>0.28719060593366347</v>
      </c>
      <c r="R48">
        <f>Table3[[#This Row],[weight]]*(0.9155*Table2[[#This Row],[J67'']]-G$9)^2</f>
        <v>1.9484372883459923E-2</v>
      </c>
      <c r="S48">
        <f>chloroform!J53</f>
        <v>4.9171942224301287E-3</v>
      </c>
      <c r="T48" t="str">
        <f>chloroform!F53</f>
        <v>5C12</v>
      </c>
    </row>
    <row r="49" spans="11:20" x14ac:dyDescent="0.25">
      <c r="K49">
        <f>chloroform!E54</f>
        <v>143</v>
      </c>
      <c r="L49">
        <f>Table3[[#This Row],[weight]]*(0.9155*Table2[[#This Row],[J1,2]]-A$9)^2</f>
        <v>3.2087735682063581E-5</v>
      </c>
      <c r="M49">
        <f>Table3[[#This Row],[weight]]*(0.9155*Table2[[#This Row],[J2,3]]-B$9)^2</f>
        <v>1.1599738723342377E-5</v>
      </c>
      <c r="N49">
        <f>Table3[[#This Row],[weight]]*(0.9155*Table2[[#This Row],[J34]]-C$9)^2</f>
        <v>4.6080519930470279E-4</v>
      </c>
      <c r="O49">
        <f>Table3[[#This Row],[weight]]*(0.9155*Table2[[#This Row],[J45]]-D$9)^2</f>
        <v>2.4563536180798435E-3</v>
      </c>
      <c r="P49">
        <f>Table3[[#This Row],[weight]]*(0.9155*Table2[[#This Row],[J56]]-E$9)^2</f>
        <v>4.3901996039986133E-4</v>
      </c>
      <c r="Q49">
        <f>Table3[[#This Row],[weight]]*(0.9155*Table2[[#This Row],[J67]]-F$9)^2</f>
        <v>1.1449849123718651E-2</v>
      </c>
      <c r="R49">
        <f>Table3[[#This Row],[weight]]*(0.9155*Table2[[#This Row],[J67'']]-G$9)^2</f>
        <v>1.0574234230007844E-3</v>
      </c>
      <c r="S49">
        <f>chloroform!J54</f>
        <v>1.8904762616181188E-4</v>
      </c>
      <c r="T49" t="str">
        <f>chloroform!F54</f>
        <v>45TH</v>
      </c>
    </row>
    <row r="50" spans="11:20" x14ac:dyDescent="0.25">
      <c r="K50">
        <f>chloroform!E55</f>
        <v>144</v>
      </c>
      <c r="L50">
        <f>Table3[[#This Row],[weight]]*(0.9155*Table2[[#This Row],[J1,2]]-A$9)^2</f>
        <v>1.2538339282177034E-5</v>
      </c>
      <c r="M50">
        <f>Table3[[#This Row],[weight]]*(0.9155*Table2[[#This Row],[J2,3]]-B$9)^2</f>
        <v>1.9619839882345472E-4</v>
      </c>
      <c r="N50">
        <f>Table3[[#This Row],[weight]]*(0.9155*Table2[[#This Row],[J34]]-C$9)^2</f>
        <v>7.2073656216836932E-6</v>
      </c>
      <c r="O50">
        <f>Table3[[#This Row],[weight]]*(0.9155*Table2[[#This Row],[J45]]-D$9)^2</f>
        <v>2.8623261249797436E-4</v>
      </c>
      <c r="P50">
        <f>Table3[[#This Row],[weight]]*(0.9155*Table2[[#This Row],[J56]]-E$9)^2</f>
        <v>4.5388985159716642E-3</v>
      </c>
      <c r="Q50">
        <f>Table3[[#This Row],[weight]]*(0.9155*Table2[[#This Row],[J67]]-F$9)^2</f>
        <v>1.2615859226447028E-2</v>
      </c>
      <c r="R50">
        <f>Table3[[#This Row],[weight]]*(0.9155*Table2[[#This Row],[J67'']]-G$9)^2</f>
        <v>5.9138474866441351E-5</v>
      </c>
      <c r="S50">
        <f>chloroform!J55</f>
        <v>1.2004404313450875E-4</v>
      </c>
      <c r="T50" t="str">
        <f>chloroform!F55</f>
        <v>12C5</v>
      </c>
    </row>
    <row r="51" spans="11:20" x14ac:dyDescent="0.25">
      <c r="K51">
        <f>chloroform!E56</f>
        <v>145</v>
      </c>
      <c r="L51">
        <f>Table3[[#This Row],[weight]]*(0.9155*Table2[[#This Row],[J1,2]]-A$9)^2</f>
        <v>4.4193756999159898E-5</v>
      </c>
      <c r="M51">
        <f>Table3[[#This Row],[weight]]*(0.9155*Table2[[#This Row],[J2,3]]-B$9)^2</f>
        <v>4.0826783886681285E-4</v>
      </c>
      <c r="N51">
        <f>Table3[[#This Row],[weight]]*(0.9155*Table2[[#This Row],[J34]]-C$9)^2</f>
        <v>1.0403494263444571E-4</v>
      </c>
      <c r="O51">
        <f>Table3[[#This Row],[weight]]*(0.9155*Table2[[#This Row],[J45]]-D$9)^2</f>
        <v>3.9812416208176275E-4</v>
      </c>
      <c r="P51">
        <f>Table3[[#This Row],[weight]]*(0.9155*Table2[[#This Row],[J56]]-E$9)^2</f>
        <v>1.1040578233037737E-2</v>
      </c>
      <c r="Q51">
        <f>Table3[[#This Row],[weight]]*(0.9155*Table2[[#This Row],[J67]]-F$9)^2</f>
        <v>2.9497722655374713E-2</v>
      </c>
      <c r="R51">
        <f>Table3[[#This Row],[weight]]*(0.9155*Table2[[#This Row],[J67'']]-G$9)^2</f>
        <v>1.9892946696853589E-4</v>
      </c>
      <c r="S51">
        <f>chloroform!J56</f>
        <v>2.7110679059549544E-4</v>
      </c>
      <c r="T51" t="str">
        <f>chloroform!F56</f>
        <v>5C12</v>
      </c>
    </row>
    <row r="52" spans="11:20" x14ac:dyDescent="0.25">
      <c r="K52">
        <f>chloroform!E57</f>
        <v>166</v>
      </c>
      <c r="L52">
        <f>Table3[[#This Row],[weight]]*(0.9155*Table2[[#This Row],[J1,2]]-A$9)^2</f>
        <v>4.4191875077669544E-4</v>
      </c>
      <c r="M52">
        <f>Table3[[#This Row],[weight]]*(0.9155*Table2[[#This Row],[J2,3]]-B$9)^2</f>
        <v>2.8315157011353908E-2</v>
      </c>
      <c r="N52">
        <f>Table3[[#This Row],[weight]]*(0.9155*Table2[[#This Row],[J34]]-C$9)^2</f>
        <v>3.0390586575575026E-2</v>
      </c>
      <c r="O52">
        <f>Table3[[#This Row],[weight]]*(0.9155*Table2[[#This Row],[J45]]-D$9)^2</f>
        <v>2.5939764379709622E-2</v>
      </c>
      <c r="P52">
        <f>Table3[[#This Row],[weight]]*(0.9155*Table2[[#This Row],[J56]]-E$9)^2</f>
        <v>6.6492791914233077E-4</v>
      </c>
      <c r="Q52">
        <f>Table3[[#This Row],[weight]]*(0.9155*Table2[[#This Row],[J67]]-F$9)^2</f>
        <v>4.438442198145222E-8</v>
      </c>
      <c r="R52">
        <f>Table3[[#This Row],[weight]]*(0.9155*Table2[[#This Row],[J67'']]-G$9)^2</f>
        <v>4.9305195455399763E-2</v>
      </c>
      <c r="S52">
        <f>chloroform!J57</f>
        <v>1.0003138948241506E-3</v>
      </c>
      <c r="T52" t="str">
        <f>chloroform!F57</f>
        <v>5C12</v>
      </c>
    </row>
    <row r="53" spans="11:20" x14ac:dyDescent="0.25">
      <c r="K53">
        <f>chloroform!E58</f>
        <v>173</v>
      </c>
      <c r="L53">
        <f>Table3[[#This Row],[weight]]*(0.9155*Table2[[#This Row],[J1,2]]-A$9)^2</f>
        <v>1.9431959012028861E-5</v>
      </c>
      <c r="M53">
        <f>Table3[[#This Row],[weight]]*(0.9155*Table2[[#This Row],[J2,3]]-B$9)^2</f>
        <v>3.0170812232040915E-4</v>
      </c>
      <c r="N53">
        <f>Table3[[#This Row],[weight]]*(0.9155*Table2[[#This Row],[J34]]-C$9)^2</f>
        <v>2.2197225798973311E-5</v>
      </c>
      <c r="O53">
        <f>Table3[[#This Row],[weight]]*(0.9155*Table2[[#This Row],[J45]]-D$9)^2</f>
        <v>3.3627028115446739E-4</v>
      </c>
      <c r="P53">
        <f>Table3[[#This Row],[weight]]*(0.9155*Table2[[#This Row],[J56]]-E$9)^2</f>
        <v>7.5459769642864227E-3</v>
      </c>
      <c r="Q53">
        <f>Table3[[#This Row],[weight]]*(0.9155*Table2[[#This Row],[J67]]-F$9)^2</f>
        <v>1.6691359928590273E-4</v>
      </c>
      <c r="R53">
        <f>Table3[[#This Row],[weight]]*(0.9155*Table2[[#This Row],[J67'']]-G$9)^2</f>
        <v>8.3731340010149858E-3</v>
      </c>
      <c r="S53">
        <f>chloroform!J58</f>
        <v>2.1417677191485216E-4</v>
      </c>
      <c r="T53" t="str">
        <f>chloroform!F58</f>
        <v>12C5</v>
      </c>
    </row>
    <row r="54" spans="11:20" x14ac:dyDescent="0.25">
      <c r="K54">
        <f>chloroform!E59</f>
        <v>191</v>
      </c>
      <c r="L54">
        <f>Table3[[#This Row],[weight]]*(0.9155*Table2[[#This Row],[J1,2]]-A$9)^2</f>
        <v>6.4124300121960941E-7</v>
      </c>
      <c r="M54">
        <f>Table3[[#This Row],[weight]]*(0.9155*Table2[[#This Row],[J2,3]]-B$9)^2</f>
        <v>5.8191163279256671E-5</v>
      </c>
      <c r="N54">
        <f>Table3[[#This Row],[weight]]*(0.9155*Table2[[#This Row],[J34]]-C$9)^2</f>
        <v>5.4264191970592134E-5</v>
      </c>
      <c r="O54">
        <f>Table3[[#This Row],[weight]]*(0.9155*Table2[[#This Row],[J45]]-D$9)^2</f>
        <v>2.419635042627512E-4</v>
      </c>
      <c r="P54">
        <f>Table3[[#This Row],[weight]]*(0.9155*Table2[[#This Row],[J56]]-E$9)^2</f>
        <v>4.0394811407981008E-3</v>
      </c>
      <c r="Q54">
        <f>Table3[[#This Row],[weight]]*(0.9155*Table2[[#This Row],[J67]]-F$9)^2</f>
        <v>1.0375955835069575E-2</v>
      </c>
      <c r="R54">
        <f>Table3[[#This Row],[weight]]*(0.9155*Table2[[#This Row],[J67'']]-G$9)^2</f>
        <v>9.2077586083698235E-5</v>
      </c>
      <c r="S54">
        <f>chloroform!J59</f>
        <v>9.8765904417687437E-5</v>
      </c>
      <c r="T54" t="str">
        <f>chloroform!F59</f>
        <v>12C5</v>
      </c>
    </row>
    <row r="55" spans="11:20" x14ac:dyDescent="0.25">
      <c r="K55">
        <f>chloroform!E60</f>
        <v>193</v>
      </c>
      <c r="L55">
        <f>Table3[[#This Row],[weight]]*(0.9155*Table2[[#This Row],[J1,2]]-A$9)^2</f>
        <v>6.2009481959623803E-5</v>
      </c>
      <c r="M55">
        <f>Table3[[#This Row],[weight]]*(0.9155*Table2[[#This Row],[J2,3]]-B$9)^2</f>
        <v>9.2107788957092914E-4</v>
      </c>
      <c r="N55">
        <f>Table3[[#This Row],[weight]]*(0.9155*Table2[[#This Row],[J34]]-C$9)^2</f>
        <v>5.8119287130776292E-5</v>
      </c>
      <c r="O55">
        <f>Table3[[#This Row],[weight]]*(0.9155*Table2[[#This Row],[J45]]-D$9)^2</f>
        <v>8.9083366025150175E-4</v>
      </c>
      <c r="P55">
        <f>Table3[[#This Row],[weight]]*(0.9155*Table2[[#This Row],[J56]]-E$9)^2</f>
        <v>1.7646448927856152E-2</v>
      </c>
      <c r="Q55">
        <f>Table3[[#This Row],[weight]]*(0.9155*Table2[[#This Row],[J67]]-F$9)^2</f>
        <v>2.3246807265891683E-4</v>
      </c>
      <c r="R55">
        <f>Table3[[#This Row],[weight]]*(0.9155*Table2[[#This Row],[J67'']]-G$9)^2</f>
        <v>1.6737064053696352E-2</v>
      </c>
      <c r="S55">
        <f>chloroform!J60</f>
        <v>4.9141415597775981E-4</v>
      </c>
      <c r="T55" t="str">
        <f>chloroform!F60</f>
        <v>12C5</v>
      </c>
    </row>
    <row r="56" spans="11:20" x14ac:dyDescent="0.25">
      <c r="K56">
        <f>chloroform!E61</f>
        <v>197</v>
      </c>
      <c r="L56">
        <f>Table3[[#This Row],[weight]]*(0.9155*Table2[[#This Row],[J1,2]]-A$9)^2</f>
        <v>0</v>
      </c>
      <c r="M56">
        <f>Table3[[#This Row],[weight]]*(0.9155*Table2[[#This Row],[J2,3]]-B$9)^2</f>
        <v>0</v>
      </c>
      <c r="N56">
        <f>Table3[[#This Row],[weight]]*(0.9155*Table2[[#This Row],[J34]]-C$9)^2</f>
        <v>0</v>
      </c>
      <c r="O56">
        <f>Table3[[#This Row],[weight]]*(0.9155*Table2[[#This Row],[J45]]-D$9)^2</f>
        <v>0</v>
      </c>
      <c r="P56">
        <f>Table3[[#This Row],[weight]]*(0.9155*Table2[[#This Row],[J56]]-E$9)^2</f>
        <v>0</v>
      </c>
      <c r="Q56">
        <f>Table3[[#This Row],[weight]]*(0.9155*Table2[[#This Row],[J67]]-F$9)^2</f>
        <v>0</v>
      </c>
      <c r="R56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>
        <f>Table3[[#This Row],[weight]]*(0.9155*Table2[[#This Row],[J1,2]]-A$9)^2</f>
        <v>1.4244404767263807E-5</v>
      </c>
      <c r="M57">
        <f>Table3[[#This Row],[weight]]*(0.9155*Table2[[#This Row],[J2,3]]-B$9)^2</f>
        <v>1.4441479596762395E-3</v>
      </c>
      <c r="N57">
        <f>Table3[[#This Row],[weight]]*(0.9155*Table2[[#This Row],[J34]]-C$9)^2</f>
        <v>1.8611924985359391E-3</v>
      </c>
      <c r="O57">
        <f>Table3[[#This Row],[weight]]*(0.9155*Table2[[#This Row],[J45]]-D$9)^2</f>
        <v>1.1050068376389829E-3</v>
      </c>
      <c r="P57">
        <f>Table3[[#This Row],[weight]]*(0.9155*Table2[[#This Row],[J56]]-E$9)^2</f>
        <v>1.1964101391265654E-5</v>
      </c>
      <c r="Q57">
        <f>Table3[[#This Row],[weight]]*(0.9155*Table2[[#This Row],[J67]]-F$9)^2</f>
        <v>7.684717341620408E-6</v>
      </c>
      <c r="R57">
        <f>Table3[[#This Row],[weight]]*(0.9155*Table2[[#This Row],[J67'']]-G$9)^2</f>
        <v>1.6664292099841911E-3</v>
      </c>
      <c r="S57">
        <f>chloroform!J62</f>
        <v>4.3091300945158128E-5</v>
      </c>
      <c r="T57" t="str">
        <f>chloroform!F62</f>
        <v>5C12</v>
      </c>
    </row>
    <row r="58" spans="11:20" x14ac:dyDescent="0.25">
      <c r="K58">
        <f>chloroform!E63</f>
        <v>212</v>
      </c>
      <c r="L58">
        <f>Table3[[#This Row],[weight]]*(0.9155*Table2[[#This Row],[J1,2]]-A$9)^2</f>
        <v>4.1642122371399715E-6</v>
      </c>
      <c r="M58">
        <f>Table3[[#This Row],[weight]]*(0.9155*Table2[[#This Row],[J2,3]]-B$9)^2</f>
        <v>1.2249800679667506E-4</v>
      </c>
      <c r="N58">
        <f>Table3[[#This Row],[weight]]*(0.9155*Table2[[#This Row],[J34]]-C$9)^2</f>
        <v>8.4921499153542066E-7</v>
      </c>
      <c r="O58">
        <f>Table3[[#This Row],[weight]]*(0.9155*Table2[[#This Row],[J45]]-D$9)^2</f>
        <v>1.9658579526672188E-4</v>
      </c>
      <c r="P58">
        <f>Table3[[#This Row],[weight]]*(0.9155*Table2[[#This Row],[J56]]-E$9)^2</f>
        <v>2.6252573763454723E-3</v>
      </c>
      <c r="Q58">
        <f>Table3[[#This Row],[weight]]*(0.9155*Table2[[#This Row],[J67]]-F$9)^2</f>
        <v>8.2017124582054231E-6</v>
      </c>
      <c r="R58">
        <f>Table3[[#This Row],[weight]]*(0.9155*Table2[[#This Row],[J67'']]-G$9)^2</f>
        <v>2.9762532421513574E-3</v>
      </c>
      <c r="S58">
        <f>chloroform!J63</f>
        <v>7.8853666299825601E-5</v>
      </c>
      <c r="T58" t="str">
        <f>chloroform!F63</f>
        <v>12C5</v>
      </c>
    </row>
    <row r="59" spans="11:20" x14ac:dyDescent="0.25">
      <c r="K59">
        <f>chloroform!E64</f>
        <v>215</v>
      </c>
      <c r="L59">
        <f>Table3[[#This Row],[weight]]*(0.9155*Table2[[#This Row],[J1,2]]-A$9)^2</f>
        <v>6.4080348795523344E-5</v>
      </c>
      <c r="M59">
        <f>Table3[[#This Row],[weight]]*(0.9155*Table2[[#This Row],[J2,3]]-B$9)^2</f>
        <v>7.3271995456406912E-4</v>
      </c>
      <c r="N59">
        <f>Table3[[#This Row],[weight]]*(0.9155*Table2[[#This Row],[J34]]-C$9)^2</f>
        <v>1.5897247253879575E-4</v>
      </c>
      <c r="O59">
        <f>Table3[[#This Row],[weight]]*(0.9155*Table2[[#This Row],[J45]]-D$9)^2</f>
        <v>9.1373982066766642E-4</v>
      </c>
      <c r="P59">
        <f>Table3[[#This Row],[weight]]*(0.9155*Table2[[#This Row],[J56]]-E$9)^2</f>
        <v>2.111652201388323E-2</v>
      </c>
      <c r="Q59">
        <f>Table3[[#This Row],[weight]]*(0.9155*Table2[[#This Row],[J67]]-F$9)^2</f>
        <v>3.091125147886529E-4</v>
      </c>
      <c r="R59">
        <f>Table3[[#This Row],[weight]]*(0.9155*Table2[[#This Row],[J67'']]-G$9)^2</f>
        <v>1.9251167121735715E-2</v>
      </c>
      <c r="S59">
        <f>chloroform!J64</f>
        <v>5.6452163965097087E-4</v>
      </c>
      <c r="T59" t="str">
        <f>chloroform!F64</f>
        <v>12C5</v>
      </c>
    </row>
    <row r="60" spans="11:20" x14ac:dyDescent="0.25">
      <c r="K60">
        <f>chloroform!E65</f>
        <v>219</v>
      </c>
      <c r="L60">
        <f>Table3[[#This Row],[weight]]*(0.9155*Table2[[#This Row],[J1,2]]-A$9)^2</f>
        <v>3.709507196785821E-5</v>
      </c>
      <c r="M60">
        <f>Table3[[#This Row],[weight]]*(0.9155*Table2[[#This Row],[J2,3]]-B$9)^2</f>
        <v>1.5809009371487448E-4</v>
      </c>
      <c r="N60">
        <f>Table3[[#This Row],[weight]]*(0.9155*Table2[[#This Row],[J34]]-C$9)^2</f>
        <v>1.275765601038437E-7</v>
      </c>
      <c r="O60">
        <f>Table3[[#This Row],[weight]]*(0.9155*Table2[[#This Row],[J45]]-D$9)^2</f>
        <v>1.2378081736100187E-6</v>
      </c>
      <c r="P60">
        <f>Table3[[#This Row],[weight]]*(0.9155*Table2[[#This Row],[J56]]-E$9)^2</f>
        <v>1.3485746698668499E-3</v>
      </c>
      <c r="Q60">
        <f>Table3[[#This Row],[weight]]*(0.9155*Table2[[#This Row],[J67]]-F$9)^2</f>
        <v>6.6434825922324694E-5</v>
      </c>
      <c r="R60">
        <f>Table3[[#This Row],[weight]]*(0.9155*Table2[[#This Row],[J67'']]-G$9)^2</f>
        <v>1.5776898011050614E-3</v>
      </c>
      <c r="S60">
        <f>chloroform!J65</f>
        <v>4.425759062839742E-5</v>
      </c>
      <c r="T60" t="str">
        <f>chloroform!F65</f>
        <v>12C5</v>
      </c>
    </row>
    <row r="61" spans="11:20" x14ac:dyDescent="0.25">
      <c r="K61">
        <f>chloroform!E66</f>
        <v>220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>
        <f>Table3[[#This Row],[weight]]*(0.9155*Table2[[#This Row],[J1,2]]-A$9)^2</f>
        <v>6.5427376900720996E-5</v>
      </c>
      <c r="M62">
        <f>Table3[[#This Row],[weight]]*(0.9155*Table2[[#This Row],[J2,3]]-B$9)^2</f>
        <v>8.1371118541906427E-4</v>
      </c>
      <c r="N62">
        <f>Table3[[#This Row],[weight]]*(0.9155*Table2[[#This Row],[J34]]-C$9)^2</f>
        <v>4.1686497858724672E-5</v>
      </c>
      <c r="O62">
        <f>Table3[[#This Row],[weight]]*(0.9155*Table2[[#This Row],[J45]]-D$9)^2</f>
        <v>6.7196354326828239E-4</v>
      </c>
      <c r="P62">
        <f>Table3[[#This Row],[weight]]*(0.9155*Table2[[#This Row],[J56]]-E$9)^2</f>
        <v>1.475030424127018E-2</v>
      </c>
      <c r="Q62">
        <f>Table3[[#This Row],[weight]]*(0.9155*Table2[[#This Row],[J67]]-F$9)^2</f>
        <v>3.7323364356195844E-4</v>
      </c>
      <c r="R62">
        <f>Table3[[#This Row],[weight]]*(0.9155*Table2[[#This Row],[J67'']]-G$9)^2</f>
        <v>1.6590564177208875E-2</v>
      </c>
      <c r="S62">
        <f>chloroform!J67</f>
        <v>4.2611597179223275E-4</v>
      </c>
      <c r="T62" t="str">
        <f>chloroform!F67</f>
        <v>12C5</v>
      </c>
    </row>
    <row r="63" spans="11:20" x14ac:dyDescent="0.25">
      <c r="K63">
        <f>chloroform!E68</f>
        <v>272</v>
      </c>
      <c r="L63">
        <f>Table3[[#This Row],[weight]]*(0.9155*Table2[[#This Row],[J1,2]]-A$9)^2</f>
        <v>1.491802011195377E-4</v>
      </c>
      <c r="M63">
        <f>Table3[[#This Row],[weight]]*(0.9155*Table2[[#This Row],[J2,3]]-B$9)^2</f>
        <v>1.2954091193590829E-3</v>
      </c>
      <c r="N63">
        <f>Table3[[#This Row],[weight]]*(0.9155*Table2[[#This Row],[J34]]-C$9)^2</f>
        <v>4.0906334385005221E-3</v>
      </c>
      <c r="O63">
        <f>Table3[[#This Row],[weight]]*(0.9155*Table2[[#This Row],[J45]]-D$9)^2</f>
        <v>6.4549046600474909E-4</v>
      </c>
      <c r="P63">
        <f>Table3[[#This Row],[weight]]*(0.9155*Table2[[#This Row],[J56]]-E$9)^2</f>
        <v>5.2484917506278663E-5</v>
      </c>
      <c r="Q63">
        <f>Table3[[#This Row],[weight]]*(0.9155*Table2[[#This Row],[J67]]-F$9)^2</f>
        <v>2.5038416066188533E-6</v>
      </c>
      <c r="R63">
        <f>Table3[[#This Row],[weight]]*(0.9155*Table2[[#This Row],[J67'']]-G$9)^2</f>
        <v>3.877245101708822E-4</v>
      </c>
      <c r="S63">
        <f>chloroform!J68</f>
        <v>4.9881189024096471E-5</v>
      </c>
      <c r="T63" t="str">
        <f>chloroform!F68</f>
        <v>5C12</v>
      </c>
    </row>
    <row r="64" spans="11:20" x14ac:dyDescent="0.25">
      <c r="K64">
        <f>chloroform!E69</f>
        <v>276</v>
      </c>
      <c r="L64">
        <f>Table3[[#This Row],[weight]]*(0.9155*Table2[[#This Row],[J1,2]]-A$9)^2</f>
        <v>0</v>
      </c>
      <c r="M64">
        <f>Table3[[#This Row],[weight]]*(0.9155*Table2[[#This Row],[J2,3]]-B$9)^2</f>
        <v>0</v>
      </c>
      <c r="N64">
        <f>Table3[[#This Row],[weight]]*(0.9155*Table2[[#This Row],[J34]]-C$9)^2</f>
        <v>0</v>
      </c>
      <c r="O64">
        <f>Table3[[#This Row],[weight]]*(0.9155*Table2[[#This Row],[J45]]-D$9)^2</f>
        <v>0</v>
      </c>
      <c r="P64">
        <f>Table3[[#This Row],[weight]]*(0.9155*Table2[[#This Row],[J56]]-E$9)^2</f>
        <v>0</v>
      </c>
      <c r="Q64">
        <f>Table3[[#This Row],[weight]]*(0.9155*Table2[[#This Row],[J67]]-F$9)^2</f>
        <v>0</v>
      </c>
      <c r="R64">
        <f>Table3[[#This Row],[weight]]*(0.9155*Table2[[#This Row],[J67'']]-G$9)^2</f>
        <v>0</v>
      </c>
      <c r="S64">
        <f>chloroform!J69</f>
        <v>0</v>
      </c>
      <c r="T64" t="str">
        <f>chloroform!F69</f>
        <v>4H6</v>
      </c>
    </row>
    <row r="65" spans="11:20" x14ac:dyDescent="0.25">
      <c r="K65">
        <f>chloroform!E70</f>
        <v>278</v>
      </c>
      <c r="L65">
        <f>Table3[[#This Row],[weight]]*(0.9155*Table2[[#This Row],[J1,2]]-A$9)^2</f>
        <v>1.9729844534390941E-5</v>
      </c>
      <c r="M65">
        <f>Table3[[#This Row],[weight]]*(0.9155*Table2[[#This Row],[J2,3]]-B$9)^2</f>
        <v>1.6002943467374458E-3</v>
      </c>
      <c r="N65">
        <f>Table3[[#This Row],[weight]]*(0.9155*Table2[[#This Row],[J34]]-C$9)^2</f>
        <v>2.1499486590110129E-3</v>
      </c>
      <c r="O65">
        <f>Table3[[#This Row],[weight]]*(0.9155*Table2[[#This Row],[J45]]-D$9)^2</f>
        <v>1.2763157571686981E-3</v>
      </c>
      <c r="P65">
        <f>Table3[[#This Row],[weight]]*(0.9155*Table2[[#This Row],[J56]]-E$9)^2</f>
        <v>9.1693233075878982E-7</v>
      </c>
      <c r="Q65">
        <f>Table3[[#This Row],[weight]]*(0.9155*Table2[[#This Row],[J67]]-F$9)^2</f>
        <v>2.5784244405877726E-3</v>
      </c>
      <c r="R65">
        <f>Table3[[#This Row],[weight]]*(0.9155*Table2[[#This Row],[J67'']]-G$9)^2</f>
        <v>2.5096927219692237E-4</v>
      </c>
      <c r="S65">
        <f>chloroform!J70</f>
        <v>4.7629892029221072E-5</v>
      </c>
      <c r="T65" t="str">
        <f>chloroform!F70</f>
        <v>5C12</v>
      </c>
    </row>
    <row r="66" spans="11:20" x14ac:dyDescent="0.25">
      <c r="K66">
        <f>chloroform!E71</f>
        <v>283</v>
      </c>
      <c r="L66">
        <f>Table3[[#This Row],[weight]]*(0.9155*Table2[[#This Row],[J1,2]]-A$9)^2</f>
        <v>1.4084904222939776E-4</v>
      </c>
      <c r="M66">
        <f>Table3[[#This Row],[weight]]*(0.9155*Table2[[#This Row],[J2,3]]-B$9)^2</f>
        <v>1.449427161102977E-3</v>
      </c>
      <c r="N66">
        <f>Table3[[#This Row],[weight]]*(0.9155*Table2[[#This Row],[J34]]-C$9)^2</f>
        <v>3.2241650764083941E-3</v>
      </c>
      <c r="O66">
        <f>Table3[[#This Row],[weight]]*(0.9155*Table2[[#This Row],[J45]]-D$9)^2</f>
        <v>5.9770533814706343E-4</v>
      </c>
      <c r="P66">
        <f>Table3[[#This Row],[weight]]*(0.9155*Table2[[#This Row],[J56]]-E$9)^2</f>
        <v>2.6168612288663091E-5</v>
      </c>
      <c r="Q66">
        <f>Table3[[#This Row],[weight]]*(0.9155*Table2[[#This Row],[J67]]-F$9)^2</f>
        <v>3.4767506037909819E-3</v>
      </c>
      <c r="R66">
        <f>Table3[[#This Row],[weight]]*(0.9155*Table2[[#This Row],[J67'']]-G$9)^2</f>
        <v>2.4099464091941104E-4</v>
      </c>
      <c r="S66">
        <f>chloroform!J71</f>
        <v>5.1523839288763394E-5</v>
      </c>
      <c r="T66" t="str">
        <f>chloroform!F71</f>
        <v>5C12</v>
      </c>
    </row>
    <row r="67" spans="11:20" x14ac:dyDescent="0.25">
      <c r="K67">
        <f>chloroform!E72</f>
        <v>290</v>
      </c>
      <c r="L67">
        <f>Table3[[#This Row],[weight]]*(0.9155*Table2[[#This Row],[J1,2]]-A$9)^2</f>
        <v>0</v>
      </c>
      <c r="M67">
        <f>Table3[[#This Row],[weight]]*(0.9155*Table2[[#This Row],[J2,3]]-B$9)^2</f>
        <v>0</v>
      </c>
      <c r="N67">
        <f>Table3[[#This Row],[weight]]*(0.9155*Table2[[#This Row],[J34]]-C$9)^2</f>
        <v>0</v>
      </c>
      <c r="O67">
        <f>Table3[[#This Row],[weight]]*(0.9155*Table2[[#This Row],[J45]]-D$9)^2</f>
        <v>0</v>
      </c>
      <c r="P67">
        <f>Table3[[#This Row],[weight]]*(0.9155*Table2[[#This Row],[J56]]-E$9)^2</f>
        <v>0</v>
      </c>
      <c r="Q67">
        <f>Table3[[#This Row],[weight]]*(0.9155*Table2[[#This Row],[J67]]-F$9)^2</f>
        <v>0</v>
      </c>
      <c r="R67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>
        <f>Table3[[#This Row],[weight]]*(0.9155*Table2[[#This Row],[J1,2]]-A$9)^2</f>
        <v>0</v>
      </c>
      <c r="M68">
        <f>Table3[[#This Row],[weight]]*(0.9155*Table2[[#This Row],[J2,3]]-B$9)^2</f>
        <v>0</v>
      </c>
      <c r="N68">
        <f>Table3[[#This Row],[weight]]*(0.9155*Table2[[#This Row],[J34]]-C$9)^2</f>
        <v>0</v>
      </c>
      <c r="O68">
        <f>Table3[[#This Row],[weight]]*(0.9155*Table2[[#This Row],[J45]]-D$9)^2</f>
        <v>0</v>
      </c>
      <c r="P68">
        <f>Table3[[#This Row],[weight]]*(0.9155*Table2[[#This Row],[J56]]-E$9)^2</f>
        <v>0</v>
      </c>
      <c r="Q68">
        <f>Table3[[#This Row],[weight]]*(0.9155*Table2[[#This Row],[J67]]-F$9)^2</f>
        <v>0</v>
      </c>
      <c r="R68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>
        <f>Table3[[#This Row],[weight]]*(0.9155*Table2[[#This Row],[J1,2]]-A$9)^2</f>
        <v>0</v>
      </c>
      <c r="M69">
        <f>Table3[[#This Row],[weight]]*(0.9155*Table2[[#This Row],[J2,3]]-B$9)^2</f>
        <v>0</v>
      </c>
      <c r="N69">
        <f>Table3[[#This Row],[weight]]*(0.9155*Table2[[#This Row],[J34]]-C$9)^2</f>
        <v>0</v>
      </c>
      <c r="O69">
        <f>Table3[[#This Row],[weight]]*(0.9155*Table2[[#This Row],[J45]]-D$9)^2</f>
        <v>0</v>
      </c>
      <c r="P69">
        <f>Table3[[#This Row],[weight]]*(0.9155*Table2[[#This Row],[J56]]-E$9)^2</f>
        <v>0</v>
      </c>
      <c r="Q69">
        <f>Table3[[#This Row],[weight]]*(0.9155*Table2[[#This Row],[J67]]-F$9)^2</f>
        <v>0</v>
      </c>
      <c r="R69">
        <f>Table3[[#This Row],[weight]]*(0.9155*Table2[[#This Row],[J67'']]-G$9)^2</f>
        <v>0</v>
      </c>
      <c r="S69">
        <f>chloroform!J74</f>
        <v>0</v>
      </c>
      <c r="T69" t="str">
        <f>chloroform!F74</f>
        <v>4H6</v>
      </c>
    </row>
    <row r="70" spans="11:20" x14ac:dyDescent="0.25">
      <c r="K70">
        <f>chloroform!E75</f>
        <v>396</v>
      </c>
      <c r="L70">
        <f>Table3[[#This Row],[weight]]*(0.9155*Table2[[#This Row],[J1,2]]-A$9)^2</f>
        <v>0</v>
      </c>
      <c r="M70">
        <f>Table3[[#This Row],[weight]]*(0.9155*Table2[[#This Row],[J2,3]]-B$9)^2</f>
        <v>0</v>
      </c>
      <c r="N70">
        <f>Table3[[#This Row],[weight]]*(0.9155*Table2[[#This Row],[J34]]-C$9)^2</f>
        <v>0</v>
      </c>
      <c r="O70">
        <f>Table3[[#This Row],[weight]]*(0.9155*Table2[[#This Row],[J45]]-D$9)^2</f>
        <v>0</v>
      </c>
      <c r="P70">
        <f>Table3[[#This Row],[weight]]*(0.9155*Table2[[#This Row],[J56]]-E$9)^2</f>
        <v>0</v>
      </c>
      <c r="Q70">
        <f>Table3[[#This Row],[weight]]*(0.9155*Table2[[#This Row],[J67]]-F$9)^2</f>
        <v>0</v>
      </c>
      <c r="R70">
        <f>Table3[[#This Row],[weight]]*(0.9155*Table2[[#This Row],[J67'']]-G$9)^2</f>
        <v>0</v>
      </c>
      <c r="S70">
        <f>chloroform!J75</f>
        <v>0</v>
      </c>
      <c r="T70" t="str">
        <f>chloroform!F75</f>
        <v>4H6</v>
      </c>
    </row>
  </sheetData>
  <conditionalFormatting sqref="T1:T1048576">
    <cfRule type="cellIs" dxfId="7" priority="1" operator="equal">
      <formula>$E$1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73AAF-50B6-41FA-9681-242F5669750F}">
  <dimension ref="A5:N22"/>
  <sheetViews>
    <sheetView tabSelected="1" workbookViewId="0">
      <selection activeCell="M11" sqref="M11"/>
    </sheetView>
  </sheetViews>
  <sheetFormatPr defaultRowHeight="15" x14ac:dyDescent="0.25"/>
  <sheetData>
    <row r="5" spans="1:14" x14ac:dyDescent="0.25">
      <c r="H5">
        <v>8.8838102302465298</v>
      </c>
      <c r="I5">
        <v>3.0039517567231768</v>
      </c>
      <c r="J5">
        <v>10.380233435697541</v>
      </c>
      <c r="K5">
        <v>9.6877655363424058</v>
      </c>
    </row>
    <row r="7" spans="1:14" x14ac:dyDescent="0.25">
      <c r="B7" t="s">
        <v>122</v>
      </c>
      <c r="C7" t="s">
        <v>17</v>
      </c>
      <c r="D7" t="s">
        <v>19</v>
      </c>
    </row>
    <row r="8" spans="1:14" x14ac:dyDescent="0.25">
      <c r="A8" t="s">
        <v>94</v>
      </c>
      <c r="B8">
        <f>'45TH'!B5</f>
        <v>8.4742613803317646</v>
      </c>
      <c r="C8">
        <f>halfchair!B5</f>
        <v>7.9244226383806504</v>
      </c>
      <c r="D8">
        <f>chair!B5</f>
        <v>2.9115774961816085</v>
      </c>
      <c r="F8" t="s">
        <v>94</v>
      </c>
    </row>
    <row r="9" spans="1:14" x14ac:dyDescent="0.25">
      <c r="A9" t="s">
        <v>69</v>
      </c>
      <c r="B9">
        <f>'45TH'!C5</f>
        <v>2.0574532279260214</v>
      </c>
      <c r="C9">
        <f>halfchair!C5</f>
        <v>5.42097720934827</v>
      </c>
      <c r="D9">
        <f>chair!$C5</f>
        <v>8.0157806004098084</v>
      </c>
      <c r="F9" t="s">
        <v>69</v>
      </c>
      <c r="M9" t="s">
        <v>17</v>
      </c>
      <c r="N9" s="7">
        <v>0.62649999999999995</v>
      </c>
    </row>
    <row r="10" spans="1:14" x14ac:dyDescent="0.25">
      <c r="A10" t="s">
        <v>70</v>
      </c>
      <c r="B10">
        <f>'45TH'!D5</f>
        <v>5.7902381621500876</v>
      </c>
      <c r="C10">
        <f>halfchair!D5</f>
        <v>0.45967779083552412</v>
      </c>
      <c r="D10">
        <f>chair!$D5</f>
        <v>10.599479871523725</v>
      </c>
      <c r="F10" t="s">
        <v>70</v>
      </c>
      <c r="M10" t="s">
        <v>19</v>
      </c>
      <c r="N10" s="8">
        <v>0.3448</v>
      </c>
    </row>
    <row r="11" spans="1:14" x14ac:dyDescent="0.25">
      <c r="A11" t="s">
        <v>71</v>
      </c>
      <c r="B11">
        <f>'45TH'!E5</f>
        <v>9.1051556750243847</v>
      </c>
      <c r="C11">
        <f>halfchair!E5</f>
        <v>10.863297962344253</v>
      </c>
      <c r="D11">
        <f>chair!$E5</f>
        <v>9.2056393511245176</v>
      </c>
      <c r="F11" t="s">
        <v>71</v>
      </c>
      <c r="M11" t="s">
        <v>122</v>
      </c>
      <c r="N11" s="7">
        <v>2.87E-2</v>
      </c>
    </row>
    <row r="14" spans="1:14" x14ac:dyDescent="0.25">
      <c r="A14" t="s">
        <v>95</v>
      </c>
    </row>
    <row r="15" spans="1:14" x14ac:dyDescent="0.25">
      <c r="B15" t="s">
        <v>122</v>
      </c>
      <c r="C15" t="s">
        <v>17</v>
      </c>
      <c r="D15" t="s">
        <v>19</v>
      </c>
    </row>
    <row r="16" spans="1:14" x14ac:dyDescent="0.25">
      <c r="A16" t="s">
        <v>94</v>
      </c>
      <c r="B16">
        <f>'45TH'!B13</f>
        <v>0.198710769108393</v>
      </c>
      <c r="C16">
        <f>halfchair!B13</f>
        <v>0.24683808377969929</v>
      </c>
      <c r="D16">
        <f>chair!B13</f>
        <v>0.1610791315806287</v>
      </c>
      <c r="G16">
        <f t="shared" ref="G16:I19" si="0">(B16/B8)^2</f>
        <v>5.498435033772205E-4</v>
      </c>
      <c r="H16">
        <f t="shared" si="0"/>
        <v>9.7026211148200348E-4</v>
      </c>
      <c r="I16">
        <f t="shared" si="0"/>
        <v>3.0607076643087627E-3</v>
      </c>
    </row>
    <row r="17" spans="1:9" x14ac:dyDescent="0.25">
      <c r="A17" t="s">
        <v>69</v>
      </c>
      <c r="B17">
        <f>'45TH'!C13</f>
        <v>0.23480054053732261</v>
      </c>
      <c r="C17">
        <f>halfchair!C13</f>
        <v>0.33302556374555642</v>
      </c>
      <c r="D17">
        <f>chair!$C13</f>
        <v>0.9069954240013457</v>
      </c>
      <c r="G17">
        <f t="shared" si="0"/>
        <v>1.302381571471856E-2</v>
      </c>
      <c r="H17">
        <f t="shared" si="0"/>
        <v>3.7739833638417188E-3</v>
      </c>
      <c r="I17">
        <f t="shared" si="0"/>
        <v>1.2803200558447055E-2</v>
      </c>
    </row>
    <row r="18" spans="1:9" x14ac:dyDescent="0.25">
      <c r="A18" t="s">
        <v>70</v>
      </c>
      <c r="B18">
        <f>'45TH'!D13</f>
        <v>0.51856474556928522</v>
      </c>
      <c r="C18">
        <f>halfchair!D13</f>
        <v>0.18599537554841336</v>
      </c>
      <c r="D18">
        <f>chair!$D13</f>
        <v>0.25654548162245905</v>
      </c>
      <c r="G18">
        <f t="shared" si="0"/>
        <v>8.0207156767423196E-3</v>
      </c>
      <c r="H18">
        <f t="shared" si="0"/>
        <v>0.16371830881237404</v>
      </c>
      <c r="I18">
        <f t="shared" si="0"/>
        <v>5.858138446940233E-4</v>
      </c>
    </row>
    <row r="19" spans="1:9" x14ac:dyDescent="0.25">
      <c r="A19" t="s">
        <v>71</v>
      </c>
      <c r="B19">
        <f>'45TH'!E13</f>
        <v>0.42650629568168047</v>
      </c>
      <c r="C19">
        <f>halfchair!E13</f>
        <v>0.18329487589217028</v>
      </c>
      <c r="D19">
        <f>chair!$E13</f>
        <v>0.28226522245668856</v>
      </c>
      <c r="G19">
        <f t="shared" si="0"/>
        <v>2.1941996494396162E-3</v>
      </c>
      <c r="H19">
        <f t="shared" si="0"/>
        <v>2.8469331211846831E-4</v>
      </c>
      <c r="I19">
        <f t="shared" si="0"/>
        <v>9.4017095879624524E-4</v>
      </c>
    </row>
    <row r="22" spans="1:9" x14ac:dyDescent="0.25">
      <c r="H22">
        <f>SQRT(SUM(G16:I19))</f>
        <v>0.45817651093256634</v>
      </c>
    </row>
  </sheetData>
  <sortState xmlns:xlrd2="http://schemas.microsoft.com/office/spreadsheetml/2017/richdata2" ref="M9:N11">
    <sortCondition descending="1" ref="N9:N1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chloroform</vt:lpstr>
      <vt:lpstr>js-chloroform</vt:lpstr>
      <vt:lpstr>chair</vt:lpstr>
      <vt:lpstr>halfchair</vt:lpstr>
      <vt:lpstr>45TH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 Griesbach</dc:creator>
  <cp:lastModifiedBy>Caleb Griesbach</cp:lastModifiedBy>
  <dcterms:created xsi:type="dcterms:W3CDTF">2020-06-17T13:36:29Z</dcterms:created>
  <dcterms:modified xsi:type="dcterms:W3CDTF">2021-09-23T12:37:40Z</dcterms:modified>
</cp:coreProperties>
</file>