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974C3025-3E48-4C5D-850E-BBB61F2EE90A}" xr6:coauthVersionLast="47" xr6:coauthVersionMax="47" xr10:uidLastSave="{00000000-0000-0000-0000-000000000000}"/>
  <bookViews>
    <workbookView xWindow="-120" yWindow="-120" windowWidth="29040" windowHeight="15840" activeTab="2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68" i="2" l="1"/>
  <c r="S67" i="2"/>
  <c r="T3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2" i="5"/>
  <c r="K64" i="5"/>
  <c r="K56" i="5"/>
  <c r="K57" i="5"/>
  <c r="K58" i="5"/>
  <c r="K59" i="5"/>
  <c r="K60" i="5"/>
  <c r="K61" i="5"/>
  <c r="K62" i="5"/>
  <c r="K63" i="5"/>
  <c r="K51" i="5"/>
  <c r="K52" i="5"/>
  <c r="K53" i="5"/>
  <c r="K54" i="5"/>
  <c r="K55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2" i="5"/>
  <c r="K2" i="4"/>
  <c r="T62" i="3"/>
  <c r="T63" i="3"/>
  <c r="T64" i="3"/>
  <c r="K62" i="3"/>
  <c r="K63" i="3"/>
  <c r="K64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2" i="3"/>
  <c r="K2" i="3"/>
  <c r="K61" i="4"/>
  <c r="T61" i="4"/>
  <c r="K62" i="4"/>
  <c r="T62" i="4"/>
  <c r="K63" i="4"/>
  <c r="T63" i="4"/>
  <c r="K64" i="4"/>
  <c r="T64" i="4"/>
  <c r="K54" i="4"/>
  <c r="T54" i="4"/>
  <c r="K55" i="4"/>
  <c r="T55" i="4"/>
  <c r="K56" i="4"/>
  <c r="T56" i="4"/>
  <c r="K57" i="4"/>
  <c r="T57" i="4"/>
  <c r="K58" i="4"/>
  <c r="T58" i="4"/>
  <c r="K59" i="4"/>
  <c r="T59" i="4"/>
  <c r="K60" i="4"/>
  <c r="T60" i="4"/>
  <c r="K51" i="4"/>
  <c r="T51" i="4"/>
  <c r="K52" i="4"/>
  <c r="T52" i="4"/>
  <c r="K53" i="4"/>
  <c r="T53" i="4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8" i="1"/>
  <c r="B66" i="1"/>
  <c r="B62" i="1"/>
  <c r="B67" i="1"/>
  <c r="B69" i="1"/>
  <c r="B63" i="1"/>
  <c r="B65" i="1"/>
  <c r="B57" i="1"/>
  <c r="B7" i="1"/>
  <c r="C7" i="1" l="1"/>
  <c r="C69" i="1"/>
  <c r="C66" i="1"/>
  <c r="C47" i="1"/>
  <c r="C61" i="1"/>
  <c r="C20" i="1"/>
  <c r="C59" i="1"/>
  <c r="C44" i="1"/>
  <c r="C12" i="1"/>
  <c r="C62" i="1"/>
  <c r="C32" i="1"/>
  <c r="C24" i="1"/>
  <c r="C43" i="1"/>
  <c r="C36" i="1"/>
  <c r="C35" i="1"/>
  <c r="C8" i="1"/>
  <c r="C63" i="1"/>
  <c r="C51" i="1"/>
  <c r="C9" i="1"/>
  <c r="C48" i="1"/>
  <c r="C40" i="1"/>
  <c r="C65" i="1"/>
  <c r="C27" i="1"/>
  <c r="C16" i="1"/>
  <c r="C55" i="1"/>
  <c r="C52" i="1"/>
  <c r="C28" i="1"/>
  <c r="C56" i="1"/>
  <c r="C68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4" i="1"/>
  <c r="C50" i="1"/>
  <c r="C42" i="1"/>
  <c r="C34" i="1"/>
  <c r="C26" i="1"/>
  <c r="C18" i="1"/>
  <c r="C10" i="1"/>
  <c r="C11" i="1"/>
  <c r="C67" i="1"/>
  <c r="C60" i="1"/>
  <c r="C49" i="1"/>
  <c r="C41" i="1"/>
  <c r="C33" i="1"/>
  <c r="C25" i="1"/>
  <c r="C17" i="1"/>
  <c r="G1" i="5"/>
  <c r="G1" i="4"/>
  <c r="G1" i="3"/>
  <c r="M8" i="1" l="1"/>
  <c r="M9" i="1"/>
  <c r="M10" i="1"/>
  <c r="M11" i="1"/>
  <c r="M7" i="1"/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3" i="2"/>
  <c r="K2" i="2"/>
  <c r="AB15" i="2" l="1"/>
  <c r="AB14" i="2" l="1"/>
  <c r="AA8" i="2"/>
  <c r="AA9" i="2"/>
  <c r="AA10" i="2"/>
  <c r="AA11" i="2"/>
  <c r="AA12" i="2"/>
  <c r="AA13" i="2"/>
  <c r="AA7" i="2"/>
  <c r="AA15" i="2" l="1"/>
  <c r="AA14" i="2"/>
  <c r="H12" i="1" l="1"/>
  <c r="I12" i="1" s="1"/>
  <c r="H8" i="1"/>
  <c r="I8" i="1" s="1"/>
  <c r="H31" i="1"/>
  <c r="I31" i="1" s="1"/>
  <c r="H32" i="1"/>
  <c r="I32" i="1" s="1"/>
  <c r="H24" i="1"/>
  <c r="I24" i="1" s="1"/>
  <c r="H21" i="1" l="1"/>
  <c r="I21" i="1" s="1"/>
  <c r="H23" i="1"/>
  <c r="I23" i="1" s="1"/>
  <c r="H42" i="1"/>
  <c r="H29" i="1"/>
  <c r="I29" i="1" s="1"/>
  <c r="H35" i="1"/>
  <c r="I35" i="1" s="1"/>
  <c r="I42" i="1" l="1"/>
  <c r="H11" i="1"/>
  <c r="H46" i="1"/>
  <c r="H7" i="1"/>
  <c r="I7" i="1" s="1"/>
  <c r="H38" i="1"/>
  <c r="H9" i="1"/>
  <c r="I9" i="1" s="1"/>
  <c r="I46" i="1" l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H34" i="1" l="1"/>
  <c r="P9" i="1" s="1"/>
  <c r="H45" i="1"/>
  <c r="I49" i="1"/>
  <c r="H22" i="1"/>
  <c r="I27" i="1"/>
  <c r="I20" i="1"/>
  <c r="H18" i="1"/>
  <c r="H50" i="1"/>
  <c r="I26" i="1"/>
  <c r="I14" i="1"/>
  <c r="H55" i="1" l="1"/>
  <c r="I22" i="1"/>
  <c r="H54" i="1"/>
  <c r="I50" i="1"/>
  <c r="H52" i="1"/>
  <c r="I18" i="1"/>
  <c r="H61" i="1"/>
  <c r="H53" i="1"/>
  <c r="I45" i="1"/>
  <c r="I34" i="1"/>
  <c r="H58" i="1" l="1"/>
  <c r="P11" i="1" s="1"/>
  <c r="H69" i="1"/>
  <c r="P10" i="1" s="1"/>
  <c r="I54" i="1"/>
  <c r="H64" i="1"/>
  <c r="I53" i="1"/>
  <c r="I61" i="1"/>
  <c r="H56" i="1"/>
  <c r="H60" i="1"/>
  <c r="H59" i="1"/>
  <c r="H67" i="1"/>
  <c r="I52" i="1"/>
  <c r="I55" i="1"/>
  <c r="I67" i="1" l="1"/>
  <c r="I59" i="1"/>
  <c r="H66" i="1"/>
  <c r="H65" i="1"/>
  <c r="I60" i="1"/>
  <c r="I64" i="1"/>
  <c r="H63" i="1"/>
  <c r="H68" i="1"/>
  <c r="I69" i="1"/>
  <c r="H62" i="1"/>
  <c r="P7" i="1" s="1"/>
  <c r="H57" i="1"/>
  <c r="P8" i="1" s="1"/>
  <c r="I56" i="1"/>
  <c r="I58" i="1"/>
  <c r="I57" i="1" l="1"/>
  <c r="F2" i="1"/>
  <c r="J65" i="1" s="1"/>
  <c r="I65" i="1"/>
  <c r="I62" i="1"/>
  <c r="I66" i="1"/>
  <c r="I68" i="1"/>
  <c r="I63" i="1"/>
  <c r="J60" i="2" l="1"/>
  <c r="S60" i="5"/>
  <c r="S60" i="3"/>
  <c r="S60" i="4"/>
  <c r="J68" i="1"/>
  <c r="J66" i="1"/>
  <c r="J69" i="1"/>
  <c r="J52" i="1"/>
  <c r="J67" i="1"/>
  <c r="J57" i="1"/>
  <c r="J63" i="1"/>
  <c r="J62" i="1"/>
  <c r="J8" i="1"/>
  <c r="J12" i="1"/>
  <c r="J39" i="1"/>
  <c r="J16" i="1"/>
  <c r="J28" i="1"/>
  <c r="J13" i="1"/>
  <c r="J44" i="1"/>
  <c r="J49" i="1"/>
  <c r="J14" i="1"/>
  <c r="J20" i="1"/>
  <c r="J45" i="1"/>
  <c r="J22" i="1"/>
  <c r="J59" i="1"/>
  <c r="J56" i="1"/>
  <c r="J64" i="1"/>
  <c r="J29" i="1"/>
  <c r="J35" i="1"/>
  <c r="J32" i="1"/>
  <c r="J21" i="1"/>
  <c r="J42" i="1"/>
  <c r="J23" i="1"/>
  <c r="J31" i="1"/>
  <c r="J9" i="1"/>
  <c r="J24" i="1"/>
  <c r="J7" i="1"/>
  <c r="J11" i="1"/>
  <c r="J38" i="1"/>
  <c r="J46" i="1"/>
  <c r="J51" i="1"/>
  <c r="J37" i="1"/>
  <c r="J15" i="1"/>
  <c r="J19" i="1"/>
  <c r="J10" i="1"/>
  <c r="J47" i="1"/>
  <c r="J40" i="1"/>
  <c r="J48" i="1"/>
  <c r="J36" i="1"/>
  <c r="J33" i="1"/>
  <c r="J25" i="1"/>
  <c r="J41" i="1"/>
  <c r="J17" i="1"/>
  <c r="J30" i="1"/>
  <c r="J43" i="1"/>
  <c r="J27" i="1"/>
  <c r="J26" i="1"/>
  <c r="J50" i="1"/>
  <c r="J18" i="1"/>
  <c r="J34" i="1"/>
  <c r="J61" i="1"/>
  <c r="J54" i="1"/>
  <c r="J55" i="1"/>
  <c r="J53" i="1"/>
  <c r="J60" i="1"/>
  <c r="J58" i="1"/>
  <c r="J43" i="2" l="1"/>
  <c r="S43" i="3"/>
  <c r="S43" i="5"/>
  <c r="S43" i="4"/>
  <c r="J17" i="2"/>
  <c r="S17" i="3"/>
  <c r="S17" i="4"/>
  <c r="S17" i="5"/>
  <c r="J11" i="2"/>
  <c r="S11" i="3"/>
  <c r="S11" i="5"/>
  <c r="S11" i="4"/>
  <c r="J47" i="2"/>
  <c r="S47" i="3"/>
  <c r="S47" i="5"/>
  <c r="S47" i="4"/>
  <c r="J35" i="2"/>
  <c r="S35" i="3"/>
  <c r="S35" i="5"/>
  <c r="S35" i="4"/>
  <c r="J33" i="2"/>
  <c r="S33" i="3"/>
  <c r="S33" i="4"/>
  <c r="S33" i="5"/>
  <c r="J16" i="2"/>
  <c r="S16" i="3"/>
  <c r="S16" i="5"/>
  <c r="S16" i="4"/>
  <c r="J40" i="2"/>
  <c r="S40" i="3"/>
  <c r="S40" i="5"/>
  <c r="S40" i="4"/>
  <c r="J34" i="2"/>
  <c r="S34" i="5"/>
  <c r="S34" i="4"/>
  <c r="S34" i="3"/>
  <c r="S64" i="3"/>
  <c r="S64" i="5"/>
  <c r="S64" i="4"/>
  <c r="J41" i="2"/>
  <c r="S41" i="3"/>
  <c r="S41" i="5"/>
  <c r="S41" i="4"/>
  <c r="J25" i="2"/>
  <c r="S25" i="3"/>
  <c r="S25" i="4"/>
  <c r="S25" i="5"/>
  <c r="J42" i="2"/>
  <c r="S42" i="5"/>
  <c r="S42" i="4"/>
  <c r="S42" i="3"/>
  <c r="J6" i="2"/>
  <c r="S6" i="5"/>
  <c r="S6" i="3"/>
  <c r="S6" i="4"/>
  <c r="J27" i="2"/>
  <c r="S27" i="3"/>
  <c r="S27" i="5"/>
  <c r="S27" i="4"/>
  <c r="J15" i="2"/>
  <c r="S15" i="3"/>
  <c r="S15" i="5"/>
  <c r="S15" i="4"/>
  <c r="J7" i="2"/>
  <c r="S7" i="3"/>
  <c r="S7" i="5"/>
  <c r="S7" i="4"/>
  <c r="J61" i="2"/>
  <c r="S61" i="5"/>
  <c r="S61" i="3"/>
  <c r="S61" i="4"/>
  <c r="J50" i="2"/>
  <c r="S50" i="5"/>
  <c r="S50" i="3"/>
  <c r="S50" i="4"/>
  <c r="J56" i="2"/>
  <c r="S56" i="3"/>
  <c r="S56" i="5"/>
  <c r="S56" i="4"/>
  <c r="J12" i="2"/>
  <c r="S12" i="3"/>
  <c r="S12" i="5"/>
  <c r="S12" i="4"/>
  <c r="J5" i="2"/>
  <c r="S5" i="3"/>
  <c r="S5" i="5"/>
  <c r="S5" i="4"/>
  <c r="J2" i="2"/>
  <c r="S2" i="3"/>
  <c r="S2" i="4"/>
  <c r="S2" i="5"/>
  <c r="J30" i="2"/>
  <c r="S30" i="5"/>
  <c r="S30" i="3"/>
  <c r="S30" i="4"/>
  <c r="J9" i="2"/>
  <c r="S9" i="3"/>
  <c r="S9" i="5"/>
  <c r="S9" i="4"/>
  <c r="J3" i="2"/>
  <c r="S3" i="3"/>
  <c r="S3" i="5"/>
  <c r="S3" i="4"/>
  <c r="J63" i="2"/>
  <c r="S63" i="3"/>
  <c r="S63" i="5"/>
  <c r="S63" i="4"/>
  <c r="J22" i="2"/>
  <c r="S22" i="5"/>
  <c r="S22" i="3"/>
  <c r="S22" i="4"/>
  <c r="J44" i="2"/>
  <c r="S44" i="3"/>
  <c r="S44" i="5"/>
  <c r="S44" i="4"/>
  <c r="J57" i="2"/>
  <c r="S57" i="3"/>
  <c r="S57" i="4"/>
  <c r="S57" i="5"/>
  <c r="J48" i="2"/>
  <c r="S48" i="3"/>
  <c r="S48" i="5"/>
  <c r="S48" i="4"/>
  <c r="J49" i="2"/>
  <c r="S49" i="3"/>
  <c r="S49" i="4"/>
  <c r="S49" i="5"/>
  <c r="J19" i="2"/>
  <c r="S19" i="3"/>
  <c r="S19" i="5"/>
  <c r="S19" i="4"/>
  <c r="J13" i="2"/>
  <c r="S13" i="3"/>
  <c r="S13" i="5"/>
  <c r="S13" i="4"/>
  <c r="J20" i="2"/>
  <c r="S20" i="3"/>
  <c r="S20" i="5"/>
  <c r="S20" i="4"/>
  <c r="J10" i="2"/>
  <c r="S10" i="5"/>
  <c r="S10" i="4"/>
  <c r="S10" i="3"/>
  <c r="J4" i="2"/>
  <c r="S4" i="3"/>
  <c r="S4" i="5"/>
  <c r="S4" i="4"/>
  <c r="J59" i="2"/>
  <c r="S59" i="5"/>
  <c r="S59" i="3"/>
  <c r="S59" i="4"/>
  <c r="J39" i="2"/>
  <c r="S39" i="3"/>
  <c r="S39" i="5"/>
  <c r="S39" i="4"/>
  <c r="J58" i="2"/>
  <c r="S58" i="5"/>
  <c r="S58" i="3"/>
  <c r="S58" i="4"/>
  <c r="J38" i="2"/>
  <c r="S38" i="5"/>
  <c r="S38" i="3"/>
  <c r="S38" i="4"/>
  <c r="J36" i="2"/>
  <c r="S36" i="3"/>
  <c r="S36" i="5"/>
  <c r="S36" i="4"/>
  <c r="J24" i="2"/>
  <c r="S24" i="3"/>
  <c r="S24" i="5"/>
  <c r="S24" i="4"/>
  <c r="J28" i="2"/>
  <c r="S28" i="3"/>
  <c r="S28" i="5"/>
  <c r="S28" i="4"/>
  <c r="J32" i="2"/>
  <c r="S32" i="3"/>
  <c r="S32" i="5"/>
  <c r="S32" i="4"/>
  <c r="J26" i="2"/>
  <c r="S26" i="5"/>
  <c r="S26" i="3"/>
  <c r="S26" i="4"/>
  <c r="J51" i="2"/>
  <c r="S51" i="5"/>
  <c r="S51" i="3"/>
  <c r="S51" i="4"/>
  <c r="J8" i="2"/>
  <c r="S8" i="3"/>
  <c r="S8" i="5"/>
  <c r="S8" i="4"/>
  <c r="J52" i="2"/>
  <c r="S52" i="5"/>
  <c r="S52" i="3"/>
  <c r="S52" i="4"/>
  <c r="J37" i="2"/>
  <c r="S37" i="3"/>
  <c r="S37" i="5"/>
  <c r="S37" i="4"/>
  <c r="J29" i="2"/>
  <c r="S29" i="3"/>
  <c r="S29" i="5"/>
  <c r="S29" i="4"/>
  <c r="J14" i="2"/>
  <c r="S14" i="5"/>
  <c r="S14" i="3"/>
  <c r="S14" i="4"/>
  <c r="J53" i="2"/>
  <c r="S53" i="3"/>
  <c r="S53" i="4"/>
  <c r="S53" i="5"/>
  <c r="J45" i="2"/>
  <c r="S45" i="3"/>
  <c r="S45" i="5"/>
  <c r="S45" i="4"/>
  <c r="J55" i="2"/>
  <c r="S55" i="3"/>
  <c r="S55" i="5"/>
  <c r="S55" i="4"/>
  <c r="J21" i="2"/>
  <c r="S21" i="3"/>
  <c r="S21" i="5"/>
  <c r="S21" i="4"/>
  <c r="J31" i="2"/>
  <c r="S31" i="3"/>
  <c r="S31" i="5"/>
  <c r="S31" i="4"/>
  <c r="J46" i="2"/>
  <c r="S46" i="5"/>
  <c r="S46" i="3"/>
  <c r="S46" i="4"/>
  <c r="J18" i="2"/>
  <c r="S18" i="5"/>
  <c r="S18" i="3"/>
  <c r="S18" i="4"/>
  <c r="J54" i="2"/>
  <c r="S54" i="5"/>
  <c r="S54" i="3"/>
  <c r="S54" i="4"/>
  <c r="J23" i="2"/>
  <c r="S23" i="3"/>
  <c r="S23" i="5"/>
  <c r="S23" i="4"/>
  <c r="J62" i="2"/>
  <c r="S62" i="5"/>
  <c r="S62" i="3"/>
  <c r="S62" i="4"/>
  <c r="J64" i="2"/>
  <c r="P64" i="2" s="1"/>
  <c r="Q64" i="2"/>
  <c r="O61" i="2"/>
  <c r="N61" i="2"/>
  <c r="T25" i="2"/>
  <c r="O42" i="2"/>
  <c r="R6" i="2"/>
  <c r="T15" i="2"/>
  <c r="Q7" i="2"/>
  <c r="P57" i="2"/>
  <c r="O2" i="2"/>
  <c r="N13" i="2"/>
  <c r="R10" i="2"/>
  <c r="M4" i="2"/>
  <c r="P59" i="2"/>
  <c r="O39" i="2"/>
  <c r="P63" i="2"/>
  <c r="T18" i="2"/>
  <c r="S64" i="2"/>
  <c r="Q61" i="2"/>
  <c r="S56" i="2"/>
  <c r="O36" i="2"/>
  <c r="S14" i="2"/>
  <c r="O19" i="2"/>
  <c r="N24" i="2"/>
  <c r="N44" i="2"/>
  <c r="S61" i="2"/>
  <c r="N27" i="2"/>
  <c r="Q30" i="2"/>
  <c r="T63" i="2"/>
  <c r="P61" i="2"/>
  <c r="M28" i="2"/>
  <c r="Q32" i="2"/>
  <c r="R26" i="2"/>
  <c r="M51" i="2"/>
  <c r="M8" i="2"/>
  <c r="Q52" i="2"/>
  <c r="M63" i="2"/>
  <c r="R61" i="2"/>
  <c r="S23" i="2"/>
  <c r="R62" i="2"/>
  <c r="M61" i="2"/>
  <c r="S55" i="2"/>
  <c r="T48" i="2"/>
  <c r="N41" i="2"/>
  <c r="M37" i="2"/>
  <c r="M11" i="2"/>
  <c r="T61" i="2"/>
  <c r="S22" i="2"/>
  <c r="M33" i="2"/>
  <c r="M16" i="2"/>
  <c r="R40" i="2"/>
  <c r="O34" i="2"/>
  <c r="M47" i="2"/>
  <c r="T47" i="2"/>
  <c r="P47" i="2"/>
  <c r="S47" i="2"/>
  <c r="O47" i="2"/>
  <c r="Q47" i="2"/>
  <c r="R47" i="2"/>
  <c r="N47" i="2"/>
  <c r="M43" i="2"/>
  <c r="O43" i="2"/>
  <c r="N43" i="2"/>
  <c r="S43" i="2"/>
  <c r="P43" i="2"/>
  <c r="Q43" i="2"/>
  <c r="T43" i="2"/>
  <c r="R43" i="2"/>
  <c r="N50" i="2"/>
  <c r="O50" i="2"/>
  <c r="R50" i="2"/>
  <c r="T50" i="2"/>
  <c r="P50" i="2"/>
  <c r="M50" i="2"/>
  <c r="S50" i="2"/>
  <c r="Q50" i="2"/>
  <c r="O11" i="1"/>
  <c r="P49" i="2"/>
  <c r="Q49" i="2"/>
  <c r="S49" i="2"/>
  <c r="O49" i="2"/>
  <c r="M49" i="2"/>
  <c r="N49" i="2"/>
  <c r="T49" i="2"/>
  <c r="R49" i="2"/>
  <c r="O25" i="2"/>
  <c r="M25" i="2"/>
  <c r="Q25" i="2"/>
  <c r="N25" i="2"/>
  <c r="Q27" i="2"/>
  <c r="M27" i="2"/>
  <c r="R7" i="2"/>
  <c r="T7" i="2"/>
  <c r="O7" i="2"/>
  <c r="R11" i="2"/>
  <c r="N56" i="2"/>
  <c r="O56" i="2"/>
  <c r="M56" i="2"/>
  <c r="Q56" i="2"/>
  <c r="T56" i="2"/>
  <c r="S30" i="2"/>
  <c r="T30" i="2"/>
  <c r="O30" i="2"/>
  <c r="S29" i="2"/>
  <c r="Q29" i="2"/>
  <c r="M29" i="2"/>
  <c r="R29" i="2"/>
  <c r="N29" i="2"/>
  <c r="O29" i="2"/>
  <c r="T29" i="2"/>
  <c r="P29" i="2"/>
  <c r="Q57" i="2"/>
  <c r="M57" i="2"/>
  <c r="O57" i="2"/>
  <c r="T57" i="2"/>
  <c r="S37" i="2"/>
  <c r="S16" i="2"/>
  <c r="T16" i="2"/>
  <c r="N16" i="2"/>
  <c r="P16" i="2"/>
  <c r="O12" i="2"/>
  <c r="P12" i="2"/>
  <c r="N12" i="2"/>
  <c r="Q12" i="2"/>
  <c r="R12" i="2"/>
  <c r="S12" i="2"/>
  <c r="M12" i="2"/>
  <c r="T12" i="2"/>
  <c r="M9" i="2"/>
  <c r="N9" i="2"/>
  <c r="O9" i="2"/>
  <c r="P9" i="2"/>
  <c r="Q9" i="2"/>
  <c r="R9" i="2"/>
  <c r="S9" i="2"/>
  <c r="T9" i="2"/>
  <c r="O10" i="1"/>
  <c r="T4" i="2"/>
  <c r="Q59" i="2"/>
  <c r="O59" i="2"/>
  <c r="M59" i="2"/>
  <c r="S59" i="2"/>
  <c r="N59" i="2"/>
  <c r="P39" i="2"/>
  <c r="R39" i="2"/>
  <c r="Q39" i="2"/>
  <c r="T39" i="2"/>
  <c r="N39" i="2"/>
  <c r="N58" i="2"/>
  <c r="O58" i="2"/>
  <c r="T58" i="2"/>
  <c r="S58" i="2"/>
  <c r="R58" i="2"/>
  <c r="M58" i="2"/>
  <c r="Q58" i="2"/>
  <c r="P58" i="2"/>
  <c r="S38" i="2"/>
  <c r="M38" i="2"/>
  <c r="N38" i="2"/>
  <c r="O38" i="2"/>
  <c r="T38" i="2"/>
  <c r="P38" i="2"/>
  <c r="Q38" i="2"/>
  <c r="R38" i="2"/>
  <c r="S2" i="2"/>
  <c r="T2" i="2"/>
  <c r="N2" i="2"/>
  <c r="P2" i="2"/>
  <c r="M53" i="2"/>
  <c r="S53" i="2"/>
  <c r="Q53" i="2"/>
  <c r="R53" i="2"/>
  <c r="N53" i="2"/>
  <c r="O53" i="2"/>
  <c r="P53" i="2"/>
  <c r="T53" i="2"/>
  <c r="R28" i="2"/>
  <c r="P28" i="2"/>
  <c r="Q28" i="2"/>
  <c r="S32" i="2"/>
  <c r="O51" i="2"/>
  <c r="T51" i="2"/>
  <c r="S8" i="2"/>
  <c r="T8" i="2"/>
  <c r="Q8" i="2"/>
  <c r="N8" i="2"/>
  <c r="R8" i="2"/>
  <c r="S52" i="2"/>
  <c r="P52" i="2"/>
  <c r="N52" i="2"/>
  <c r="M52" i="2"/>
  <c r="O48" i="2"/>
  <c r="S48" i="2"/>
  <c r="M17" i="2"/>
  <c r="N17" i="2"/>
  <c r="O17" i="2"/>
  <c r="P17" i="2"/>
  <c r="Q17" i="2"/>
  <c r="R17" i="2"/>
  <c r="S17" i="2"/>
  <c r="T17" i="2"/>
  <c r="O40" i="2"/>
  <c r="Q40" i="2"/>
  <c r="S40" i="2"/>
  <c r="T40" i="2"/>
  <c r="M40" i="2"/>
  <c r="N40" i="2"/>
  <c r="Q5" i="2"/>
  <c r="R5" i="2"/>
  <c r="T5" i="2"/>
  <c r="M5" i="2"/>
  <c r="N5" i="2"/>
  <c r="S5" i="2"/>
  <c r="O5" i="2"/>
  <c r="P5" i="2"/>
  <c r="O7" i="1"/>
  <c r="P13" i="2"/>
  <c r="R13" i="2"/>
  <c r="T45" i="2"/>
  <c r="N45" i="2"/>
  <c r="O45" i="2"/>
  <c r="P45" i="2"/>
  <c r="Q45" i="2"/>
  <c r="R45" i="2"/>
  <c r="S45" i="2"/>
  <c r="M45" i="2"/>
  <c r="M55" i="2"/>
  <c r="T55" i="2"/>
  <c r="Q55" i="2"/>
  <c r="O55" i="2"/>
  <c r="R55" i="2"/>
  <c r="P55" i="2"/>
  <c r="T21" i="2"/>
  <c r="N21" i="2"/>
  <c r="M21" i="2"/>
  <c r="O21" i="2"/>
  <c r="S21" i="2"/>
  <c r="P21" i="2"/>
  <c r="Q21" i="2"/>
  <c r="R21" i="2"/>
  <c r="T31" i="2"/>
  <c r="M31" i="2"/>
  <c r="N31" i="2"/>
  <c r="O31" i="2"/>
  <c r="Q31" i="2"/>
  <c r="S31" i="2"/>
  <c r="P31" i="2"/>
  <c r="R31" i="2"/>
  <c r="Q46" i="2"/>
  <c r="S46" i="2"/>
  <c r="T46" i="2"/>
  <c r="M46" i="2"/>
  <c r="N46" i="2"/>
  <c r="P46" i="2"/>
  <c r="R46" i="2"/>
  <c r="O46" i="2"/>
  <c r="N18" i="2"/>
  <c r="P18" i="2"/>
  <c r="Q18" i="2"/>
  <c r="S18" i="2"/>
  <c r="N54" i="2"/>
  <c r="M54" i="2"/>
  <c r="S54" i="2"/>
  <c r="Q54" i="2"/>
  <c r="R54" i="2"/>
  <c r="T54" i="2"/>
  <c r="O54" i="2"/>
  <c r="P54" i="2"/>
  <c r="R23" i="2"/>
  <c r="T23" i="2"/>
  <c r="M23" i="2"/>
  <c r="P23" i="2"/>
  <c r="M62" i="2"/>
  <c r="O9" i="1"/>
  <c r="B1" i="5"/>
  <c r="B1" i="4"/>
  <c r="O8" i="1"/>
  <c r="B1" i="3"/>
  <c r="G2" i="1"/>
  <c r="R64" i="2" l="1"/>
  <c r="T64" i="2"/>
  <c r="O64" i="2"/>
  <c r="M64" i="2"/>
  <c r="N64" i="2"/>
  <c r="N62" i="2"/>
  <c r="N55" i="2"/>
  <c r="P8" i="2"/>
  <c r="M39" i="2"/>
  <c r="R59" i="2"/>
  <c r="T10" i="2"/>
  <c r="R16" i="2"/>
  <c r="T27" i="2"/>
  <c r="Q16" i="2"/>
  <c r="N7" i="2"/>
  <c r="P27" i="2"/>
  <c r="P48" i="2"/>
  <c r="O8" i="2"/>
  <c r="R51" i="2"/>
  <c r="S39" i="2"/>
  <c r="T59" i="2"/>
  <c r="O16" i="2"/>
  <c r="M7" i="2"/>
  <c r="P6" i="2"/>
  <c r="P62" i="2"/>
  <c r="R48" i="2"/>
  <c r="P51" i="2"/>
  <c r="S27" i="2"/>
  <c r="O62" i="2"/>
  <c r="S10" i="2"/>
  <c r="N6" i="2"/>
  <c r="T62" i="2"/>
  <c r="M10" i="2"/>
  <c r="O6" i="2"/>
  <c r="Q23" i="2"/>
  <c r="M18" i="2"/>
  <c r="Q13" i="2"/>
  <c r="N28" i="2"/>
  <c r="Q62" i="2"/>
  <c r="O23" i="2"/>
  <c r="R18" i="2"/>
  <c r="M13" i="2"/>
  <c r="M32" i="2"/>
  <c r="P10" i="2"/>
  <c r="R24" i="2"/>
  <c r="M6" i="2"/>
  <c r="S62" i="2"/>
  <c r="N23" i="2"/>
  <c r="O18" i="2"/>
  <c r="S13" i="2"/>
  <c r="T32" i="2"/>
  <c r="R19" i="2"/>
  <c r="P42" i="2"/>
  <c r="T13" i="2"/>
  <c r="R32" i="2"/>
  <c r="P26" i="2"/>
  <c r="T37" i="2"/>
  <c r="Q19" i="2"/>
  <c r="O15" i="2"/>
  <c r="R15" i="2"/>
  <c r="M22" i="2"/>
  <c r="N42" i="2"/>
  <c r="R44" i="2"/>
  <c r="R4" i="2"/>
  <c r="N4" i="2"/>
  <c r="Q37" i="2"/>
  <c r="Q4" i="2"/>
  <c r="P7" i="2"/>
  <c r="Q15" i="2"/>
  <c r="P4" i="2"/>
  <c r="P15" i="2"/>
  <c r="Q26" i="2"/>
  <c r="S4" i="2"/>
  <c r="S19" i="2"/>
  <c r="S7" i="2"/>
  <c r="N15" i="2"/>
  <c r="M42" i="2"/>
  <c r="O4" i="2"/>
  <c r="N19" i="2"/>
  <c r="S15" i="2"/>
  <c r="S42" i="2"/>
  <c r="T44" i="2"/>
  <c r="M15" i="2"/>
  <c r="S44" i="2"/>
  <c r="N22" i="2"/>
  <c r="O13" i="2"/>
  <c r="P40" i="2"/>
  <c r="P32" i="2"/>
  <c r="R2" i="2"/>
  <c r="S34" i="2"/>
  <c r="O10" i="2"/>
  <c r="P37" i="2"/>
  <c r="S57" i="2"/>
  <c r="P24" i="2"/>
  <c r="S36" i="2"/>
  <c r="T6" i="2"/>
  <c r="T42" i="2"/>
  <c r="S25" i="2"/>
  <c r="O32" i="2"/>
  <c r="M2" i="2"/>
  <c r="Q34" i="2"/>
  <c r="Q10" i="2"/>
  <c r="O37" i="2"/>
  <c r="R57" i="2"/>
  <c r="Q24" i="2"/>
  <c r="P36" i="2"/>
  <c r="S6" i="2"/>
  <c r="G5" i="5" s="1"/>
  <c r="G9" i="5" s="1"/>
  <c r="R60" i="5" s="1"/>
  <c r="R42" i="2"/>
  <c r="R25" i="2"/>
  <c r="N32" i="2"/>
  <c r="Q2" i="2"/>
  <c r="E5" i="5" s="1"/>
  <c r="N10" i="2"/>
  <c r="N37" i="2"/>
  <c r="N57" i="2"/>
  <c r="M19" i="2"/>
  <c r="N36" i="2"/>
  <c r="Q6" i="2"/>
  <c r="Q42" i="2"/>
  <c r="P25" i="2"/>
  <c r="Q63" i="2"/>
  <c r="M34" i="2"/>
  <c r="R37" i="2"/>
  <c r="O24" i="2"/>
  <c r="P19" i="2"/>
  <c r="N63" i="2"/>
  <c r="S63" i="2"/>
  <c r="O63" i="2"/>
  <c r="R63" i="2"/>
  <c r="Q22" i="2"/>
  <c r="N34" i="2"/>
  <c r="P44" i="2"/>
  <c r="T19" i="2"/>
  <c r="N14" i="2"/>
  <c r="P11" i="2"/>
  <c r="T34" i="2"/>
  <c r="M44" i="2"/>
  <c r="M14" i="2"/>
  <c r="O11" i="2"/>
  <c r="S41" i="2"/>
  <c r="S33" i="2"/>
  <c r="N11" i="2"/>
  <c r="Q51" i="2"/>
  <c r="S28" i="2"/>
  <c r="M24" i="2"/>
  <c r="Q11" i="2"/>
  <c r="N51" i="2"/>
  <c r="O28" i="2"/>
  <c r="T41" i="2"/>
  <c r="T24" i="2"/>
  <c r="T11" i="2"/>
  <c r="S51" i="2"/>
  <c r="T26" i="2"/>
  <c r="T28" i="2"/>
  <c r="Q41" i="2"/>
  <c r="S24" i="2"/>
  <c r="O33" i="2"/>
  <c r="S11" i="2"/>
  <c r="M41" i="2"/>
  <c r="P14" i="2"/>
  <c r="N33" i="2"/>
  <c r="O26" i="2"/>
  <c r="N48" i="2"/>
  <c r="T52" i="2"/>
  <c r="M26" i="2"/>
  <c r="P34" i="2"/>
  <c r="R41" i="2"/>
  <c r="Q44" i="2"/>
  <c r="Q14" i="2"/>
  <c r="T36" i="2"/>
  <c r="R30" i="2"/>
  <c r="R56" i="2"/>
  <c r="T33" i="2"/>
  <c r="T22" i="2"/>
  <c r="O27" i="2"/>
  <c r="M60" i="2"/>
  <c r="Q60" i="2"/>
  <c r="R60" i="2"/>
  <c r="P60" i="2"/>
  <c r="T60" i="2"/>
  <c r="S60" i="2"/>
  <c r="N60" i="2"/>
  <c r="O60" i="2"/>
  <c r="Q48" i="2"/>
  <c r="O52" i="2"/>
  <c r="N26" i="2"/>
  <c r="P41" i="2"/>
  <c r="R14" i="2"/>
  <c r="R36" i="2"/>
  <c r="P30" i="2"/>
  <c r="R33" i="2"/>
  <c r="P22" i="2"/>
  <c r="M48" i="2"/>
  <c r="R52" i="2"/>
  <c r="S26" i="2"/>
  <c r="R34" i="2"/>
  <c r="O41" i="2"/>
  <c r="O44" i="2"/>
  <c r="O14" i="2"/>
  <c r="M36" i="2"/>
  <c r="N30" i="2"/>
  <c r="P56" i="2"/>
  <c r="Q33" i="2"/>
  <c r="O22" i="2"/>
  <c r="R27" i="2"/>
  <c r="T14" i="2"/>
  <c r="Q36" i="2"/>
  <c r="M30" i="2"/>
  <c r="P33" i="2"/>
  <c r="R22" i="2"/>
  <c r="T3" i="2"/>
  <c r="N3" i="2"/>
  <c r="M3" i="2"/>
  <c r="O3" i="2"/>
  <c r="P3" i="2"/>
  <c r="Q3" i="2"/>
  <c r="R3" i="2"/>
  <c r="F5" i="4" s="1"/>
  <c r="F9" i="4" s="1"/>
  <c r="Q60" i="4" s="1"/>
  <c r="S3" i="2"/>
  <c r="S20" i="2"/>
  <c r="M20" i="2"/>
  <c r="T20" i="2"/>
  <c r="N20" i="2"/>
  <c r="O20" i="2"/>
  <c r="R20" i="2"/>
  <c r="P20" i="2"/>
  <c r="Q20" i="2"/>
  <c r="M35" i="2"/>
  <c r="S35" i="2"/>
  <c r="G5" i="3" s="1"/>
  <c r="G9" i="3" s="1"/>
  <c r="R60" i="3" s="1"/>
  <c r="O35" i="2"/>
  <c r="N35" i="2"/>
  <c r="P35" i="2"/>
  <c r="T35" i="2"/>
  <c r="Q35" i="2"/>
  <c r="E5" i="3" s="1"/>
  <c r="R35" i="2"/>
  <c r="O17" i="1"/>
  <c r="O14" i="1"/>
  <c r="Q41" i="4" l="1"/>
  <c r="Q27" i="4"/>
  <c r="Q7" i="4"/>
  <c r="Q26" i="4"/>
  <c r="R58" i="3"/>
  <c r="Q38" i="4"/>
  <c r="R52" i="3"/>
  <c r="Q32" i="4"/>
  <c r="Q47" i="4"/>
  <c r="Q59" i="4"/>
  <c r="R59" i="5"/>
  <c r="Q54" i="4"/>
  <c r="R54" i="5"/>
  <c r="R58" i="5"/>
  <c r="Q64" i="4"/>
  <c r="Q25" i="4"/>
  <c r="Q24" i="4"/>
  <c r="R53" i="3"/>
  <c r="R62" i="5"/>
  <c r="R63" i="5"/>
  <c r="Q45" i="4"/>
  <c r="R48" i="3"/>
  <c r="A5" i="5"/>
  <c r="A9" i="5" s="1"/>
  <c r="Q35" i="4"/>
  <c r="Q16" i="4"/>
  <c r="Q14" i="4"/>
  <c r="Q42" i="4"/>
  <c r="Q58" i="4"/>
  <c r="R51" i="3"/>
  <c r="R51" i="5"/>
  <c r="R64" i="5"/>
  <c r="Q56" i="4"/>
  <c r="Q57" i="4"/>
  <c r="Q40" i="4"/>
  <c r="Q18" i="4"/>
  <c r="Q63" i="4"/>
  <c r="Q28" i="4"/>
  <c r="Q37" i="4"/>
  <c r="Q19" i="4"/>
  <c r="Q20" i="4"/>
  <c r="Q4" i="4"/>
  <c r="Q39" i="4"/>
  <c r="R50" i="3"/>
  <c r="Q17" i="4"/>
  <c r="R64" i="3"/>
  <c r="Q49" i="4"/>
  <c r="R55" i="3"/>
  <c r="Q23" i="4"/>
  <c r="Q61" i="4"/>
  <c r="R62" i="3"/>
  <c r="Q43" i="4"/>
  <c r="Q6" i="4"/>
  <c r="R49" i="3"/>
  <c r="Q29" i="4"/>
  <c r="Q55" i="4"/>
  <c r="Q31" i="4"/>
  <c r="R47" i="3"/>
  <c r="R61" i="3"/>
  <c r="Q10" i="4"/>
  <c r="Q11" i="4"/>
  <c r="Q15" i="4"/>
  <c r="Q5" i="4"/>
  <c r="Q3" i="4"/>
  <c r="R57" i="3"/>
  <c r="R57" i="5"/>
  <c r="R53" i="5"/>
  <c r="Q30" i="4"/>
  <c r="Q62" i="4"/>
  <c r="Q9" i="4"/>
  <c r="Q12" i="4"/>
  <c r="Q50" i="4"/>
  <c r="Q46" i="4"/>
  <c r="R54" i="3"/>
  <c r="Q34" i="4"/>
  <c r="R56" i="3"/>
  <c r="Q13" i="4"/>
  <c r="Q53" i="4"/>
  <c r="R55" i="5"/>
  <c r="R61" i="5"/>
  <c r="R59" i="3"/>
  <c r="R63" i="3"/>
  <c r="Q44" i="4"/>
  <c r="Q21" i="4"/>
  <c r="Q33" i="4"/>
  <c r="Q22" i="4"/>
  <c r="Q52" i="4"/>
  <c r="R52" i="5"/>
  <c r="Q51" i="4"/>
  <c r="R56" i="5"/>
  <c r="Q48" i="4"/>
  <c r="Q36" i="4"/>
  <c r="Q8" i="4"/>
  <c r="F5" i="5"/>
  <c r="F9" i="5" s="1"/>
  <c r="B5" i="5"/>
  <c r="B8" i="6" s="1"/>
  <c r="G5" i="4"/>
  <c r="G9" i="4" s="1"/>
  <c r="B5" i="4"/>
  <c r="C5" i="3"/>
  <c r="D5" i="5"/>
  <c r="B10" i="6" s="1"/>
  <c r="E5" i="4"/>
  <c r="E9" i="4" s="1"/>
  <c r="D5" i="3"/>
  <c r="D9" i="3" s="1"/>
  <c r="C5" i="5"/>
  <c r="C9" i="5" s="1"/>
  <c r="A5" i="3"/>
  <c r="A9" i="3" s="1"/>
  <c r="A5" i="4"/>
  <c r="A9" i="4" s="1"/>
  <c r="B5" i="3"/>
  <c r="S65" i="2"/>
  <c r="T65" i="2"/>
  <c r="Q65" i="2"/>
  <c r="F5" i="3"/>
  <c r="F9" i="3" s="1"/>
  <c r="O65" i="2"/>
  <c r="P65" i="2"/>
  <c r="C5" i="4"/>
  <c r="C9" i="4" s="1"/>
  <c r="N65" i="2"/>
  <c r="R65" i="2"/>
  <c r="D5" i="4"/>
  <c r="C10" i="6" s="1"/>
  <c r="M65" i="2"/>
  <c r="R32" i="3"/>
  <c r="R14" i="3"/>
  <c r="R11" i="3"/>
  <c r="R27" i="3"/>
  <c r="R29" i="3"/>
  <c r="R34" i="3"/>
  <c r="R40" i="3"/>
  <c r="R23" i="3"/>
  <c r="R25" i="3"/>
  <c r="R38" i="3"/>
  <c r="R43" i="3"/>
  <c r="R45" i="3"/>
  <c r="R13" i="3"/>
  <c r="R42" i="3"/>
  <c r="R12" i="3"/>
  <c r="R17" i="3"/>
  <c r="R7" i="3"/>
  <c r="R22" i="3"/>
  <c r="R20" i="3"/>
  <c r="R26" i="3"/>
  <c r="R28" i="3"/>
  <c r="R19" i="3"/>
  <c r="R4" i="3"/>
  <c r="R36" i="3"/>
  <c r="R21" i="3"/>
  <c r="R31" i="3"/>
  <c r="R37" i="3"/>
  <c r="R30" i="3"/>
  <c r="R41" i="3"/>
  <c r="R2" i="3"/>
  <c r="R44" i="3"/>
  <c r="R5" i="3"/>
  <c r="R15" i="3"/>
  <c r="R9" i="3"/>
  <c r="R33" i="3"/>
  <c r="R3" i="3"/>
  <c r="R8" i="3"/>
  <c r="R35" i="3"/>
  <c r="G13" i="3" s="1"/>
  <c r="R39" i="3"/>
  <c r="R24" i="3"/>
  <c r="R46" i="3"/>
  <c r="R18" i="3"/>
  <c r="R10" i="3"/>
  <c r="R6" i="3"/>
  <c r="R16" i="3"/>
  <c r="E9" i="5"/>
  <c r="B11" i="6"/>
  <c r="B9" i="5"/>
  <c r="Q2" i="4"/>
  <c r="D11" i="6"/>
  <c r="E9" i="3"/>
  <c r="B9" i="4"/>
  <c r="C8" i="6"/>
  <c r="Q24" i="5"/>
  <c r="Q26" i="5"/>
  <c r="Q25" i="5"/>
  <c r="Q41" i="5"/>
  <c r="Q36" i="5"/>
  <c r="Q23" i="5"/>
  <c r="Q20" i="5"/>
  <c r="Q15" i="5"/>
  <c r="Q11" i="5"/>
  <c r="Q7" i="5"/>
  <c r="Q8" i="5"/>
  <c r="Q44" i="5"/>
  <c r="Q9" i="5"/>
  <c r="Q22" i="5"/>
  <c r="Q45" i="5"/>
  <c r="Q34" i="5"/>
  <c r="Q5" i="5"/>
  <c r="R2" i="4"/>
  <c r="B9" i="3"/>
  <c r="D8" i="6"/>
  <c r="R38" i="5"/>
  <c r="R15" i="5"/>
  <c r="R28" i="5"/>
  <c r="R25" i="5"/>
  <c r="R9" i="5"/>
  <c r="R22" i="5"/>
  <c r="R31" i="5"/>
  <c r="R44" i="5"/>
  <c r="R41" i="5"/>
  <c r="R26" i="5"/>
  <c r="R18" i="5"/>
  <c r="R24" i="5"/>
  <c r="R5" i="5"/>
  <c r="R20" i="5"/>
  <c r="R19" i="5"/>
  <c r="R2" i="5"/>
  <c r="R42" i="5"/>
  <c r="R7" i="5"/>
  <c r="R37" i="5"/>
  <c r="R12" i="5"/>
  <c r="R4" i="5"/>
  <c r="R3" i="5"/>
  <c r="R6" i="5"/>
  <c r="R43" i="5"/>
  <c r="R33" i="5"/>
  <c r="R39" i="5"/>
  <c r="R40" i="5"/>
  <c r="R29" i="5"/>
  <c r="R34" i="5"/>
  <c r="R27" i="5"/>
  <c r="R32" i="5"/>
  <c r="R17" i="5"/>
  <c r="R8" i="5"/>
  <c r="R23" i="5"/>
  <c r="R13" i="5"/>
  <c r="R14" i="5"/>
  <c r="R46" i="5"/>
  <c r="R16" i="5"/>
  <c r="R35" i="5"/>
  <c r="R36" i="5"/>
  <c r="R30" i="5"/>
  <c r="R11" i="5"/>
  <c r="R10" i="5"/>
  <c r="R45" i="5"/>
  <c r="R21" i="5"/>
  <c r="C9" i="3"/>
  <c r="D9" i="6"/>
  <c r="L46" i="5" l="1"/>
  <c r="L6" i="5"/>
  <c r="L2" i="5"/>
  <c r="L39" i="5"/>
  <c r="L35" i="5"/>
  <c r="L15" i="5"/>
  <c r="N60" i="4"/>
  <c r="N19" i="4"/>
  <c r="N37" i="4"/>
  <c r="N10" i="4"/>
  <c r="N30" i="4"/>
  <c r="N5" i="4"/>
  <c r="N6" i="4"/>
  <c r="N17" i="4"/>
  <c r="N54" i="4"/>
  <c r="N4" i="4"/>
  <c r="N62" i="4"/>
  <c r="N49" i="4"/>
  <c r="N22" i="4"/>
  <c r="N14" i="4"/>
  <c r="N45" i="4"/>
  <c r="N18" i="4"/>
  <c r="N25" i="4"/>
  <c r="N64" i="4"/>
  <c r="N52" i="4"/>
  <c r="N46" i="4"/>
  <c r="N43" i="4"/>
  <c r="N27" i="4"/>
  <c r="N20" i="4"/>
  <c r="N28" i="4"/>
  <c r="N63" i="4"/>
  <c r="N40" i="4"/>
  <c r="N24" i="4"/>
  <c r="N57" i="4"/>
  <c r="N56" i="4"/>
  <c r="N51" i="4"/>
  <c r="N58" i="4"/>
  <c r="N42" i="4"/>
  <c r="N16" i="4"/>
  <c r="N7" i="4"/>
  <c r="N32" i="4"/>
  <c r="N13" i="4"/>
  <c r="N33" i="4"/>
  <c r="N26" i="4"/>
  <c r="N35" i="4"/>
  <c r="N41" i="4"/>
  <c r="N21" i="4"/>
  <c r="N8" i="4"/>
  <c r="N48" i="4"/>
  <c r="N47" i="4"/>
  <c r="N3" i="4"/>
  <c r="N15" i="4"/>
  <c r="N38" i="4"/>
  <c r="N36" i="4"/>
  <c r="N9" i="4"/>
  <c r="N59" i="4"/>
  <c r="N31" i="4"/>
  <c r="N55" i="4"/>
  <c r="N53" i="4"/>
  <c r="N29" i="4"/>
  <c r="N12" i="4"/>
  <c r="N39" i="4"/>
  <c r="N44" i="4"/>
  <c r="N61" i="4"/>
  <c r="N23" i="4"/>
  <c r="N34" i="4"/>
  <c r="N50" i="4"/>
  <c r="N11" i="4"/>
  <c r="L60" i="4"/>
  <c r="L45" i="4"/>
  <c r="L62" i="4"/>
  <c r="L61" i="4"/>
  <c r="L40" i="4"/>
  <c r="L53" i="4"/>
  <c r="L64" i="4"/>
  <c r="L41" i="4"/>
  <c r="L36" i="4"/>
  <c r="L20" i="4"/>
  <c r="L48" i="4"/>
  <c r="L18" i="4"/>
  <c r="L24" i="4"/>
  <c r="L56" i="4"/>
  <c r="L16" i="4"/>
  <c r="L43" i="4"/>
  <c r="L7" i="4"/>
  <c r="L27" i="4"/>
  <c r="L8" i="4"/>
  <c r="L47" i="4"/>
  <c r="L32" i="4"/>
  <c r="L51" i="4"/>
  <c r="L42" i="4"/>
  <c r="L21" i="4"/>
  <c r="L13" i="4"/>
  <c r="L57" i="4"/>
  <c r="L5" i="4"/>
  <c r="L15" i="4"/>
  <c r="L17" i="4"/>
  <c r="L46" i="4"/>
  <c r="L26" i="4"/>
  <c r="L35" i="4"/>
  <c r="L12" i="4"/>
  <c r="L63" i="4"/>
  <c r="L31" i="4"/>
  <c r="L55" i="4"/>
  <c r="L3" i="4"/>
  <c r="L38" i="4"/>
  <c r="L50" i="4"/>
  <c r="L11" i="4"/>
  <c r="L2" i="4"/>
  <c r="L44" i="4"/>
  <c r="L59" i="4"/>
  <c r="L23" i="4"/>
  <c r="L29" i="4"/>
  <c r="L25" i="4"/>
  <c r="L6" i="4"/>
  <c r="L39" i="4"/>
  <c r="L10" i="4"/>
  <c r="L30" i="4"/>
  <c r="L34" i="4"/>
  <c r="L22" i="4"/>
  <c r="L4" i="4"/>
  <c r="L19" i="4"/>
  <c r="L9" i="4"/>
  <c r="L37" i="4"/>
  <c r="L28" i="4"/>
  <c r="L49" i="4"/>
  <c r="L52" i="4"/>
  <c r="L58" i="4"/>
  <c r="L33" i="4"/>
  <c r="L54" i="4"/>
  <c r="L14" i="4"/>
  <c r="R60" i="4"/>
  <c r="R31" i="4"/>
  <c r="R55" i="4"/>
  <c r="R53" i="4"/>
  <c r="R24" i="4"/>
  <c r="R15" i="4"/>
  <c r="R42" i="4"/>
  <c r="R16" i="4"/>
  <c r="R43" i="4"/>
  <c r="R7" i="4"/>
  <c r="R27" i="4"/>
  <c r="R8" i="4"/>
  <c r="R39" i="4"/>
  <c r="R32" i="4"/>
  <c r="R57" i="4"/>
  <c r="R33" i="4"/>
  <c r="R26" i="4"/>
  <c r="R21" i="4"/>
  <c r="R23" i="4"/>
  <c r="R13" i="4"/>
  <c r="R34" i="4"/>
  <c r="R38" i="4"/>
  <c r="R50" i="4"/>
  <c r="R35" i="4"/>
  <c r="R12" i="4"/>
  <c r="R9" i="4"/>
  <c r="R63" i="4"/>
  <c r="R61" i="4"/>
  <c r="R3" i="4"/>
  <c r="R54" i="4"/>
  <c r="R11" i="4"/>
  <c r="R36" i="4"/>
  <c r="R44" i="4"/>
  <c r="R10" i="4"/>
  <c r="R59" i="4"/>
  <c r="R29" i="4"/>
  <c r="R56" i="4"/>
  <c r="R6" i="4"/>
  <c r="R52" i="4"/>
  <c r="R58" i="4"/>
  <c r="R30" i="4"/>
  <c r="R17" i="4"/>
  <c r="R22" i="4"/>
  <c r="R4" i="4"/>
  <c r="R20" i="4"/>
  <c r="R19" i="4"/>
  <c r="R37" i="4"/>
  <c r="R28" i="4"/>
  <c r="R64" i="4"/>
  <c r="R46" i="4"/>
  <c r="R14" i="4"/>
  <c r="R41" i="4"/>
  <c r="R48" i="4"/>
  <c r="R45" i="4"/>
  <c r="R62" i="4"/>
  <c r="R18" i="4"/>
  <c r="R40" i="4"/>
  <c r="R47" i="4"/>
  <c r="R49" i="4"/>
  <c r="R5" i="4"/>
  <c r="R25" i="4"/>
  <c r="R51" i="4"/>
  <c r="L41" i="3"/>
  <c r="L60" i="3"/>
  <c r="L52" i="3"/>
  <c r="L59" i="3"/>
  <c r="L63" i="3"/>
  <c r="L55" i="3"/>
  <c r="L58" i="3"/>
  <c r="L61" i="3"/>
  <c r="L49" i="3"/>
  <c r="L48" i="3"/>
  <c r="L54" i="3"/>
  <c r="L62" i="3"/>
  <c r="L57" i="3"/>
  <c r="L2" i="3"/>
  <c r="L47" i="3"/>
  <c r="L50" i="3"/>
  <c r="L53" i="3"/>
  <c r="L56" i="3"/>
  <c r="L64" i="3"/>
  <c r="L51" i="3"/>
  <c r="M60" i="4"/>
  <c r="M4" i="4"/>
  <c r="M9" i="4"/>
  <c r="M28" i="4"/>
  <c r="M47" i="4"/>
  <c r="M29" i="4"/>
  <c r="M14" i="4"/>
  <c r="M26" i="4"/>
  <c r="M50" i="4"/>
  <c r="M45" i="4"/>
  <c r="M59" i="4"/>
  <c r="M40" i="4"/>
  <c r="M25" i="4"/>
  <c r="M51" i="4"/>
  <c r="M36" i="4"/>
  <c r="M19" i="4"/>
  <c r="M44" i="4"/>
  <c r="M37" i="4"/>
  <c r="M24" i="4"/>
  <c r="M52" i="4"/>
  <c r="M16" i="4"/>
  <c r="M7" i="4"/>
  <c r="M8" i="4"/>
  <c r="M39" i="4"/>
  <c r="M32" i="4"/>
  <c r="M64" i="4"/>
  <c r="M34" i="4"/>
  <c r="M38" i="4"/>
  <c r="M58" i="4"/>
  <c r="M33" i="4"/>
  <c r="M41" i="4"/>
  <c r="M21" i="4"/>
  <c r="M48" i="4"/>
  <c r="M55" i="4"/>
  <c r="M15" i="4"/>
  <c r="M12" i="4"/>
  <c r="M27" i="4"/>
  <c r="M31" i="4"/>
  <c r="M13" i="4"/>
  <c r="M49" i="4"/>
  <c r="M5" i="4"/>
  <c r="M54" i="4"/>
  <c r="M43" i="4"/>
  <c r="M62" i="4"/>
  <c r="M18" i="4"/>
  <c r="M61" i="4"/>
  <c r="M23" i="4"/>
  <c r="M3" i="4"/>
  <c r="M6" i="4"/>
  <c r="M42" i="4"/>
  <c r="M11" i="4"/>
  <c r="M20" i="4"/>
  <c r="M63" i="4"/>
  <c r="M10" i="4"/>
  <c r="M30" i="4"/>
  <c r="M53" i="4"/>
  <c r="M57" i="4"/>
  <c r="M56" i="4"/>
  <c r="M17" i="4"/>
  <c r="M22" i="4"/>
  <c r="M46" i="4"/>
  <c r="M35" i="4"/>
  <c r="N60" i="5"/>
  <c r="N64" i="5"/>
  <c r="N62" i="5"/>
  <c r="N58" i="5"/>
  <c r="N59" i="5"/>
  <c r="N55" i="5"/>
  <c r="N51" i="5"/>
  <c r="N63" i="5"/>
  <c r="N61" i="5"/>
  <c r="N52" i="5"/>
  <c r="N54" i="5"/>
  <c r="N53" i="5"/>
  <c r="N57" i="5"/>
  <c r="N56" i="5"/>
  <c r="Q21" i="5"/>
  <c r="Q60" i="5"/>
  <c r="Q61" i="5"/>
  <c r="Q57" i="5"/>
  <c r="Q63" i="5"/>
  <c r="Q51" i="5"/>
  <c r="Q53" i="5"/>
  <c r="Q64" i="5"/>
  <c r="Q52" i="5"/>
  <c r="Q54" i="5"/>
  <c r="Q62" i="5"/>
  <c r="Q58" i="5"/>
  <c r="Q59" i="5"/>
  <c r="Q55" i="5"/>
  <c r="Q56" i="5"/>
  <c r="P60" i="3"/>
  <c r="P59" i="3"/>
  <c r="P55" i="3"/>
  <c r="P58" i="3"/>
  <c r="P63" i="3"/>
  <c r="P49" i="3"/>
  <c r="P54" i="3"/>
  <c r="P48" i="3"/>
  <c r="P47" i="3"/>
  <c r="P53" i="3"/>
  <c r="P57" i="3"/>
  <c r="P51" i="3"/>
  <c r="P62" i="3"/>
  <c r="P52" i="3"/>
  <c r="P61" i="3"/>
  <c r="P56" i="3"/>
  <c r="P50" i="3"/>
  <c r="P64" i="3"/>
  <c r="Q33" i="3"/>
  <c r="Q60" i="3"/>
  <c r="Q63" i="3"/>
  <c r="Q47" i="3"/>
  <c r="Q53" i="3"/>
  <c r="Q49" i="3"/>
  <c r="Q51" i="3"/>
  <c r="Q56" i="3"/>
  <c r="Q58" i="3"/>
  <c r="Q54" i="3"/>
  <c r="Q59" i="3"/>
  <c r="Q48" i="3"/>
  <c r="Q64" i="3"/>
  <c r="Q61" i="3"/>
  <c r="Q55" i="3"/>
  <c r="Q52" i="3"/>
  <c r="Q62" i="3"/>
  <c r="Q57" i="3"/>
  <c r="Q50" i="3"/>
  <c r="O60" i="3"/>
  <c r="O62" i="3"/>
  <c r="O59" i="3"/>
  <c r="O49" i="3"/>
  <c r="O56" i="3"/>
  <c r="O64" i="3"/>
  <c r="O58" i="3"/>
  <c r="O47" i="3"/>
  <c r="O55" i="3"/>
  <c r="O50" i="3"/>
  <c r="O51" i="3"/>
  <c r="O48" i="3"/>
  <c r="O63" i="3"/>
  <c r="O61" i="3"/>
  <c r="O53" i="3"/>
  <c r="O57" i="3"/>
  <c r="O52" i="3"/>
  <c r="O54" i="3"/>
  <c r="P60" i="4"/>
  <c r="P39" i="4"/>
  <c r="P44" i="4"/>
  <c r="P62" i="4"/>
  <c r="P13" i="4"/>
  <c r="P12" i="4"/>
  <c r="P9" i="4"/>
  <c r="P37" i="4"/>
  <c r="P23" i="4"/>
  <c r="P31" i="4"/>
  <c r="P3" i="4"/>
  <c r="P5" i="4"/>
  <c r="P64" i="4"/>
  <c r="P38" i="4"/>
  <c r="P35" i="4"/>
  <c r="P11" i="4"/>
  <c r="P10" i="4"/>
  <c r="P6" i="4"/>
  <c r="P17" i="4"/>
  <c r="P54" i="4"/>
  <c r="P45" i="4"/>
  <c r="P59" i="4"/>
  <c r="P56" i="4"/>
  <c r="P52" i="4"/>
  <c r="P50" i="4"/>
  <c r="P4" i="4"/>
  <c r="P20" i="4"/>
  <c r="P19" i="4"/>
  <c r="P28" i="4"/>
  <c r="P63" i="4"/>
  <c r="P18" i="4"/>
  <c r="P30" i="4"/>
  <c r="P40" i="4"/>
  <c r="P53" i="4"/>
  <c r="P57" i="4"/>
  <c r="P25" i="4"/>
  <c r="P34" i="4"/>
  <c r="P22" i="4"/>
  <c r="P14" i="4"/>
  <c r="P61" i="4"/>
  <c r="P55" i="4"/>
  <c r="P24" i="4"/>
  <c r="P51" i="4"/>
  <c r="P46" i="4"/>
  <c r="P41" i="4"/>
  <c r="P21" i="4"/>
  <c r="P48" i="4"/>
  <c r="P47" i="4"/>
  <c r="P32" i="4"/>
  <c r="P49" i="4"/>
  <c r="P58" i="4"/>
  <c r="P33" i="4"/>
  <c r="P26" i="4"/>
  <c r="P16" i="4"/>
  <c r="P7" i="4"/>
  <c r="P27" i="4"/>
  <c r="P8" i="4"/>
  <c r="P36" i="4"/>
  <c r="P29" i="4"/>
  <c r="P15" i="4"/>
  <c r="P42" i="4"/>
  <c r="P43" i="4"/>
  <c r="P60" i="5"/>
  <c r="P57" i="5"/>
  <c r="P52" i="5"/>
  <c r="P54" i="5"/>
  <c r="P64" i="5"/>
  <c r="P62" i="5"/>
  <c r="P56" i="5"/>
  <c r="P58" i="5"/>
  <c r="P59" i="5"/>
  <c r="P55" i="5"/>
  <c r="P63" i="5"/>
  <c r="P51" i="5"/>
  <c r="P61" i="5"/>
  <c r="P53" i="5"/>
  <c r="M60" i="3"/>
  <c r="M48" i="3"/>
  <c r="M47" i="3"/>
  <c r="M53" i="3"/>
  <c r="M49" i="3"/>
  <c r="M59" i="3"/>
  <c r="M61" i="3"/>
  <c r="M58" i="3"/>
  <c r="M63" i="3"/>
  <c r="M62" i="3"/>
  <c r="M54" i="3"/>
  <c r="M64" i="3"/>
  <c r="M50" i="3"/>
  <c r="M56" i="3"/>
  <c r="M52" i="3"/>
  <c r="M55" i="3"/>
  <c r="M57" i="3"/>
  <c r="M51" i="3"/>
  <c r="M60" i="5"/>
  <c r="M64" i="5"/>
  <c r="M63" i="5"/>
  <c r="M62" i="5"/>
  <c r="M53" i="5"/>
  <c r="M51" i="5"/>
  <c r="M58" i="5"/>
  <c r="M59" i="5"/>
  <c r="M54" i="5"/>
  <c r="M61" i="5"/>
  <c r="M57" i="5"/>
  <c r="M56" i="5"/>
  <c r="M52" i="5"/>
  <c r="M55" i="5"/>
  <c r="N60" i="3"/>
  <c r="N56" i="3"/>
  <c r="N58" i="3"/>
  <c r="N61" i="3"/>
  <c r="N48" i="3"/>
  <c r="N47" i="3"/>
  <c r="N53" i="3"/>
  <c r="N64" i="3"/>
  <c r="N59" i="3"/>
  <c r="N55" i="3"/>
  <c r="N63" i="3"/>
  <c r="N57" i="3"/>
  <c r="N54" i="3"/>
  <c r="N50" i="3"/>
  <c r="N49" i="3"/>
  <c r="N51" i="3"/>
  <c r="N62" i="3"/>
  <c r="N52" i="3"/>
  <c r="L18" i="5"/>
  <c r="L58" i="5"/>
  <c r="L53" i="5"/>
  <c r="L64" i="5"/>
  <c r="L59" i="5"/>
  <c r="L54" i="5"/>
  <c r="L51" i="5"/>
  <c r="L60" i="5"/>
  <c r="L55" i="5"/>
  <c r="L61" i="5"/>
  <c r="L56" i="5"/>
  <c r="L62" i="5"/>
  <c r="L52" i="5"/>
  <c r="L63" i="5"/>
  <c r="L57" i="5"/>
  <c r="Q39" i="5"/>
  <c r="Q4" i="5"/>
  <c r="Q14" i="5"/>
  <c r="Q38" i="5"/>
  <c r="Q18" i="5"/>
  <c r="L40" i="5"/>
  <c r="Q3" i="5"/>
  <c r="Q19" i="5"/>
  <c r="Q43" i="5"/>
  <c r="Q33" i="5"/>
  <c r="Q29" i="5"/>
  <c r="Q31" i="5"/>
  <c r="Q13" i="5"/>
  <c r="Q28" i="5"/>
  <c r="Q40" i="5"/>
  <c r="Q46" i="5"/>
  <c r="Q27" i="5"/>
  <c r="Q37" i="5"/>
  <c r="Q30" i="5"/>
  <c r="Q12" i="5"/>
  <c r="Q42" i="5"/>
  <c r="Q17" i="5"/>
  <c r="Q35" i="5"/>
  <c r="L37" i="5"/>
  <c r="Q32" i="5"/>
  <c r="Q10" i="5"/>
  <c r="Q6" i="5"/>
  <c r="L4" i="5"/>
  <c r="Q16" i="5"/>
  <c r="Q2" i="5"/>
  <c r="L25" i="5"/>
  <c r="L31" i="5"/>
  <c r="D9" i="5"/>
  <c r="L8" i="5"/>
  <c r="L30" i="5"/>
  <c r="L28" i="5"/>
  <c r="L45" i="5"/>
  <c r="L19" i="5"/>
  <c r="L13" i="5"/>
  <c r="L29" i="5"/>
  <c r="L23" i="5"/>
  <c r="L16" i="5"/>
  <c r="L7" i="5"/>
  <c r="L10" i="5"/>
  <c r="L43" i="5"/>
  <c r="L22" i="5"/>
  <c r="L5" i="5"/>
  <c r="L21" i="5"/>
  <c r="Q25" i="3"/>
  <c r="L3" i="5"/>
  <c r="L14" i="5"/>
  <c r="L38" i="5"/>
  <c r="L36" i="5"/>
  <c r="L27" i="5"/>
  <c r="L11" i="5"/>
  <c r="L42" i="5"/>
  <c r="L32" i="5"/>
  <c r="L12" i="5"/>
  <c r="L34" i="5"/>
  <c r="L26" i="5"/>
  <c r="L24" i="5"/>
  <c r="L17" i="5"/>
  <c r="Q37" i="3"/>
  <c r="L44" i="5"/>
  <c r="L33" i="5"/>
  <c r="L41" i="5"/>
  <c r="L20" i="5"/>
  <c r="L9" i="5"/>
  <c r="C11" i="6"/>
  <c r="Q19" i="3"/>
  <c r="Q40" i="3"/>
  <c r="B9" i="6"/>
  <c r="Q5" i="3"/>
  <c r="Q10" i="3"/>
  <c r="Q2" i="3"/>
  <c r="Q43" i="3"/>
  <c r="L46" i="3"/>
  <c r="L28" i="3"/>
  <c r="L32" i="3"/>
  <c r="L39" i="3"/>
  <c r="L26" i="3"/>
  <c r="L8" i="3"/>
  <c r="L9" i="3"/>
  <c r="L15" i="3"/>
  <c r="L38" i="3"/>
  <c r="L45" i="3"/>
  <c r="L34" i="3"/>
  <c r="L37" i="3"/>
  <c r="L17" i="3"/>
  <c r="L21" i="3"/>
  <c r="L5" i="3"/>
  <c r="L20" i="3"/>
  <c r="L30" i="3"/>
  <c r="L31" i="3"/>
  <c r="L19" i="3"/>
  <c r="L11" i="3"/>
  <c r="L6" i="3"/>
  <c r="L4" i="3"/>
  <c r="L44" i="3"/>
  <c r="L14" i="3"/>
  <c r="L27" i="3"/>
  <c r="L10" i="3"/>
  <c r="L40" i="3"/>
  <c r="L29" i="3"/>
  <c r="L7" i="3"/>
  <c r="L24" i="3"/>
  <c r="L35" i="3"/>
  <c r="L3" i="3"/>
  <c r="L13" i="3"/>
  <c r="Q15" i="3"/>
  <c r="L36" i="3"/>
  <c r="L18" i="3"/>
  <c r="L43" i="3"/>
  <c r="L25" i="3"/>
  <c r="D10" i="6"/>
  <c r="Q28" i="3"/>
  <c r="Q27" i="3"/>
  <c r="Q8" i="3"/>
  <c r="L16" i="3"/>
  <c r="L23" i="3"/>
  <c r="L12" i="3"/>
  <c r="L33" i="3"/>
  <c r="L42" i="3"/>
  <c r="L22" i="3"/>
  <c r="Q12" i="3"/>
  <c r="Q34" i="3"/>
  <c r="Q14" i="3"/>
  <c r="Q9" i="3"/>
  <c r="Q26" i="3"/>
  <c r="Q6" i="3"/>
  <c r="Q16" i="3"/>
  <c r="Q7" i="3"/>
  <c r="Q22" i="3"/>
  <c r="Q32" i="3"/>
  <c r="Q30" i="3"/>
  <c r="Q17" i="3"/>
  <c r="Q20" i="3"/>
  <c r="Q39" i="3"/>
  <c r="Q11" i="3"/>
  <c r="D9" i="4"/>
  <c r="Q3" i="3"/>
  <c r="Q42" i="3"/>
  <c r="Q21" i="3"/>
  <c r="Q38" i="3"/>
  <c r="Q41" i="3"/>
  <c r="Q13" i="3"/>
  <c r="Q18" i="3"/>
  <c r="Q46" i="3"/>
  <c r="Q23" i="3"/>
  <c r="Q44" i="3"/>
  <c r="Q36" i="3"/>
  <c r="Q4" i="3"/>
  <c r="C9" i="6"/>
  <c r="Q24" i="3"/>
  <c r="Q29" i="3"/>
  <c r="Q31" i="3"/>
  <c r="Q35" i="3"/>
  <c r="Q45" i="3"/>
  <c r="P31" i="3"/>
  <c r="P27" i="3"/>
  <c r="P20" i="3"/>
  <c r="P22" i="3"/>
  <c r="P39" i="3"/>
  <c r="P30" i="3"/>
  <c r="P8" i="3"/>
  <c r="P7" i="3"/>
  <c r="P38" i="3"/>
  <c r="P42" i="3"/>
  <c r="P44" i="3"/>
  <c r="P26" i="3"/>
  <c r="P15" i="3"/>
  <c r="P45" i="3"/>
  <c r="P6" i="3"/>
  <c r="P16" i="3"/>
  <c r="P41" i="3"/>
  <c r="P10" i="3"/>
  <c r="P12" i="3"/>
  <c r="P36" i="3"/>
  <c r="P14" i="3"/>
  <c r="P24" i="3"/>
  <c r="P21" i="3"/>
  <c r="P25" i="3"/>
  <c r="P46" i="3"/>
  <c r="P5" i="3"/>
  <c r="P32" i="3"/>
  <c r="P33" i="3"/>
  <c r="P35" i="3"/>
  <c r="P17" i="3"/>
  <c r="P28" i="3"/>
  <c r="P40" i="3"/>
  <c r="P37" i="3"/>
  <c r="P19" i="3"/>
  <c r="P23" i="3"/>
  <c r="P3" i="3"/>
  <c r="P9" i="3"/>
  <c r="P11" i="3"/>
  <c r="P4" i="3"/>
  <c r="P29" i="3"/>
  <c r="P2" i="3"/>
  <c r="P18" i="3"/>
  <c r="P34" i="3"/>
  <c r="P13" i="3"/>
  <c r="P43" i="3"/>
  <c r="M2" i="4"/>
  <c r="M9" i="3"/>
  <c r="M34" i="3"/>
  <c r="M13" i="3"/>
  <c r="M27" i="3"/>
  <c r="M7" i="3"/>
  <c r="M8" i="3"/>
  <c r="M16" i="3"/>
  <c r="M41" i="3"/>
  <c r="M44" i="3"/>
  <c r="M36" i="3"/>
  <c r="M28" i="3"/>
  <c r="M10" i="3"/>
  <c r="M33" i="3"/>
  <c r="M37" i="3"/>
  <c r="M20" i="3"/>
  <c r="M45" i="3"/>
  <c r="M6" i="3"/>
  <c r="M24" i="3"/>
  <c r="M43" i="3"/>
  <c r="M14" i="3"/>
  <c r="M38" i="3"/>
  <c r="M2" i="3"/>
  <c r="M32" i="3"/>
  <c r="M26" i="3"/>
  <c r="M3" i="3"/>
  <c r="M11" i="3"/>
  <c r="M40" i="3"/>
  <c r="M21" i="3"/>
  <c r="M46" i="3"/>
  <c r="M35" i="3"/>
  <c r="M25" i="3"/>
  <c r="M23" i="3"/>
  <c r="M15" i="3"/>
  <c r="M29" i="3"/>
  <c r="M22" i="3"/>
  <c r="M39" i="3"/>
  <c r="M30" i="3"/>
  <c r="M42" i="3"/>
  <c r="M12" i="3"/>
  <c r="M5" i="3"/>
  <c r="M17" i="3"/>
  <c r="M4" i="3"/>
  <c r="M18" i="3"/>
  <c r="M19" i="3"/>
  <c r="M31" i="3"/>
  <c r="N45" i="3"/>
  <c r="N23" i="3"/>
  <c r="N3" i="3"/>
  <c r="N39" i="3"/>
  <c r="N41" i="3"/>
  <c r="N13" i="3"/>
  <c r="N30" i="3"/>
  <c r="N25" i="3"/>
  <c r="N36" i="3"/>
  <c r="N40" i="3"/>
  <c r="N32" i="3"/>
  <c r="N44" i="3"/>
  <c r="N34" i="3"/>
  <c r="N14" i="3"/>
  <c r="N10" i="3"/>
  <c r="N27" i="3"/>
  <c r="N38" i="3"/>
  <c r="N4" i="3"/>
  <c r="N18" i="3"/>
  <c r="N42" i="3"/>
  <c r="N46" i="3"/>
  <c r="N28" i="3"/>
  <c r="N5" i="3"/>
  <c r="N35" i="3"/>
  <c r="N33" i="3"/>
  <c r="N21" i="3"/>
  <c r="N11" i="3"/>
  <c r="N16" i="3"/>
  <c r="N9" i="3"/>
  <c r="N2" i="3"/>
  <c r="N37" i="3"/>
  <c r="N12" i="3"/>
  <c r="N7" i="3"/>
  <c r="N31" i="3"/>
  <c r="N6" i="3"/>
  <c r="N17" i="3"/>
  <c r="N24" i="3"/>
  <c r="N20" i="3"/>
  <c r="N29" i="3"/>
  <c r="N19" i="3"/>
  <c r="N22" i="3"/>
  <c r="N43" i="3"/>
  <c r="N15" i="3"/>
  <c r="N26" i="3"/>
  <c r="N8" i="3"/>
  <c r="P2" i="4"/>
  <c r="G13" i="4"/>
  <c r="F13" i="4"/>
  <c r="N2" i="4"/>
  <c r="G13" i="5"/>
  <c r="O45" i="5"/>
  <c r="O8" i="5"/>
  <c r="O10" i="5"/>
  <c r="O34" i="5"/>
  <c r="O29" i="5"/>
  <c r="O41" i="5"/>
  <c r="O20" i="5"/>
  <c r="O32" i="5"/>
  <c r="O23" i="5"/>
  <c r="O7" i="5"/>
  <c r="O5" i="5"/>
  <c r="O22" i="5"/>
  <c r="O46" i="5"/>
  <c r="O18" i="5"/>
  <c r="O30" i="5"/>
  <c r="O21" i="5"/>
  <c r="O4" i="5"/>
  <c r="O3" i="5"/>
  <c r="O35" i="5"/>
  <c r="O6" i="5"/>
  <c r="O40" i="5"/>
  <c r="O28" i="5"/>
  <c r="O24" i="5"/>
  <c r="O44" i="5"/>
  <c r="O31" i="5"/>
  <c r="O26" i="5"/>
  <c r="O42" i="5"/>
  <c r="O17" i="5"/>
  <c r="O27" i="5"/>
  <c r="O38" i="5"/>
  <c r="O36" i="5"/>
  <c r="O43" i="5"/>
  <c r="O16" i="5"/>
  <c r="O12" i="5"/>
  <c r="O25" i="5"/>
  <c r="O13" i="5"/>
  <c r="O39" i="5"/>
  <c r="O11" i="5"/>
  <c r="O9" i="5"/>
  <c r="O15" i="5"/>
  <c r="O2" i="5"/>
  <c r="O33" i="5"/>
  <c r="O37" i="5"/>
  <c r="O14" i="5"/>
  <c r="O19" i="5"/>
  <c r="M44" i="5"/>
  <c r="M36" i="5"/>
  <c r="M26" i="5"/>
  <c r="M43" i="5"/>
  <c r="M17" i="5"/>
  <c r="M2" i="5"/>
  <c r="M37" i="5"/>
  <c r="M13" i="5"/>
  <c r="M11" i="5"/>
  <c r="M19" i="5"/>
  <c r="M25" i="5"/>
  <c r="M5" i="5"/>
  <c r="M46" i="5"/>
  <c r="M10" i="5"/>
  <c r="M8" i="5"/>
  <c r="M9" i="5"/>
  <c r="M15" i="5"/>
  <c r="M3" i="5"/>
  <c r="M42" i="5"/>
  <c r="M24" i="5"/>
  <c r="M18" i="5"/>
  <c r="M38" i="5"/>
  <c r="M16" i="5"/>
  <c r="M21" i="5"/>
  <c r="M40" i="5"/>
  <c r="M30" i="5"/>
  <c r="M12" i="5"/>
  <c r="M31" i="5"/>
  <c r="M28" i="5"/>
  <c r="M27" i="5"/>
  <c r="M14" i="5"/>
  <c r="M29" i="5"/>
  <c r="M22" i="5"/>
  <c r="M7" i="5"/>
  <c r="M34" i="5"/>
  <c r="M20" i="5"/>
  <c r="M41" i="5"/>
  <c r="M33" i="5"/>
  <c r="M6" i="5"/>
  <c r="M35" i="5"/>
  <c r="M23" i="5"/>
  <c r="M45" i="5"/>
  <c r="M39" i="5"/>
  <c r="M32" i="5"/>
  <c r="M4" i="5"/>
  <c r="N41" i="5"/>
  <c r="N9" i="5"/>
  <c r="N22" i="5"/>
  <c r="N15" i="5"/>
  <c r="N10" i="5"/>
  <c r="N8" i="5"/>
  <c r="N29" i="5"/>
  <c r="N42" i="5"/>
  <c r="N35" i="5"/>
  <c r="N28" i="5"/>
  <c r="N24" i="5"/>
  <c r="N25" i="5"/>
  <c r="N38" i="5"/>
  <c r="N31" i="5"/>
  <c r="N14" i="5"/>
  <c r="N2" i="5"/>
  <c r="N27" i="5"/>
  <c r="N44" i="5"/>
  <c r="N5" i="5"/>
  <c r="N23" i="5"/>
  <c r="N4" i="5"/>
  <c r="N40" i="5"/>
  <c r="N46" i="5"/>
  <c r="N19" i="5"/>
  <c r="N6" i="5"/>
  <c r="N45" i="5"/>
  <c r="N34" i="5"/>
  <c r="N20" i="5"/>
  <c r="N16" i="5"/>
  <c r="N30" i="5"/>
  <c r="N3" i="5"/>
  <c r="N37" i="5"/>
  <c r="N18" i="5"/>
  <c r="N33" i="5"/>
  <c r="N26" i="5"/>
  <c r="N32" i="5"/>
  <c r="N11" i="5"/>
  <c r="N17" i="5"/>
  <c r="N39" i="5"/>
  <c r="N36" i="5"/>
  <c r="N13" i="5"/>
  <c r="N7" i="5"/>
  <c r="N21" i="5"/>
  <c r="N43" i="5"/>
  <c r="N12" i="5"/>
  <c r="O42" i="3"/>
  <c r="O24" i="3"/>
  <c r="O29" i="3"/>
  <c r="O41" i="3"/>
  <c r="O13" i="3"/>
  <c r="O3" i="3"/>
  <c r="O15" i="3"/>
  <c r="O8" i="3"/>
  <c r="O2" i="3"/>
  <c r="O19" i="3"/>
  <c r="O17" i="3"/>
  <c r="O30" i="3"/>
  <c r="O32" i="3"/>
  <c r="O45" i="3"/>
  <c r="O10" i="3"/>
  <c r="O27" i="3"/>
  <c r="O25" i="3"/>
  <c r="O40" i="3"/>
  <c r="O44" i="3"/>
  <c r="O14" i="3"/>
  <c r="O11" i="3"/>
  <c r="O20" i="3"/>
  <c r="O39" i="3"/>
  <c r="O35" i="3"/>
  <c r="O9" i="3"/>
  <c r="O23" i="3"/>
  <c r="O43" i="3"/>
  <c r="O21" i="3"/>
  <c r="O33" i="3"/>
  <c r="O4" i="3"/>
  <c r="O31" i="3"/>
  <c r="O36" i="3"/>
  <c r="O28" i="3"/>
  <c r="O12" i="3"/>
  <c r="O46" i="3"/>
  <c r="O18" i="3"/>
  <c r="O16" i="3"/>
  <c r="O22" i="3"/>
  <c r="O38" i="3"/>
  <c r="O34" i="3"/>
  <c r="O7" i="3"/>
  <c r="O37" i="3"/>
  <c r="O5" i="3"/>
  <c r="O26" i="3"/>
  <c r="O6" i="3"/>
  <c r="P18" i="5"/>
  <c r="P27" i="5"/>
  <c r="P4" i="5"/>
  <c r="P46" i="5"/>
  <c r="P24" i="5"/>
  <c r="P39" i="5"/>
  <c r="P42" i="5"/>
  <c r="P10" i="5"/>
  <c r="P23" i="5"/>
  <c r="P20" i="5"/>
  <c r="P5" i="5"/>
  <c r="P12" i="5"/>
  <c r="P38" i="5"/>
  <c r="P6" i="5"/>
  <c r="P19" i="5"/>
  <c r="P16" i="5"/>
  <c r="P25" i="5"/>
  <c r="P3" i="5"/>
  <c r="P34" i="5"/>
  <c r="P44" i="5"/>
  <c r="P15" i="5"/>
  <c r="P30" i="5"/>
  <c r="P8" i="5"/>
  <c r="P36" i="5"/>
  <c r="P2" i="5"/>
  <c r="P11" i="5"/>
  <c r="P43" i="5"/>
  <c r="P7" i="5"/>
  <c r="P26" i="5"/>
  <c r="P40" i="5"/>
  <c r="P45" i="5"/>
  <c r="P22" i="5"/>
  <c r="P35" i="5"/>
  <c r="P32" i="5"/>
  <c r="P9" i="5"/>
  <c r="P13" i="5"/>
  <c r="P41" i="5"/>
  <c r="P31" i="5"/>
  <c r="P28" i="5"/>
  <c r="P37" i="5"/>
  <c r="P33" i="5"/>
  <c r="P14" i="5"/>
  <c r="P21" i="5"/>
  <c r="P17" i="5"/>
  <c r="P29" i="5"/>
  <c r="D13" i="3" l="1"/>
  <c r="O60" i="4"/>
  <c r="O21" i="4"/>
  <c r="O20" i="4"/>
  <c r="O63" i="4"/>
  <c r="O59" i="4"/>
  <c r="O23" i="4"/>
  <c r="O55" i="4"/>
  <c r="O57" i="4"/>
  <c r="O3" i="4"/>
  <c r="O34" i="4"/>
  <c r="O58" i="4"/>
  <c r="O54" i="4"/>
  <c r="O46" i="4"/>
  <c r="O35" i="4"/>
  <c r="O11" i="4"/>
  <c r="O28" i="4"/>
  <c r="O10" i="4"/>
  <c r="O30" i="4"/>
  <c r="O64" i="4"/>
  <c r="O6" i="4"/>
  <c r="O17" i="4"/>
  <c r="O41" i="4"/>
  <c r="O39" i="4"/>
  <c r="O4" i="4"/>
  <c r="O48" i="4"/>
  <c r="O61" i="4"/>
  <c r="O40" i="4"/>
  <c r="O29" i="4"/>
  <c r="O49" i="4"/>
  <c r="O56" i="4"/>
  <c r="O22" i="4"/>
  <c r="O14" i="4"/>
  <c r="O36" i="4"/>
  <c r="O19" i="4"/>
  <c r="O44" i="4"/>
  <c r="O18" i="4"/>
  <c r="O25" i="4"/>
  <c r="O51" i="4"/>
  <c r="O52" i="4"/>
  <c r="O50" i="4"/>
  <c r="O8" i="4"/>
  <c r="O9" i="4"/>
  <c r="O37" i="4"/>
  <c r="O47" i="4"/>
  <c r="O24" i="4"/>
  <c r="O5" i="4"/>
  <c r="O42" i="4"/>
  <c r="O16" i="4"/>
  <c r="O45" i="4"/>
  <c r="O53" i="4"/>
  <c r="O32" i="4"/>
  <c r="O33" i="4"/>
  <c r="O26" i="4"/>
  <c r="O7" i="4"/>
  <c r="O27" i="4"/>
  <c r="O15" i="4"/>
  <c r="O38" i="4"/>
  <c r="O43" i="4"/>
  <c r="O62" i="4"/>
  <c r="O31" i="4"/>
  <c r="O13" i="4"/>
  <c r="O12" i="4"/>
  <c r="A13" i="3"/>
  <c r="O60" i="5"/>
  <c r="O52" i="5"/>
  <c r="O54" i="5"/>
  <c r="O55" i="5"/>
  <c r="O56" i="5"/>
  <c r="O64" i="5"/>
  <c r="O62" i="5"/>
  <c r="O53" i="5"/>
  <c r="O58" i="5"/>
  <c r="O59" i="5"/>
  <c r="O61" i="5"/>
  <c r="O51" i="5"/>
  <c r="O63" i="5"/>
  <c r="O57" i="5"/>
  <c r="F13" i="3"/>
  <c r="D18" i="6"/>
  <c r="I18" i="6" s="1"/>
  <c r="A13" i="5"/>
  <c r="F13" i="5"/>
  <c r="A13" i="4"/>
  <c r="O2" i="4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E13" i="3"/>
  <c r="D19" i="6" s="1"/>
  <c r="I19" i="6" s="1"/>
  <c r="C13" i="5"/>
  <c r="B17" i="6" s="1"/>
  <c r="G17" i="6" s="1"/>
  <c r="B13" i="5"/>
  <c r="B16" i="6" s="1"/>
  <c r="G16" i="6" s="1"/>
  <c r="D13" i="5"/>
  <c r="B18" i="6" s="1"/>
  <c r="G18" i="6" s="1"/>
  <c r="B13" i="4"/>
  <c r="C16" i="6" s="1"/>
  <c r="H16" i="6" s="1"/>
  <c r="D13" i="4" l="1"/>
  <c r="C18" i="6" s="1"/>
  <c r="H18" i="6" s="1"/>
  <c r="H22" i="6" s="1"/>
</calcChain>
</file>

<file path=xl/sharedStrings.xml><?xml version="1.0" encoding="utf-8"?>
<sst xmlns="http://schemas.openxmlformats.org/spreadsheetml/2006/main" count="404" uniqueCount="121">
  <si>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</si>
  <si>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</si>
  <si>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</si>
  <si>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</si>
  <si>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</si>
  <si>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</si>
  <si>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</si>
  <si>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</si>
  <si>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</si>
  <si>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</si>
  <si>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</si>
  <si>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</si>
  <si>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</si>
  <si>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</si>
  <si>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</si>
  <si>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</si>
  <si>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</si>
  <si>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</si>
  <si>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</si>
  <si>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56E</t>
  </si>
  <si>
    <t>5C12</t>
  </si>
  <si>
    <t>12C5</t>
  </si>
  <si>
    <t>Boltzmann Contribution</t>
  </si>
  <si>
    <t>Average E</t>
  </si>
  <si>
    <t xml:space="preserve">Conf1   </t>
  </si>
  <si>
    <t xml:space="preserve">Conf2   </t>
  </si>
  <si>
    <t xml:space="preserve">Conf4   </t>
  </si>
  <si>
    <t xml:space="preserve">Conf8   </t>
  </si>
  <si>
    <t xml:space="preserve">Conf20   </t>
  </si>
  <si>
    <t xml:space="preserve">Conf21   </t>
  </si>
  <si>
    <t xml:space="preserve">Conf27   </t>
  </si>
  <si>
    <t xml:space="preserve">Conf30   </t>
  </si>
  <si>
    <t xml:space="preserve">Conf40   </t>
  </si>
  <si>
    <t xml:space="preserve">Conf57   </t>
  </si>
  <si>
    <t xml:space="preserve">Conf86   </t>
  </si>
  <si>
    <t xml:space="preserve">Conf144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</si>
  <si>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</si>
  <si>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</si>
  <si>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</si>
  <si>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</si>
  <si>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</si>
  <si>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</si>
  <si>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</si>
  <si>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</si>
  <si>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</si>
  <si>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</si>
  <si>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</si>
  <si>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</si>
  <si>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</si>
  <si>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</si>
  <si>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</si>
  <si>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</si>
  <si>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</si>
  <si>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</si>
  <si>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</si>
  <si>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</si>
  <si>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</si>
  <si>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</si>
  <si>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</si>
  <si>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</si>
  <si>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</si>
  <si>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</si>
  <si>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</si>
  <si>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</si>
  <si>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</si>
  <si>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V1</t>
  </si>
  <si>
    <t>V2</t>
  </si>
  <si>
    <t xml:space="preserve">Conf14   </t>
  </si>
  <si>
    <t xml:space="preserve">Conf25   </t>
  </si>
  <si>
    <t xml:space="preserve">Conf29   </t>
  </si>
  <si>
    <t xml:space="preserve">Conf32   </t>
  </si>
  <si>
    <t xml:space="preserve">Conf35   </t>
  </si>
  <si>
    <t xml:space="preserve">Conf36   </t>
  </si>
  <si>
    <t xml:space="preserve">Conf44   </t>
  </si>
  <si>
    <t xml:space="preserve">Conf47   </t>
  </si>
  <si>
    <t xml:space="preserve">Conf52   </t>
  </si>
  <si>
    <t xml:space="preserve">Conf54   </t>
  </si>
  <si>
    <t xml:space="preserve">Conf55   </t>
  </si>
  <si>
    <t xml:space="preserve">Conf58   </t>
  </si>
  <si>
    <t xml:space="preserve">Conf60   </t>
  </si>
  <si>
    <t xml:space="preserve">Conf70   </t>
  </si>
  <si>
    <t xml:space="preserve">Conf90   </t>
  </si>
  <si>
    <t xml:space="preserve">Conf92   </t>
  </si>
  <si>
    <t xml:space="preserve">Conf93   </t>
  </si>
  <si>
    <t xml:space="preserve">Conf95   </t>
  </si>
  <si>
    <t xml:space="preserve">Conf100   </t>
  </si>
  <si>
    <t xml:space="preserve">Conf118   </t>
  </si>
  <si>
    <t xml:space="preserve">Conf120   </t>
  </si>
  <si>
    <t xml:space="preserve">Conf122   </t>
  </si>
  <si>
    <t xml:space="preserve">Conf129   </t>
  </si>
  <si>
    <t xml:space="preserve">Conf155   </t>
  </si>
  <si>
    <t xml:space="preserve">Conf159   </t>
  </si>
  <si>
    <t xml:space="preserve">Conf164   </t>
  </si>
  <si>
    <t xml:space="preserve">Conf170   </t>
  </si>
  <si>
    <t xml:space="preserve">Conf184   </t>
  </si>
  <si>
    <t xml:space="preserve">Conf189   </t>
  </si>
  <si>
    <t xml:space="preserve">Conf190   </t>
  </si>
  <si>
    <t xml:space="preserve">Conf205   </t>
  </si>
  <si>
    <t xml:space="preserve">Conf247   </t>
  </si>
  <si>
    <t xml:space="preserve">Conf387   </t>
  </si>
  <si>
    <t xml:space="preserve">null   </t>
  </si>
  <si>
    <t>45E</t>
  </si>
  <si>
    <t>E45</t>
  </si>
  <si>
    <t xml:space="preserve">Conf5   </t>
  </si>
  <si>
    <t xml:space="preserve">Conf42   </t>
  </si>
  <si>
    <t xml:space="preserve">Conf43   </t>
  </si>
  <si>
    <t xml:space="preserve">Conf51   </t>
  </si>
  <si>
    <t xml:space="preserve">Conf65   </t>
  </si>
  <si>
    <t xml:space="preserve">Conf69   </t>
  </si>
  <si>
    <t xml:space="preserve">Conf89   </t>
  </si>
  <si>
    <t xml:space="preserve">Conf112   </t>
  </si>
  <si>
    <t xml:space="preserve">Conf115   </t>
  </si>
  <si>
    <t xml:space="preserve">Conf117   </t>
  </si>
  <si>
    <t xml:space="preserve">Conf124   </t>
  </si>
  <si>
    <t xml:space="preserve">Conf125   </t>
  </si>
  <si>
    <t xml:space="preserve">Conf126   </t>
  </si>
  <si>
    <t xml:space="preserve">Conf199   </t>
  </si>
  <si>
    <t xml:space="preserve">Conf201   </t>
  </si>
  <si>
    <t xml:space="preserve">Conf217   </t>
  </si>
  <si>
    <t xml:space="preserve">Conf225   </t>
  </si>
  <si>
    <t xml:space="preserve">Conf376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</si>
</sst>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2" fontId="0" fillId="0" borderId="1" xfId="0" applyNumberFormat="1" applyBorder="1"/>
  </cellXfs>
  <cellStyles count="1">
    <cellStyle name="Normal" xfId="0" builtinId="0"/>
  </cellStyles>
  <dxfs count="3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0.60755033231745215</c:v>
                </c:pt>
                <c:pt idx="1">
                  <c:v>0.33995528996746788</c:v>
                </c:pt>
                <c:pt idx="2">
                  <c:v>3.3214397315227469E-2</c:v>
                </c:pt>
                <c:pt idx="3">
                  <c:v>1.856652083613719E-2</c:v>
                </c:pt>
                <c:pt idx="4">
                  <c:v>7.134595637154317E-4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2.8581427885801531</c:v>
                </c:pt>
                <c:pt idx="1">
                  <c:v>2.8392917249136818</c:v>
                </c:pt>
                <c:pt idx="2">
                  <c:v>4.1593423160957173</c:v>
                </c:pt>
                <c:pt idx="3">
                  <c:v>4.3835021326732306</c:v>
                </c:pt>
                <c:pt idx="4">
                  <c:v>3.9676868916139938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2"/>
                <c:pt idx="0">
                  <c:v>4H6</c:v>
                </c:pt>
                <c:pt idx="1">
                  <c:v>5C12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0.67979999999999996</c:v>
                </c:pt>
                <c:pt idx="1">
                  <c:v>0.32019999999999998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69" totalsRowShown="0">
  <autoFilter ref="A6:K69" xr:uid="{D2222DA1-7940-4CAF-B639-69BE9EB6EC23}"/>
  <sortState xmlns:xlrd2="http://schemas.microsoft.com/office/spreadsheetml/2017/richdata2" ref="A7:K69">
    <sortCondition ref="E6:E69"/>
  </sortState>
  <tableColumns count="11">
    <tableColumn id="1" xr3:uid="{FEE07942-27E5-496C-9CE0-57C74379E5FA}" name="Energy (hartrees)"/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64" totalsRowShown="0">
  <autoFilter ref="A1:T64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chloroform!F8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64" totalsRowShown="0">
  <autoFilter ref="K1:T64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64" totalsRowShown="0">
  <autoFilter ref="K1:T64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64" totalsRowShown="0">
  <autoFilter ref="K1:T64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Z101"/>
  <sheetViews>
    <sheetView topLeftCell="A2" zoomScaleNormal="100" workbookViewId="0">
      <selection activeCell="U30" sqref="U30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4" max="24" width="11" bestFit="1" customWidth="1"/>
  </cols>
  <sheetData>
    <row r="1" spans="1:2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Z1">
        <v>-1260.02581780845</v>
      </c>
    </row>
    <row r="2" spans="1:2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5.4313592527566472</v>
      </c>
      <c r="G2">
        <f>SUM(J7:J103)</f>
        <v>1.0000000000000002</v>
      </c>
      <c r="Z2">
        <v>-1260.0259146165699</v>
      </c>
    </row>
    <row r="3" spans="1:26" x14ac:dyDescent="0.25">
      <c r="Z3">
        <v>-1260.0261169744199</v>
      </c>
    </row>
    <row r="4" spans="1:26" x14ac:dyDescent="0.25">
      <c r="Z4">
        <v>-1260.02675840853</v>
      </c>
    </row>
    <row r="5" spans="1:26" x14ac:dyDescent="0.25">
      <c r="Z5">
        <v>-1260.0271541965899</v>
      </c>
    </row>
    <row r="6" spans="1:2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22</v>
      </c>
      <c r="P6" t="s">
        <v>23</v>
      </c>
      <c r="Z6">
        <v>-1260.02414022827</v>
      </c>
    </row>
    <row r="7" spans="1:26" x14ac:dyDescent="0.25">
      <c r="A7">
        <v>-1260.02977185797</v>
      </c>
      <c r="B7">
        <f>Table1[[#This Row],[Energy (hartrees)]]*$C$2</f>
        <v>-790681.28213859478</v>
      </c>
      <c r="C7" s="4">
        <f>Table1[[#This Row],[Energy (kcal)]]-MIN(Table1[Energy (kcal)])</f>
        <v>1.9356949125649408</v>
      </c>
      <c r="D7">
        <v>-1260.02977185797</v>
      </c>
      <c r="E7">
        <v>1</v>
      </c>
      <c r="F7" t="s">
        <v>18</v>
      </c>
      <c r="H7" s="10">
        <f>Table1[[#This Row],[Rel E]]</f>
        <v>1.9356949125649408</v>
      </c>
      <c r="I7" s="10">
        <f>IF(Table1[[#This Row],[rel G]]&lt;5,EXP(-H7/(D$2*E$2)),0)</f>
        <v>3.8055522566296733E-2</v>
      </c>
      <c r="J7" s="10">
        <f>IF(Table1[[#This Row],[rel G]]&lt;5,I7/$F$2,0)</f>
        <v>7.006629610623147E-3</v>
      </c>
      <c r="M7">
        <f>COUNTIF(Table1[Classification],N7)</f>
        <v>26</v>
      </c>
      <c r="N7" t="s">
        <v>17</v>
      </c>
      <c r="O7">
        <f>SUMIF(Table1[Classification],N7,Table1[weight])</f>
        <v>0.60755033231745215</v>
      </c>
      <c r="P7">
        <f>AVERAGEIF(Table1[Classification],N7,Table1[rel G])</f>
        <v>2.8581427885801531</v>
      </c>
      <c r="Z7">
        <v>-1260.0266743550501</v>
      </c>
    </row>
    <row r="8" spans="1:26" x14ac:dyDescent="0.25">
      <c r="A8">
        <v>-1260.0313430413</v>
      </c>
      <c r="B8">
        <f>Table1[[#This Row],[Energy (hartrees)]]*$C$2</f>
        <v>-790682.26807184622</v>
      </c>
      <c r="C8" s="4">
        <f>Table1[[#This Row],[Energy (kcal)]]-MIN(Table1[Energy (kcal)])</f>
        <v>0.94976166111882776</v>
      </c>
      <c r="D8">
        <v>-1260.0313430413</v>
      </c>
      <c r="E8">
        <v>2</v>
      </c>
      <c r="F8" t="s">
        <v>17</v>
      </c>
      <c r="H8" s="10">
        <f>Table1[[#This Row],[Rel E]]</f>
        <v>0.94976166111882776</v>
      </c>
      <c r="I8" s="10">
        <f>IF(Table1[[#This Row],[rel G]]&lt;5,EXP(-H8/(D$2*E$2)),0)</f>
        <v>0.20112795632868885</v>
      </c>
      <c r="J8" s="10">
        <f>IF(Table1[[#This Row],[rel G]]&lt;5,I8/$F$2,0)</f>
        <v>3.7030869616405469E-2</v>
      </c>
      <c r="M8">
        <f>COUNTIF(Table1[Classification],N8)</f>
        <v>13</v>
      </c>
      <c r="N8" t="s">
        <v>20</v>
      </c>
      <c r="O8">
        <f>SUMIF(Table1[Classification],N8,Table1[weight])</f>
        <v>0.33995528996746788</v>
      </c>
      <c r="P8">
        <f>AVERAGEIF(Table1[Classification],N8,Table1[rel G])</f>
        <v>2.8392917249136818</v>
      </c>
      <c r="Z8">
        <v>-1260.02614573506</v>
      </c>
    </row>
    <row r="9" spans="1:26" x14ac:dyDescent="0.25">
      <c r="A9">
        <v>-1260.0326303895199</v>
      </c>
      <c r="B9">
        <f>Table1[[#This Row],[Energy (hartrees)]]*$C$2</f>
        <v>-790683.07589572761</v>
      </c>
      <c r="C9" s="4">
        <f>Table1[[#This Row],[Energy (kcal)]]-MIN(Table1[Energy (kcal)])</f>
        <v>0.14193777972832322</v>
      </c>
      <c r="D9">
        <v>-1260.0326303895199</v>
      </c>
      <c r="E9">
        <v>4</v>
      </c>
      <c r="F9" t="s">
        <v>17</v>
      </c>
      <c r="H9" s="10">
        <f>Table1[[#This Row],[Rel E]]</f>
        <v>0.14193777972832322</v>
      </c>
      <c r="I9" s="10">
        <f>IF(Table1[[#This Row],[rel G]]&lt;5,EXP(-H9/(D$2*E$2)),0)</f>
        <v>0.78687720324976718</v>
      </c>
      <c r="J9" s="10">
        <f>IF(Table1[[#This Row],[rel G]]&lt;5,I9/$F$2,0)</f>
        <v>0.1448766628446449</v>
      </c>
      <c r="M9">
        <f>COUNTIF(Table1[Classification],N9)</f>
        <v>10</v>
      </c>
      <c r="N9" t="s">
        <v>18</v>
      </c>
      <c r="O9">
        <f>SUMIF(Table1[Classification],N9,Table1[weight])</f>
        <v>3.3214397315227469E-2</v>
      </c>
      <c r="P9">
        <f>AVERAGEIF(Table1[Classification],N9,Table1[rel G])</f>
        <v>4.1593423160957173</v>
      </c>
      <c r="Z9">
        <v>-1260.02532964908</v>
      </c>
    </row>
    <row r="10" spans="1:26" x14ac:dyDescent="0.25">
      <c r="A10">
        <v>-1260.0232685472099</v>
      </c>
      <c r="B10">
        <f>Table1[[#This Row],[Energy (hartrees)]]*$C$2</f>
        <v>-790677.20124605973</v>
      </c>
      <c r="C10" s="4">
        <f>Table1[[#This Row],[Energy (kcal)]]-MIN(Table1[Energy (kcal)])</f>
        <v>6.0165874476078898</v>
      </c>
      <c r="D10">
        <v>-1260.0232685472099</v>
      </c>
      <c r="E10">
        <v>5</v>
      </c>
      <c r="F10" t="s">
        <v>18</v>
      </c>
      <c r="H10" s="10">
        <f>Table1[[#This Row],[Rel E]]</f>
        <v>6.0165874476078898</v>
      </c>
      <c r="I10" s="10">
        <f>IF(Table1[[#This Row],[rel G]]&lt;5,EXP(-H10/(D$2*E$2)),0)</f>
        <v>0</v>
      </c>
      <c r="J10" s="10">
        <f>IF(Table1[[#This Row],[rel G]]&lt;5,I10/$F$2,0)</f>
        <v>0</v>
      </c>
      <c r="M10">
        <f>COUNTIF(Table1[Classification],N10)</f>
        <v>9</v>
      </c>
      <c r="N10" t="s">
        <v>21</v>
      </c>
      <c r="O10">
        <f>SUMIF(Table1[Classification],N10,Table1[weight])</f>
        <v>1.856652083613719E-2</v>
      </c>
      <c r="P10">
        <f>AVERAGEIF(Table1[Classification],N10,Table1[rel G])</f>
        <v>4.3835021326732306</v>
      </c>
      <c r="Z10">
        <v>-1260.02642086232</v>
      </c>
    </row>
    <row r="11" spans="1:26" x14ac:dyDescent="0.25">
      <c r="A11">
        <v>-1260.02334018698</v>
      </c>
      <c r="B11">
        <f>Table1[[#This Row],[Energy (hartrees)]]*$C$2</f>
        <v>-790677.24620073184</v>
      </c>
      <c r="C11" s="4">
        <f>Table1[[#This Row],[Energy (kcal)]]-MIN(Table1[Energy (kcal)])</f>
        <v>5.9716327755013481</v>
      </c>
      <c r="D11">
        <v>-1260.02334018698</v>
      </c>
      <c r="E11">
        <v>8</v>
      </c>
      <c r="F11" t="s">
        <v>18</v>
      </c>
      <c r="H11" s="10">
        <f>Table1[[#This Row],[Rel E]]</f>
        <v>5.9716327755013481</v>
      </c>
      <c r="I11" s="10">
        <f>IF(Table1[[#This Row],[rel G]]&lt;5,EXP(-H11/(D$2*E$2)),0)</f>
        <v>0</v>
      </c>
      <c r="J11" s="10">
        <f>IF(Table1[[#This Row],[rel G]]&lt;5,I11/$F$2,0)</f>
        <v>0</v>
      </c>
      <c r="M11">
        <f>COUNTIF(Table1[Classification],N11)</f>
        <v>2</v>
      </c>
      <c r="N11" t="s">
        <v>19</v>
      </c>
      <c r="O11">
        <f>SUMIF(Table1[Classification],N11,Table1[weight])</f>
        <v>7.134595637154317E-4</v>
      </c>
      <c r="P11">
        <f>AVERAGEIF(Table1[Classification],N11,Table1[rel G])</f>
        <v>3.9676868916139938</v>
      </c>
      <c r="Z11">
        <v>-1260.01689277942</v>
      </c>
    </row>
    <row r="12" spans="1:26" x14ac:dyDescent="0.25">
      <c r="A12">
        <v>-1260.02765700645</v>
      </c>
      <c r="B12">
        <f>Table1[[#This Row],[Energy (hartrees)]]*$C$2</f>
        <v>-790679.95504811744</v>
      </c>
      <c r="C12" s="4">
        <f>Table1[[#This Row],[Energy (kcal)]]-MIN(Table1[Energy (kcal)])</f>
        <v>3.2627853899030015</v>
      </c>
      <c r="D12">
        <v>-1260.02765700645</v>
      </c>
      <c r="E12">
        <v>14</v>
      </c>
      <c r="F12" t="s">
        <v>17</v>
      </c>
      <c r="H12" s="10">
        <f>Table1[[#This Row],[Rel E]]</f>
        <v>3.2627853899030015</v>
      </c>
      <c r="I12" s="10">
        <f>IF(Table1[[#This Row],[rel G]]&lt;5,EXP(-H12/(D$2*E$2)),0)</f>
        <v>4.0473257403969391E-3</v>
      </c>
      <c r="J12" s="10">
        <f>IF(Table1[[#This Row],[rel G]]&lt;5,I12/$F$2,0)</f>
        <v>7.4517732155956139E-4</v>
      </c>
      <c r="Z12">
        <v>-1260.0233344199301</v>
      </c>
    </row>
    <row r="13" spans="1:26" x14ac:dyDescent="0.25">
      <c r="A13">
        <v>-1260.03084670114</v>
      </c>
      <c r="B13">
        <f>Table1[[#This Row],[Energy (hartrees)]]*$C$2</f>
        <v>-790681.95661343238</v>
      </c>
      <c r="C13" s="4">
        <f>Table1[[#This Row],[Energy (kcal)]]-MIN(Table1[Energy (kcal)])</f>
        <v>1.2612200749572366</v>
      </c>
      <c r="D13">
        <v>-1260.03084670114</v>
      </c>
      <c r="E13">
        <v>20</v>
      </c>
      <c r="F13" t="s">
        <v>18</v>
      </c>
      <c r="H13" s="10">
        <f>Table1[[#This Row],[Rel E]]</f>
        <v>1.2612200749572366</v>
      </c>
      <c r="I13" s="10">
        <f>IF(Table1[[#This Row],[rel G]]&lt;5,EXP(-H13/(D$2*E$2)),0)</f>
        <v>0.11886607026595626</v>
      </c>
      <c r="J13" s="10">
        <f>IF(Table1[[#This Row],[rel G]]&lt;5,I13/$F$2,0)</f>
        <v>2.188514232521567E-2</v>
      </c>
      <c r="Z13">
        <v>-1260.0267438800799</v>
      </c>
    </row>
    <row r="14" spans="1:26" x14ac:dyDescent="0.25">
      <c r="A14">
        <v>-1260.0317796424099</v>
      </c>
      <c r="B14">
        <f>Table1[[#This Row],[Energy (hartrees)]]*$C$2</f>
        <v>-790682.54204340861</v>
      </c>
      <c r="C14" s="4">
        <f>Table1[[#This Row],[Energy (kcal)]]-MIN(Table1[Energy (kcal)])</f>
        <v>0.67579009872861207</v>
      </c>
      <c r="D14">
        <v>-1260.0317796424099</v>
      </c>
      <c r="E14">
        <v>21</v>
      </c>
      <c r="F14" t="s">
        <v>17</v>
      </c>
      <c r="H14" s="10">
        <f>Table1[[#This Row],[Rel E]]</f>
        <v>0.67579009872861207</v>
      </c>
      <c r="I14" s="10">
        <f>IF(Table1[[#This Row],[rel G]]&lt;5,EXP(-H14/(D$2*E$2)),0)</f>
        <v>0.3194443495674561</v>
      </c>
      <c r="J14" s="10">
        <f>IF(Table1[[#This Row],[rel G]]&lt;5,I14/$F$2,0)</f>
        <v>5.8814807620270089E-2</v>
      </c>
      <c r="O14">
        <f>SUM(O7:O13)</f>
        <v>1.0000000000000002</v>
      </c>
      <c r="Z14">
        <v>-1260.0196300456701</v>
      </c>
    </row>
    <row r="15" spans="1:26" x14ac:dyDescent="0.25">
      <c r="A15">
        <v>-1260.0271342871199</v>
      </c>
      <c r="B15">
        <f>Table1[[#This Row],[Energy (hartrees)]]*$C$2</f>
        <v>-790679.62703651062</v>
      </c>
      <c r="C15" s="4">
        <f>Table1[[#This Row],[Energy (kcal)]]-MIN(Table1[Energy (kcal)])</f>
        <v>3.5907969967229292</v>
      </c>
      <c r="D15">
        <v>-1260.0271342871199</v>
      </c>
      <c r="E15">
        <v>25</v>
      </c>
      <c r="F15" t="s">
        <v>17</v>
      </c>
      <c r="H15" s="10">
        <f>Table1[[#This Row],[Rel E]]</f>
        <v>3.5907969967229292</v>
      </c>
      <c r="I15" s="10">
        <f>IF(Table1[[#This Row],[rel G]]&lt;5,EXP(-H15/(D$2*E$2)),0)</f>
        <v>2.3260229394575678E-3</v>
      </c>
      <c r="J15" s="10">
        <f>IF(Table1[[#This Row],[rel G]]&lt;5,I15/$F$2,0)</f>
        <v>4.2825797948773352E-4</v>
      </c>
      <c r="Z15">
        <v>-1260.02186508768</v>
      </c>
    </row>
    <row r="16" spans="1:26" x14ac:dyDescent="0.25">
      <c r="A16">
        <v>-1260.02630490919</v>
      </c>
      <c r="B16">
        <f>Table1[[#This Row],[Energy (hartrees)]]*$C$2</f>
        <v>-790679.10659356578</v>
      </c>
      <c r="C16" s="4">
        <f>Table1[[#This Row],[Energy (kcal)]]-MIN(Table1[Energy (kcal)])</f>
        <v>4.1112399415578693</v>
      </c>
      <c r="D16">
        <v>-1260.02630490919</v>
      </c>
      <c r="E16">
        <v>27</v>
      </c>
      <c r="F16" t="s">
        <v>17</v>
      </c>
      <c r="H16" s="10">
        <f>Table1[[#This Row],[Rel E]]</f>
        <v>4.1112399415578693</v>
      </c>
      <c r="I16" s="10">
        <f>IF(Table1[[#This Row],[rel G]]&lt;5,EXP(-H16/(D$2*E$2)),0)</f>
        <v>9.6590916153811626E-4</v>
      </c>
      <c r="J16" s="10">
        <f>IF(Table1[[#This Row],[rel G]]&lt;5,I16/$F$2,0)</f>
        <v>1.7783930625614133E-4</v>
      </c>
      <c r="Z16">
        <v>-1260.0241615009299</v>
      </c>
    </row>
    <row r="17" spans="1:26" x14ac:dyDescent="0.25">
      <c r="A17">
        <v>-1260.03008201842</v>
      </c>
      <c r="B17">
        <f>Table1[[#This Row],[Energy (hartrees)]]*$C$2</f>
        <v>-790681.47676737874</v>
      </c>
      <c r="C17" s="4">
        <f>Table1[[#This Row],[Energy (kcal)]]-MIN(Table1[Energy (kcal)])</f>
        <v>1.7410661285975948</v>
      </c>
      <c r="D17">
        <v>-1260.03008201842</v>
      </c>
      <c r="E17">
        <v>29</v>
      </c>
      <c r="F17" t="s">
        <v>17</v>
      </c>
      <c r="H17" s="10">
        <f>Table1[[#This Row],[Rel E]]</f>
        <v>1.7410661285975948</v>
      </c>
      <c r="I17" s="10">
        <f>IF(Table1[[#This Row],[rel G]]&lt;5,EXP(-H17/(D$2*E$2)),0)</f>
        <v>5.2863118003513974E-2</v>
      </c>
      <c r="J17" s="10">
        <f>IF(Table1[[#This Row],[rel G]]&lt;5,I17/$F$2,0)</f>
        <v>9.732944469965539E-3</v>
      </c>
      <c r="O17">
        <f>SUM(O7:O9)</f>
        <v>0.98072001960014754</v>
      </c>
      <c r="Z17">
        <v>-1260.02648803533</v>
      </c>
    </row>
    <row r="18" spans="1:26" x14ac:dyDescent="0.25">
      <c r="A18">
        <v>-1260.02919748261</v>
      </c>
      <c r="B18">
        <f>Table1[[#This Row],[Energy (hartrees)]]*$C$2</f>
        <v>-790680.92171231261</v>
      </c>
      <c r="C18" s="4">
        <f>Table1[[#This Row],[Energy (kcal)]]-MIN(Table1[Energy (kcal)])</f>
        <v>2.2961211947258562</v>
      </c>
      <c r="D18">
        <v>-1260.02919748261</v>
      </c>
      <c r="E18">
        <v>30</v>
      </c>
      <c r="F18" t="s">
        <v>18</v>
      </c>
      <c r="H18" s="10">
        <f>Table1[[#This Row],[Rel E]]</f>
        <v>2.2961211947258562</v>
      </c>
      <c r="I18" s="10">
        <f>IF(Table1[[#This Row],[rel G]]&lt;5,EXP(-H18/(D$2*E$2)),0)</f>
        <v>2.0705777594978686E-2</v>
      </c>
      <c r="J18" s="10">
        <f>IF(Table1[[#This Row],[rel G]]&lt;5,I18/$F$2,0)</f>
        <v>3.8122644132718006E-3</v>
      </c>
      <c r="Z18">
        <v>-1260.0221767632099</v>
      </c>
    </row>
    <row r="19" spans="1:26" x14ac:dyDescent="0.25">
      <c r="A19">
        <v>-1260.02784303867</v>
      </c>
      <c r="B19">
        <f>Table1[[#This Row],[Energy (hartrees)]]*$C$2</f>
        <v>-790680.07178519573</v>
      </c>
      <c r="C19" s="4">
        <f>Table1[[#This Row],[Energy (kcal)]]-MIN(Table1[Energy (kcal)])</f>
        <v>3.1460483116097748</v>
      </c>
      <c r="D19">
        <v>-1260.02784303867</v>
      </c>
      <c r="E19">
        <v>32</v>
      </c>
      <c r="F19" t="s">
        <v>17</v>
      </c>
      <c r="H19" s="10">
        <f>Table1[[#This Row],[Rel E]]</f>
        <v>3.1460483116097748</v>
      </c>
      <c r="I19" s="10">
        <f>IF(Table1[[#This Row],[rel G]]&lt;5,EXP(-H19/(D$2*E$2)),0)</f>
        <v>4.9292373960315161E-3</v>
      </c>
      <c r="J19" s="10">
        <f>IF(Table1[[#This Row],[rel G]]&lt;5,I19/$F$2,0)</f>
        <v>9.0755134518669838E-4</v>
      </c>
      <c r="Z19">
        <v>-1260.0218439801099</v>
      </c>
    </row>
    <row r="20" spans="1:26" x14ac:dyDescent="0.25">
      <c r="A20">
        <v>-1260.0254142015699</v>
      </c>
      <c r="B20">
        <f>Table1[[#This Row],[Energy (hartrees)]]*$C$2</f>
        <v>-790678.54766562709</v>
      </c>
      <c r="C20" s="4">
        <f>Table1[[#This Row],[Energy (kcal)]]-MIN(Table1[Energy (kcal)])</f>
        <v>4.6701678802492097</v>
      </c>
      <c r="D20">
        <v>-1260.0254142015699</v>
      </c>
      <c r="E20">
        <v>35</v>
      </c>
      <c r="F20" t="s">
        <v>18</v>
      </c>
      <c r="H20" s="10">
        <f>Table1[[#This Row],[Rel E]]</f>
        <v>4.6701678802492097</v>
      </c>
      <c r="I20" s="10">
        <f>IF(Table1[[#This Row],[rel G]]&lt;5,EXP(-H20/(D$2*E$2)),0)</f>
        <v>3.7586752374939146E-4</v>
      </c>
      <c r="J20" s="10">
        <f>IF(Table1[[#This Row],[rel G]]&lt;5,I20/$F$2,0)</f>
        <v>6.9203215301698665E-5</v>
      </c>
      <c r="Z20">
        <v>-1260.02578853671</v>
      </c>
    </row>
    <row r="21" spans="1:26" x14ac:dyDescent="0.25">
      <c r="A21">
        <v>-1260.0286761289101</v>
      </c>
      <c r="B21">
        <f>Table1[[#This Row],[Energy (hartrees)]]*$C$2</f>
        <v>-790680.59455765237</v>
      </c>
      <c r="C21" s="4">
        <f>Table1[[#This Row],[Energy (kcal)]]-MIN(Table1[Energy (kcal)])</f>
        <v>2.6232758549740538</v>
      </c>
      <c r="D21">
        <v>-1260.0286761289101</v>
      </c>
      <c r="E21">
        <v>36</v>
      </c>
      <c r="F21" t="s">
        <v>17</v>
      </c>
      <c r="H21" s="10">
        <f>Table1[[#This Row],[Rel E]]</f>
        <v>2.6232758549740538</v>
      </c>
      <c r="I21" s="10">
        <f>IF(Table1[[#This Row],[rel G]]&lt;5,EXP(-H21/(D$2*E$2)),0)</f>
        <v>1.191696980473804E-2</v>
      </c>
      <c r="J21" s="10">
        <f>IF(Table1[[#This Row],[rel G]]&lt;5,I21/$F$2,0)</f>
        <v>2.1941045049983883E-3</v>
      </c>
      <c r="Z21">
        <v>-1260.02662407966</v>
      </c>
    </row>
    <row r="22" spans="1:26" x14ac:dyDescent="0.25">
      <c r="A22">
        <v>-1260.02642496924</v>
      </c>
      <c r="B22">
        <f>Table1[[#This Row],[Energy (hartrees)]]*$C$2</f>
        <v>-790679.18193244783</v>
      </c>
      <c r="C22" s="4">
        <f>Table1[[#This Row],[Energy (kcal)]]-MIN(Table1[Energy (kcal)])</f>
        <v>4.0359010595129803</v>
      </c>
      <c r="D22">
        <v>-1260.02642496924</v>
      </c>
      <c r="E22">
        <v>40</v>
      </c>
      <c r="F22" t="s">
        <v>17</v>
      </c>
      <c r="H22" s="10">
        <f>Table1[[#This Row],[Rel E]]</f>
        <v>4.0359010595129803</v>
      </c>
      <c r="I22" s="10">
        <f>IF(Table1[[#This Row],[rel G]]&lt;5,EXP(-H22/(D$2*E$2)),0)</f>
        <v>1.0969520110075525E-3</v>
      </c>
      <c r="J22" s="10">
        <f>IF(Table1[[#This Row],[rel G]]&lt;5,I22/$F$2,0)</f>
        <v>2.0196638814690861E-4</v>
      </c>
      <c r="V22" t="s">
        <v>65</v>
      </c>
      <c r="W22" t="s">
        <v>66</v>
      </c>
      <c r="Z22">
        <v>-1260.0225180753</v>
      </c>
    </row>
    <row r="23" spans="1:26" x14ac:dyDescent="0.25">
      <c r="A23">
        <v>-1260.02293729302</v>
      </c>
      <c r="B23">
        <f>Table1[[#This Row],[Energy (hartrees)]]*$C$2</f>
        <v>-790676.99338074296</v>
      </c>
      <c r="C23" s="4">
        <f>Table1[[#This Row],[Energy (kcal)]]-MIN(Table1[Energy (kcal)])</f>
        <v>6.2244527643779293</v>
      </c>
      <c r="D23">
        <v>-1260.02293729302</v>
      </c>
      <c r="E23">
        <v>42</v>
      </c>
      <c r="F23" t="s">
        <v>18</v>
      </c>
      <c r="H23" s="10">
        <f>Table1[[#This Row],[Rel E]]</f>
        <v>6.2244527643779293</v>
      </c>
      <c r="I23" s="10">
        <f>IF(Table1[[#This Row],[rel G]]&lt;5,EXP(-H23/(D$2*E$2)),0)</f>
        <v>0</v>
      </c>
      <c r="J23" s="10">
        <f>IF(Table1[[#This Row],[rel G]]&lt;5,I23/$F$2,0)</f>
        <v>0</v>
      </c>
      <c r="V23">
        <v>1</v>
      </c>
      <c r="W23">
        <v>-790678.89914107695</v>
      </c>
      <c r="X23">
        <v>1</v>
      </c>
      <c r="Z23">
        <v>-1260.0261358057401</v>
      </c>
    </row>
    <row r="24" spans="1:26" x14ac:dyDescent="0.25">
      <c r="A24">
        <v>-1260.0287738653001</v>
      </c>
      <c r="B24">
        <f>Table1[[#This Row],[Energy (hartrees)]]*$C$2</f>
        <v>-790680.65588821447</v>
      </c>
      <c r="C24" s="4">
        <f>Table1[[#This Row],[Energy (kcal)]]-MIN(Table1[Energy (kcal)])</f>
        <v>2.5619452928658575</v>
      </c>
      <c r="D24">
        <v>-1260.0287738653001</v>
      </c>
      <c r="E24">
        <v>43</v>
      </c>
      <c r="F24" t="s">
        <v>21</v>
      </c>
      <c r="H24" s="10">
        <f>Table1[[#This Row],[Rel E]]</f>
        <v>2.5619452928658575</v>
      </c>
      <c r="I24" s="10">
        <f>IF(Table1[[#This Row],[rel G]]&lt;5,EXP(-H24/(D$2*E$2)),0)</f>
        <v>1.321733471365825E-2</v>
      </c>
      <c r="J24" s="10">
        <f>IF(Table1[[#This Row],[rel G]]&lt;5,I24/$F$2,0)</f>
        <v>2.4335224570074033E-3</v>
      </c>
      <c r="V24">
        <v>3</v>
      </c>
      <c r="W24">
        <v>-790680.15349804505</v>
      </c>
      <c r="X24">
        <v>4</v>
      </c>
      <c r="Z24">
        <v>-1260.0236023153</v>
      </c>
    </row>
    <row r="25" spans="1:26" x14ac:dyDescent="0.25">
      <c r="A25">
        <v>-1260.0317468631499</v>
      </c>
      <c r="B25">
        <f>Table1[[#This Row],[Energy (hartrees)]]*$C$2</f>
        <v>-790682.52147409518</v>
      </c>
      <c r="C25" s="4">
        <f>Table1[[#This Row],[Energy (kcal)]]-MIN(Table1[Energy (kcal)])</f>
        <v>0.69635941216256469</v>
      </c>
      <c r="D25">
        <v>-1260.0317468631499</v>
      </c>
      <c r="E25">
        <v>44</v>
      </c>
      <c r="F25" t="s">
        <v>17</v>
      </c>
      <c r="H25" s="10">
        <f>Table1[[#This Row],[Rel E]]</f>
        <v>0.69635941216256469</v>
      </c>
      <c r="I25" s="10">
        <f>IF(Table1[[#This Row],[rel G]]&lt;5,EXP(-H25/(D$2*E$2)),0)</f>
        <v>0.30853914719871628</v>
      </c>
      <c r="J25" s="10">
        <f>IF(Table1[[#This Row],[rel G]]&lt;5,I25/$F$2,0)</f>
        <v>5.680698566240476E-2</v>
      </c>
      <c r="V25">
        <v>6</v>
      </c>
      <c r="W25">
        <v>-790678.842351428</v>
      </c>
      <c r="X25">
        <v>9</v>
      </c>
    </row>
    <row r="26" spans="1:26" x14ac:dyDescent="0.25">
      <c r="A26">
        <v>-1260.0244942617901</v>
      </c>
      <c r="B26">
        <f>Table1[[#This Row],[Energy (hartrees)]]*$C$2</f>
        <v>-790677.9703942159</v>
      </c>
      <c r="C26" s="4">
        <f>Table1[[#This Row],[Energy (kcal)]]-MIN(Table1[Energy (kcal)])</f>
        <v>5.2474392914446071</v>
      </c>
      <c r="D26">
        <v>-1260.0244942617901</v>
      </c>
      <c r="E26">
        <v>47</v>
      </c>
      <c r="F26" t="s">
        <v>18</v>
      </c>
      <c r="H26" s="10">
        <f>Table1[[#This Row],[Rel E]]</f>
        <v>5.2474392914446071</v>
      </c>
      <c r="I26" s="10">
        <f>IF(Table1[[#This Row],[rel G]]&lt;5,EXP(-H26/(D$2*E$2)),0)</f>
        <v>0</v>
      </c>
      <c r="J26" s="10">
        <f>IF(Table1[[#This Row],[rel G]]&lt;5,I26/$F$2,0)</f>
        <v>0</v>
      </c>
      <c r="V26">
        <v>7</v>
      </c>
      <c r="W26">
        <v>-790677.34666576295</v>
      </c>
      <c r="X26">
        <v>14</v>
      </c>
    </row>
    <row r="27" spans="1:26" x14ac:dyDescent="0.25">
      <c r="A27">
        <v>-1260.02253185931</v>
      </c>
      <c r="B27">
        <f>Table1[[#This Row],[Energy (hartrees)]]*$C$2</f>
        <v>-790676.73896703555</v>
      </c>
      <c r="C27" s="4">
        <f>Table1[[#This Row],[Energy (kcal)]]-MIN(Table1[Energy (kcal)])</f>
        <v>6.4788664717925712</v>
      </c>
      <c r="D27">
        <v>-1260.02253185931</v>
      </c>
      <c r="E27">
        <v>51</v>
      </c>
      <c r="F27" t="s">
        <v>101</v>
      </c>
      <c r="H27" s="10">
        <f>Table1[[#This Row],[Rel E]]</f>
        <v>6.4788664717925712</v>
      </c>
      <c r="I27" s="10">
        <f>IF(Table1[[#This Row],[rel G]]&lt;5,EXP(-H27/(D$2*E$2)),0)</f>
        <v>0</v>
      </c>
      <c r="J27" s="10">
        <f>IF(Table1[[#This Row],[rel G]]&lt;5,I27/$F$2,0)</f>
        <v>0</v>
      </c>
      <c r="V27">
        <v>8</v>
      </c>
      <c r="W27">
        <v>-790679.07558346202</v>
      </c>
      <c r="X27">
        <v>20</v>
      </c>
    </row>
    <row r="28" spans="1:26" x14ac:dyDescent="0.25">
      <c r="A28">
        <v>-1260.0320125681801</v>
      </c>
      <c r="B28">
        <f>Table1[[#This Row],[Energy (hartrees)]]*$C$2</f>
        <v>-790682.6882066587</v>
      </c>
      <c r="C28" s="4">
        <f>Table1[[#This Row],[Energy (kcal)]]-MIN(Table1[Energy (kcal)])</f>
        <v>0.529626848641783</v>
      </c>
      <c r="D28">
        <v>-1260.0320125681801</v>
      </c>
      <c r="E28">
        <v>52</v>
      </c>
      <c r="F28" t="s">
        <v>17</v>
      </c>
      <c r="H28" s="10">
        <f>Table1[[#This Row],[Rel E]]</f>
        <v>0.529626848641783</v>
      </c>
      <c r="I28" s="10">
        <f>IF(Table1[[#This Row],[rel G]]&lt;5,EXP(-H28/(D$2*E$2)),0)</f>
        <v>0.40887173025964729</v>
      </c>
      <c r="J28" s="10">
        <f>IF(Table1[[#This Row],[rel G]]&lt;5,I28/$F$2,0)</f>
        <v>7.5279816935719612E-2</v>
      </c>
      <c r="V28">
        <v>9</v>
      </c>
      <c r="W28">
        <v>-790680.00378859497</v>
      </c>
      <c r="X28">
        <v>21</v>
      </c>
    </row>
    <row r="29" spans="1:26" x14ac:dyDescent="0.25">
      <c r="A29">
        <v>-1260.0325957105499</v>
      </c>
      <c r="B29">
        <f>Table1[[#This Row],[Energy (hartrees)]]*$C$2</f>
        <v>-790683.05413432722</v>
      </c>
      <c r="C29" s="4">
        <f>Table1[[#This Row],[Energy (kcal)]]-MIN(Table1[Energy (kcal)])</f>
        <v>0.16369918012060225</v>
      </c>
      <c r="D29">
        <v>-1260.0325957105499</v>
      </c>
      <c r="E29">
        <v>54</v>
      </c>
      <c r="F29" t="s">
        <v>17</v>
      </c>
      <c r="H29" s="10">
        <f>Table1[[#This Row],[Rel E]]</f>
        <v>0.16369918012060225</v>
      </c>
      <c r="I29" s="10">
        <f>IF(Table1[[#This Row],[rel G]]&lt;5,EXP(-H29/(D$2*E$2)),0)</f>
        <v>0.75848637851546874</v>
      </c>
      <c r="J29" s="10">
        <f>IF(Table1[[#This Row],[rel G]]&lt;5,I29/$F$2,0)</f>
        <v>0.13964945849061713</v>
      </c>
      <c r="V29">
        <v>10</v>
      </c>
      <c r="W29">
        <v>-790676.97722792695</v>
      </c>
      <c r="X29">
        <v>25</v>
      </c>
    </row>
    <row r="30" spans="1:26" x14ac:dyDescent="0.25">
      <c r="A30">
        <v>-1260.0281604532499</v>
      </c>
      <c r="B30">
        <f>Table1[[#This Row],[Energy (hartrees)]]*$C$2</f>
        <v>-790680.2709660189</v>
      </c>
      <c r="C30" s="4">
        <f>Table1[[#This Row],[Energy (kcal)]]-MIN(Table1[Energy (kcal)])</f>
        <v>2.9468674884410575</v>
      </c>
      <c r="D30">
        <v>-1260.0281604532499</v>
      </c>
      <c r="E30">
        <v>55</v>
      </c>
      <c r="F30" t="s">
        <v>21</v>
      </c>
      <c r="H30" s="10">
        <f>Table1[[#This Row],[Rel E]]</f>
        <v>2.9468674884410575</v>
      </c>
      <c r="I30" s="10">
        <f>IF(Table1[[#This Row],[rel G]]&lt;5,EXP(-H30/(D$2*E$2)),0)</f>
        <v>6.9000645431546159E-3</v>
      </c>
      <c r="J30" s="10">
        <f>IF(Table1[[#This Row],[rel G]]&lt;5,I30/$F$2,0)</f>
        <v>1.2704121053403966E-3</v>
      </c>
      <c r="V30">
        <v>11</v>
      </c>
      <c r="W30">
        <v>-790676.37638384802</v>
      </c>
      <c r="X30">
        <v>27</v>
      </c>
    </row>
    <row r="31" spans="1:26" x14ac:dyDescent="0.25">
      <c r="A31">
        <v>-1260.02639942723</v>
      </c>
      <c r="B31">
        <f>Table1[[#This Row],[Energy (hartrees)]]*$C$2</f>
        <v>-790679.16590458108</v>
      </c>
      <c r="C31" s="4">
        <f>Table1[[#This Row],[Energy (kcal)]]-MIN(Table1[Energy (kcal)])</f>
        <v>4.0519289262592793</v>
      </c>
      <c r="D31">
        <v>-1260.02639942723</v>
      </c>
      <c r="E31">
        <v>57</v>
      </c>
      <c r="F31" t="s">
        <v>17</v>
      </c>
      <c r="H31" s="10">
        <f>Table1[[#This Row],[Rel E]]</f>
        <v>4.0519289262592793</v>
      </c>
      <c r="I31" s="10">
        <f>IF(Table1[[#This Row],[rel G]]&lt;5,EXP(-H31/(D$2*E$2)),0)</f>
        <v>1.0676607019755135E-3</v>
      </c>
      <c r="J31" s="10">
        <f>IF(Table1[[#This Row],[rel G]]&lt;5,I31/$F$2,0)</f>
        <v>1.965733902491591E-4</v>
      </c>
      <c r="V31">
        <v>12</v>
      </c>
      <c r="W31">
        <v>-790678.84117616597</v>
      </c>
      <c r="X31">
        <v>29</v>
      </c>
    </row>
    <row r="32" spans="1:26" x14ac:dyDescent="0.25">
      <c r="A32">
        <v>-1260.0271852748499</v>
      </c>
      <c r="B32">
        <f>Table1[[#This Row],[Energy (hartrees)]]*$C$2</f>
        <v>-790679.65903182107</v>
      </c>
      <c r="C32" s="4">
        <f>Table1[[#This Row],[Energy (kcal)]]-MIN(Table1[Energy (kcal)])</f>
        <v>3.5588016862748191</v>
      </c>
      <c r="D32">
        <v>-1260.0271852748499</v>
      </c>
      <c r="E32">
        <v>58</v>
      </c>
      <c r="F32" t="s">
        <v>17</v>
      </c>
      <c r="H32" s="10">
        <f>Table1[[#This Row],[Rel E]]</f>
        <v>3.5588016862748191</v>
      </c>
      <c r="I32" s="10">
        <f>IF(Table1[[#This Row],[rel G]]&lt;5,EXP(-H32/(D$2*E$2)),0)</f>
        <v>2.4551522158637504E-3</v>
      </c>
      <c r="J32" s="10">
        <f>IF(Table1[[#This Row],[rel G]]&lt;5,I32/$F$2,0)</f>
        <v>4.5203274200977513E-4</v>
      </c>
      <c r="V32">
        <v>13</v>
      </c>
      <c r="W32">
        <v>-790678.78000602301</v>
      </c>
      <c r="X32">
        <v>30</v>
      </c>
    </row>
    <row r="33" spans="1:24" x14ac:dyDescent="0.25">
      <c r="A33">
        <v>-1260.02939588449</v>
      </c>
      <c r="B33">
        <f>Table1[[#This Row],[Energy (hartrees)]]*$C$2</f>
        <v>-790681.04621147632</v>
      </c>
      <c r="C33" s="4">
        <f>Table1[[#This Row],[Energy (kcal)]]-MIN(Table1[Energy (kcal)])</f>
        <v>2.1716220310190693</v>
      </c>
      <c r="D33">
        <v>-1260.02939588449</v>
      </c>
      <c r="E33">
        <v>60</v>
      </c>
      <c r="F33" t="s">
        <v>21</v>
      </c>
      <c r="H33" s="10">
        <f>Table1[[#This Row],[Rel E]]</f>
        <v>2.1716220310190693</v>
      </c>
      <c r="I33" s="10">
        <f>IF(Table1[[#This Row],[rel G]]&lt;5,EXP(-H33/(D$2*E$2)),0)</f>
        <v>2.555027671172198E-2</v>
      </c>
      <c r="J33" s="10">
        <f>IF(Table1[[#This Row],[rel G]]&lt;5,I33/$F$2,0)</f>
        <v>4.7042140876161192E-3</v>
      </c>
      <c r="V33">
        <v>14</v>
      </c>
      <c r="W33">
        <v>-790677.20662513503</v>
      </c>
      <c r="X33">
        <v>32</v>
      </c>
    </row>
    <row r="34" spans="1:24" x14ac:dyDescent="0.25">
      <c r="A34">
        <v>-1260.0295686814</v>
      </c>
      <c r="B34">
        <f>Table1[[#This Row],[Energy (hartrees)]]*$C$2</f>
        <v>-790681.1546432653</v>
      </c>
      <c r="C34" s="4">
        <f>Table1[[#This Row],[Energy (kcal)]]-MIN(Table1[Energy (kcal)])</f>
        <v>2.063190242042765</v>
      </c>
      <c r="D34">
        <v>-1260.0295686814</v>
      </c>
      <c r="E34">
        <v>65</v>
      </c>
      <c r="F34" t="s">
        <v>17</v>
      </c>
      <c r="H34" s="10">
        <f>Table1[[#This Row],[Rel E]]</f>
        <v>2.063190242042765</v>
      </c>
      <c r="I34" s="10">
        <f>IF(Table1[[#This Row],[rel G]]&lt;5,EXP(-H34/(D$2*E$2)),0)</f>
        <v>3.0684307479592575E-2</v>
      </c>
      <c r="J34" s="10">
        <f>IF(Table1[[#This Row],[rel G]]&lt;5,I34/$F$2,0)</f>
        <v>5.6494711639667322E-3</v>
      </c>
      <c r="V34">
        <v>15</v>
      </c>
      <c r="W34">
        <v>-790675.92308782204</v>
      </c>
      <c r="X34">
        <v>35</v>
      </c>
    </row>
    <row r="35" spans="1:24" x14ac:dyDescent="0.25">
      <c r="A35">
        <v>-1260.0264421060699</v>
      </c>
      <c r="B35">
        <f>Table1[[#This Row],[Energy (hartrees)]]*$C$2</f>
        <v>-790679.19268597988</v>
      </c>
      <c r="C35" s="4">
        <f>Table1[[#This Row],[Energy (kcal)]]-MIN(Table1[Energy (kcal)])</f>
        <v>4.0251475274562836</v>
      </c>
      <c r="D35">
        <v>-1260.0264421060699</v>
      </c>
      <c r="E35">
        <v>69</v>
      </c>
      <c r="F35" t="s">
        <v>18</v>
      </c>
      <c r="H35" s="10">
        <f>Table1[[#This Row],[Rel E]]</f>
        <v>4.0251475274562836</v>
      </c>
      <c r="I35" s="10">
        <f>IF(Table1[[#This Row],[rel G]]&lt;5,EXP(-H35/(D$2*E$2)),0)</f>
        <v>1.117053454819399E-3</v>
      </c>
      <c r="J35" s="10">
        <f>IF(Table1[[#This Row],[rel G]]&lt;5,I35/$F$2,0)</f>
        <v>2.0566738505696278E-4</v>
      </c>
      <c r="V35">
        <v>16</v>
      </c>
      <c r="W35">
        <v>-790677.93098481605</v>
      </c>
      <c r="X35">
        <v>36</v>
      </c>
    </row>
    <row r="36" spans="1:24" x14ac:dyDescent="0.25">
      <c r="A36">
        <v>-1260.03173179128</v>
      </c>
      <c r="B36">
        <f>Table1[[#This Row],[Energy (hartrees)]]*$C$2</f>
        <v>-790682.5120163461</v>
      </c>
      <c r="C36" s="4">
        <f>Table1[[#This Row],[Energy (kcal)]]-MIN(Table1[Energy (kcal)])</f>
        <v>0.70581716124434024</v>
      </c>
      <c r="D36">
        <v>-1260.03173179128</v>
      </c>
      <c r="E36">
        <v>70</v>
      </c>
      <c r="F36" t="s">
        <v>17</v>
      </c>
      <c r="H36" s="10">
        <f>Table1[[#This Row],[Rel E]]</f>
        <v>0.70581716124434024</v>
      </c>
      <c r="I36" s="10">
        <f>IF(Table1[[#This Row],[rel G]]&lt;5,EXP(-H36/(D$2*E$2)),0)</f>
        <v>0.30365066522443773</v>
      </c>
      <c r="J36" s="10">
        <f>IF(Table1[[#This Row],[rel G]]&lt;5,I36/$F$2,0)</f>
        <v>5.5906938041397652E-2</v>
      </c>
      <c r="V36">
        <v>17</v>
      </c>
      <c r="W36">
        <v>-790676.36348976195</v>
      </c>
      <c r="X36">
        <v>40</v>
      </c>
    </row>
    <row r="37" spans="1:24" x14ac:dyDescent="0.25">
      <c r="A37">
        <v>-1260.02750188241</v>
      </c>
      <c r="B37">
        <f>Table1[[#This Row],[Energy (hartrees)]]*$C$2</f>
        <v>-790679.85770623107</v>
      </c>
      <c r="C37" s="4">
        <f>Table1[[#This Row],[Energy (kcal)]]-MIN(Table1[Energy (kcal)])</f>
        <v>3.3601272762753069</v>
      </c>
      <c r="D37">
        <v>-1260.02750188241</v>
      </c>
      <c r="E37">
        <v>86</v>
      </c>
      <c r="F37" t="s">
        <v>19</v>
      </c>
      <c r="H37" s="10">
        <f>Table1[[#This Row],[Rel E]]</f>
        <v>3.3601272762753069</v>
      </c>
      <c r="I37" s="10">
        <f>IF(Table1[[#This Row],[rel G]]&lt;5,EXP(-H37/(D$2*E$2)),0)</f>
        <v>3.4338431424299565E-3</v>
      </c>
      <c r="J37" s="10">
        <f>IF(Table1[[#This Row],[rel G]]&lt;5,I37/$F$2,0)</f>
        <v>6.3222537538593754E-4</v>
      </c>
      <c r="V37">
        <v>20</v>
      </c>
      <c r="W37">
        <v>-790679.98919482797</v>
      </c>
      <c r="X37">
        <v>44</v>
      </c>
    </row>
    <row r="38" spans="1:24" x14ac:dyDescent="0.25">
      <c r="A38">
        <v>-1260.0239431981399</v>
      </c>
      <c r="B38">
        <f>Table1[[#This Row],[Energy (hartrees)]]*$C$2</f>
        <v>-790677.6245962648</v>
      </c>
      <c r="C38" s="4">
        <f>Table1[[#This Row],[Energy (kcal)]]-MIN(Table1[Energy (kcal)])</f>
        <v>5.5932372425450012</v>
      </c>
      <c r="D38">
        <v>-1260.0239431981399</v>
      </c>
      <c r="E38">
        <v>89</v>
      </c>
      <c r="F38" t="s">
        <v>17</v>
      </c>
      <c r="H38" s="10">
        <f>Table1[[#This Row],[Rel E]]</f>
        <v>5.5932372425450012</v>
      </c>
      <c r="I38" s="10">
        <f>IF(Table1[[#This Row],[rel G]]&lt;5,EXP(-H38/(D$2*E$2)),0)</f>
        <v>0</v>
      </c>
      <c r="J38" s="10">
        <f>IF(Table1[[#This Row],[rel G]]&lt;5,I38/$F$2,0)</f>
        <v>0</v>
      </c>
      <c r="V38">
        <v>21</v>
      </c>
      <c r="W38">
        <v>-790675.65115440404</v>
      </c>
      <c r="X38">
        <v>47</v>
      </c>
    </row>
    <row r="39" spans="1:24" x14ac:dyDescent="0.25">
      <c r="A39">
        <v>-1260.0231813182399</v>
      </c>
      <c r="B39">
        <f>Table1[[#This Row],[Energy (hartrees)]]*$C$2</f>
        <v>-790677.14650900871</v>
      </c>
      <c r="C39" s="4">
        <f>Table1[[#This Row],[Energy (kcal)]]-MIN(Table1[Energy (kcal)])</f>
        <v>6.0713244986254722</v>
      </c>
      <c r="D39">
        <v>-1260.0231813182399</v>
      </c>
      <c r="E39">
        <v>90</v>
      </c>
      <c r="F39" t="s">
        <v>17</v>
      </c>
      <c r="H39" s="10">
        <f>Table1[[#This Row],[Rel E]]</f>
        <v>6.0713244986254722</v>
      </c>
      <c r="I39" s="10">
        <f>IF(Table1[[#This Row],[rel G]]&lt;5,EXP(-H39/(D$2*E$2)),0)</f>
        <v>0</v>
      </c>
      <c r="J39" s="10">
        <f>IF(Table1[[#This Row],[rel G]]&lt;5,I39/$F$2,0)</f>
        <v>0</v>
      </c>
      <c r="N39">
        <v>1</v>
      </c>
      <c r="O39">
        <v>-1260.02977185797</v>
      </c>
      <c r="P39" t="s">
        <v>100</v>
      </c>
      <c r="Q39" s="11" t="s">
        <v>18</v>
      </c>
      <c r="V39">
        <v>23</v>
      </c>
      <c r="W39">
        <v>-790679.78221375297</v>
      </c>
      <c r="X39">
        <v>52</v>
      </c>
    </row>
    <row r="40" spans="1:24" x14ac:dyDescent="0.25">
      <c r="A40">
        <v>-1260.0328565815801</v>
      </c>
      <c r="B40">
        <f>Table1[[#This Row],[Energy (hartrees)]]*$C$2</f>
        <v>-790683.21783350734</v>
      </c>
      <c r="C40" s="4">
        <f>Table1[[#This Row],[Energy (kcal)]]-MIN(Table1[Energy (kcal)])</f>
        <v>0</v>
      </c>
      <c r="D40">
        <v>-1260.0328565815801</v>
      </c>
      <c r="E40">
        <v>92</v>
      </c>
      <c r="F40" t="s">
        <v>20</v>
      </c>
      <c r="H40" s="10">
        <f>Table1[[#This Row],[Rel E]]</f>
        <v>0</v>
      </c>
      <c r="I40" s="10">
        <f>IF(Table1[[#This Row],[rel G]]&lt;5,EXP(-H40/(D$2*E$2)),0)</f>
        <v>1</v>
      </c>
      <c r="J40" s="10">
        <f>IF(Table1[[#This Row],[rel G]]&lt;5,I40/$F$2,0)</f>
        <v>0.18411597419052278</v>
      </c>
      <c r="N40">
        <v>2</v>
      </c>
      <c r="O40">
        <v>-1260.0313430413</v>
      </c>
      <c r="P40" t="s">
        <v>100</v>
      </c>
      <c r="Q40" s="11" t="s">
        <v>17</v>
      </c>
      <c r="V40">
        <v>24</v>
      </c>
      <c r="W40">
        <v>-790680.16567596199</v>
      </c>
      <c r="X40">
        <v>54</v>
      </c>
    </row>
    <row r="41" spans="1:24" x14ac:dyDescent="0.25">
      <c r="A41">
        <v>-1260.0278146201199</v>
      </c>
      <c r="B41">
        <f>Table1[[#This Row],[Energy (hartrees)]]*$C$2</f>
        <v>-790680.05395227147</v>
      </c>
      <c r="C41" s="4">
        <f>Table1[[#This Row],[Energy (kcal)]]-MIN(Table1[Energy (kcal)])</f>
        <v>3.1638812358723953</v>
      </c>
      <c r="D41">
        <v>-1260.0278146201199</v>
      </c>
      <c r="E41">
        <v>93</v>
      </c>
      <c r="F41" t="s">
        <v>21</v>
      </c>
      <c r="H41" s="10">
        <f>Table1[[#This Row],[Rel E]]</f>
        <v>3.1638812358723953</v>
      </c>
      <c r="I41" s="10">
        <f>IF(Table1[[#This Row],[rel G]]&lt;5,EXP(-H41/(D$2*E$2)),0)</f>
        <v>4.7830132834920103E-3</v>
      </c>
      <c r="J41" s="10">
        <f>IF(Table1[[#This Row],[rel G]]&lt;5,I41/$F$2,0)</f>
        <v>8.8062915025634259E-4</v>
      </c>
      <c r="N41">
        <v>4</v>
      </c>
      <c r="O41">
        <v>-1260.0326303895199</v>
      </c>
      <c r="P41" t="s">
        <v>100</v>
      </c>
      <c r="Q41" s="11" t="s">
        <v>18</v>
      </c>
      <c r="V41">
        <v>25</v>
      </c>
      <c r="W41">
        <v>-790677.48241754505</v>
      </c>
      <c r="X41">
        <v>55</v>
      </c>
    </row>
    <row r="42" spans="1:24" x14ac:dyDescent="0.25">
      <c r="A42">
        <v>-1260.02656989405</v>
      </c>
      <c r="B42">
        <f>Table1[[#This Row],[Energy (hartrees)]]*$C$2</f>
        <v>-790679.27287421527</v>
      </c>
      <c r="C42" s="4">
        <f>Table1[[#This Row],[Energy (kcal)]]-MIN(Table1[Energy (kcal)])</f>
        <v>3.9449592920718715</v>
      </c>
      <c r="D42">
        <v>-1260.02656989405</v>
      </c>
      <c r="E42">
        <v>95</v>
      </c>
      <c r="F42" t="s">
        <v>18</v>
      </c>
      <c r="H42" s="10">
        <f>Table1[[#This Row],[Rel E]]</f>
        <v>3.9449592920718715</v>
      </c>
      <c r="I42" s="10">
        <f>IF(Table1[[#This Row],[rel G]]&lt;5,EXP(-H42/(D$2*E$2)),0)</f>
        <v>1.279032776995815E-3</v>
      </c>
      <c r="J42" s="10">
        <f>IF(Table1[[#This Row],[rel G]]&lt;5,I42/$F$2,0)</f>
        <v>2.3549036575819417E-4</v>
      </c>
      <c r="N42">
        <v>5</v>
      </c>
      <c r="O42">
        <v>-1260.0232685472099</v>
      </c>
      <c r="P42" t="s">
        <v>100</v>
      </c>
      <c r="Q42" s="11" t="s">
        <v>17</v>
      </c>
      <c r="V42">
        <v>26</v>
      </c>
      <c r="W42">
        <v>-790676.40038292098</v>
      </c>
      <c r="X42">
        <v>57</v>
      </c>
    </row>
    <row r="43" spans="1:24" x14ac:dyDescent="0.25">
      <c r="A43">
        <v>-1260.0315124172801</v>
      </c>
      <c r="B43">
        <f>Table1[[#This Row],[Energy (hartrees)]]*$C$2</f>
        <v>-790682.3743569674</v>
      </c>
      <c r="C43" s="4">
        <f>Table1[[#This Row],[Energy (kcal)]]-MIN(Table1[Energy (kcal)])</f>
        <v>0.84347653994336724</v>
      </c>
      <c r="D43">
        <v>-1260.0315124172801</v>
      </c>
      <c r="E43">
        <v>100</v>
      </c>
      <c r="F43" t="s">
        <v>20</v>
      </c>
      <c r="H43" s="10">
        <f>Table1[[#This Row],[Rel E]]</f>
        <v>0.84347653994336724</v>
      </c>
      <c r="I43" s="10">
        <f>IF(Table1[[#This Row],[rel G]]&lt;5,EXP(-H43/(D$2*E$2)),0)</f>
        <v>0.24066828054384684</v>
      </c>
      <c r="J43" s="10">
        <f>IF(Table1[[#This Row],[rel G]]&lt;5,I43/$F$2,0)</f>
        <v>4.4310874929088404E-2</v>
      </c>
      <c r="N43">
        <v>8</v>
      </c>
      <c r="O43">
        <v>-1260.02334018698</v>
      </c>
      <c r="P43" t="s">
        <v>100</v>
      </c>
      <c r="Q43" s="11" t="s">
        <v>18</v>
      </c>
      <c r="V43">
        <v>27</v>
      </c>
      <c r="W43">
        <v>-790676.39810489898</v>
      </c>
      <c r="X43">
        <v>58</v>
      </c>
    </row>
    <row r="44" spans="1:24" x14ac:dyDescent="0.25">
      <c r="A44">
        <v>-1260.0247539202401</v>
      </c>
      <c r="B44">
        <f>Table1[[#This Row],[Energy (hartrees)]]*$C$2</f>
        <v>-790678.13333248987</v>
      </c>
      <c r="C44" s="4">
        <f>Table1[[#This Row],[Energy (kcal)]]-MIN(Table1[Energy (kcal)])</f>
        <v>5.0845010174671188</v>
      </c>
      <c r="D44">
        <v>-1260.0247539202401</v>
      </c>
      <c r="E44">
        <v>112</v>
      </c>
      <c r="F44" t="s">
        <v>17</v>
      </c>
      <c r="H44" s="10">
        <f>Table1[[#This Row],[Rel E]]</f>
        <v>5.0845010174671188</v>
      </c>
      <c r="I44" s="10">
        <f>IF(Table1[[#This Row],[rel G]]&lt;5,EXP(-H44/(D$2*E$2)),0)</f>
        <v>0</v>
      </c>
      <c r="J44" s="10">
        <f>IF(Table1[[#This Row],[rel G]]&lt;5,I44/$F$2,0)</f>
        <v>0</v>
      </c>
      <c r="N44">
        <v>14</v>
      </c>
      <c r="O44">
        <v>-1260.02765700645</v>
      </c>
      <c r="P44" t="s">
        <v>100</v>
      </c>
      <c r="Q44" s="11" t="s">
        <v>17</v>
      </c>
      <c r="V44">
        <v>28</v>
      </c>
      <c r="W44">
        <v>-790678.26313489699</v>
      </c>
      <c r="X44">
        <v>60</v>
      </c>
    </row>
    <row r="45" spans="1:24" x14ac:dyDescent="0.25">
      <c r="A45">
        <v>-1260.0230818043799</v>
      </c>
      <c r="B45">
        <f>Table1[[#This Row],[Energy (hartrees)]]*$C$2</f>
        <v>-790677.0840630664</v>
      </c>
      <c r="C45" s="4">
        <f>Table1[[#This Row],[Energy (kcal)]]-MIN(Table1[Energy (kcal)])</f>
        <v>6.1337704409379512</v>
      </c>
      <c r="D45">
        <v>-1260.0230818043799</v>
      </c>
      <c r="E45">
        <v>115</v>
      </c>
      <c r="F45" t="s">
        <v>21</v>
      </c>
      <c r="H45" s="10">
        <f>Table1[[#This Row],[Rel E]]</f>
        <v>6.1337704409379512</v>
      </c>
      <c r="I45" s="10">
        <f>IF(Table1[[#This Row],[rel G]]&lt;5,EXP(-H45/(D$2*E$2)),0)</f>
        <v>0</v>
      </c>
      <c r="J45" s="10">
        <f>IF(Table1[[#This Row],[rel G]]&lt;5,I45/$F$2,0)</f>
        <v>0</v>
      </c>
      <c r="N45">
        <v>20</v>
      </c>
      <c r="O45">
        <v>-1260.03084670114</v>
      </c>
      <c r="P45" t="s">
        <v>100</v>
      </c>
      <c r="Q45" s="11" t="s">
        <v>17</v>
      </c>
      <c r="V45">
        <v>31</v>
      </c>
      <c r="W45">
        <v>-790679.98301528196</v>
      </c>
      <c r="X45">
        <v>70</v>
      </c>
    </row>
    <row r="46" spans="1:24" x14ac:dyDescent="0.25">
      <c r="A46">
        <v>-1260.02182783792</v>
      </c>
      <c r="B46">
        <f>Table1[[#This Row],[Energy (hartrees)]]*$C$2</f>
        <v>-790676.29718657315</v>
      </c>
      <c r="C46" s="4">
        <f>Table1[[#This Row],[Energy (kcal)]]-MIN(Table1[Energy (kcal)])</f>
        <v>6.9206469341879711</v>
      </c>
      <c r="D46">
        <v>-1260.02182783792</v>
      </c>
      <c r="E46">
        <v>117</v>
      </c>
      <c r="F46" t="s">
        <v>21</v>
      </c>
      <c r="H46" s="10">
        <f>Table1[[#This Row],[Rel E]]</f>
        <v>6.9206469341879711</v>
      </c>
      <c r="I46" s="10">
        <f>IF(Table1[[#This Row],[rel G]]&lt;5,EXP(-H46/(D$2*E$2)),0)</f>
        <v>0</v>
      </c>
      <c r="J46" s="10">
        <f>IF(Table1[[#This Row],[rel G]]&lt;5,I46/$F$2,0)</f>
        <v>0</v>
      </c>
      <c r="N46">
        <v>21</v>
      </c>
      <c r="O46">
        <v>-1260.0317796424099</v>
      </c>
      <c r="P46" t="s">
        <v>100</v>
      </c>
      <c r="Q46" s="11" t="s">
        <v>17</v>
      </c>
      <c r="V46">
        <v>32</v>
      </c>
      <c r="W46">
        <v>-790677.28727907303</v>
      </c>
      <c r="X46">
        <v>86</v>
      </c>
    </row>
    <row r="47" spans="1:24" x14ac:dyDescent="0.25">
      <c r="A47">
        <v>-1260.0287128582199</v>
      </c>
      <c r="B47">
        <f>Table1[[#This Row],[Energy (hartrees)]]*$C$2</f>
        <v>-790680.61760566162</v>
      </c>
      <c r="C47" s="4">
        <f>Table1[[#This Row],[Energy (kcal)]]-MIN(Table1[Energy (kcal)])</f>
        <v>2.6002278457162902</v>
      </c>
      <c r="D47">
        <v>-1260.0287128582199</v>
      </c>
      <c r="E47">
        <v>118</v>
      </c>
      <c r="F47" t="s">
        <v>20</v>
      </c>
      <c r="H47" s="10">
        <f>Table1[[#This Row],[Rel E]]</f>
        <v>2.6002278457162902</v>
      </c>
      <c r="I47" s="10">
        <f>IF(Table1[[#This Row],[rel G]]&lt;5,EXP(-H47/(D$2*E$2)),0)</f>
        <v>1.238992216523674E-2</v>
      </c>
      <c r="J47" s="10">
        <f>IF(Table1[[#This Row],[rel G]]&lt;5,I47/$F$2,0)</f>
        <v>2.2811825895973138E-3</v>
      </c>
      <c r="N47">
        <v>25</v>
      </c>
      <c r="O47">
        <v>-1260.0271342871199</v>
      </c>
      <c r="P47" t="s">
        <v>100</v>
      </c>
      <c r="Q47" s="11" t="s">
        <v>17</v>
      </c>
      <c r="V47">
        <v>34</v>
      </c>
      <c r="W47">
        <v>-790680.15461944905</v>
      </c>
      <c r="X47">
        <v>90</v>
      </c>
    </row>
    <row r="48" spans="1:24" x14ac:dyDescent="0.25">
      <c r="A48">
        <v>-1260.0297040657899</v>
      </c>
      <c r="B48">
        <f>Table1[[#This Row],[Energy (hartrees)]]*$C$2</f>
        <v>-790681.23959832382</v>
      </c>
      <c r="C48" s="4">
        <f>Table1[[#This Row],[Energy (kcal)]]-MIN(Table1[Energy (kcal)])</f>
        <v>1.9782351835165173</v>
      </c>
      <c r="D48">
        <v>-1260.0297040657899</v>
      </c>
      <c r="E48">
        <v>120</v>
      </c>
      <c r="F48" t="s">
        <v>17</v>
      </c>
      <c r="H48" s="10">
        <f>Table1[[#This Row],[Rel E]]</f>
        <v>1.9782351835165173</v>
      </c>
      <c r="I48" s="10">
        <f>IF(Table1[[#This Row],[rel G]]&lt;5,EXP(-H48/(D$2*E$2)),0)</f>
        <v>3.5417662350666977E-2</v>
      </c>
      <c r="J48" s="10">
        <f>IF(Table1[[#This Row],[rel G]]&lt;5,I48/$F$2,0)</f>
        <v>6.5209574072440518E-3</v>
      </c>
      <c r="N48">
        <v>27</v>
      </c>
      <c r="O48">
        <v>-1260.02630490919</v>
      </c>
      <c r="P48" t="s">
        <v>100</v>
      </c>
      <c r="Q48" s="11" t="s">
        <v>18</v>
      </c>
      <c r="V48">
        <v>35</v>
      </c>
      <c r="W48">
        <v>-790680.57066237798</v>
      </c>
      <c r="X48">
        <v>92</v>
      </c>
    </row>
    <row r="49" spans="1:24" x14ac:dyDescent="0.25">
      <c r="A49">
        <v>-1260.03138111254</v>
      </c>
      <c r="B49">
        <f>Table1[[#This Row],[Energy (hartrees)]]*$C$2</f>
        <v>-790682.29196192999</v>
      </c>
      <c r="C49" s="4">
        <f>Table1[[#This Row],[Energy (kcal)]]-MIN(Table1[Energy (kcal)])</f>
        <v>0.92587157734669745</v>
      </c>
      <c r="D49">
        <v>-1260.03138111254</v>
      </c>
      <c r="E49">
        <v>122</v>
      </c>
      <c r="F49" t="s">
        <v>20</v>
      </c>
      <c r="H49" s="10">
        <f>Table1[[#This Row],[Rel E]]</f>
        <v>0.92587157734669745</v>
      </c>
      <c r="I49" s="10">
        <f>IF(Table1[[#This Row],[rel G]]&lt;5,EXP(-H49/(D$2*E$2)),0)</f>
        <v>0.20940774148808181</v>
      </c>
      <c r="J49" s="10">
        <f>IF(Table1[[#This Row],[rel G]]&lt;5,I49/$F$2,0)</f>
        <v>3.8555310327115337E-2</v>
      </c>
      <c r="N49">
        <v>29</v>
      </c>
      <c r="O49">
        <v>-1260.03008201842</v>
      </c>
      <c r="P49" t="s">
        <v>100</v>
      </c>
      <c r="Q49" s="11" t="s">
        <v>17</v>
      </c>
      <c r="V49">
        <v>36</v>
      </c>
      <c r="W49">
        <v>-790677.26322379301</v>
      </c>
      <c r="X49">
        <v>93</v>
      </c>
    </row>
    <row r="50" spans="1:24" x14ac:dyDescent="0.25">
      <c r="A50">
        <v>-1260.0211783198399</v>
      </c>
      <c r="B50">
        <f>Table1[[#This Row],[Energy (hartrees)]]*$C$2</f>
        <v>-790675.88960748271</v>
      </c>
      <c r="C50" s="4">
        <f>Table1[[#This Row],[Energy (kcal)]]-MIN(Table1[Energy (kcal)])</f>
        <v>7.3282260246342048</v>
      </c>
      <c r="D50">
        <v>-1260.0211783198399</v>
      </c>
      <c r="E50">
        <v>124</v>
      </c>
      <c r="F50" t="s">
        <v>21</v>
      </c>
      <c r="H50" s="10">
        <f>Table1[[#This Row],[Rel E]]</f>
        <v>7.3282260246342048</v>
      </c>
      <c r="I50" s="10">
        <f>IF(Table1[[#This Row],[rel G]]&lt;5,EXP(-H50/(D$2*E$2)),0)</f>
        <v>0</v>
      </c>
      <c r="J50" s="10">
        <f>IF(Table1[[#This Row],[rel G]]&lt;5,I50/$F$2,0)</f>
        <v>0</v>
      </c>
      <c r="N50">
        <v>30</v>
      </c>
      <c r="O50">
        <v>-1260.02919748261</v>
      </c>
      <c r="P50" t="s">
        <v>100</v>
      </c>
      <c r="Q50" s="11" t="s">
        <v>19</v>
      </c>
      <c r="V50">
        <v>37</v>
      </c>
      <c r="W50">
        <v>-790675.91059691994</v>
      </c>
      <c r="X50">
        <v>95</v>
      </c>
    </row>
    <row r="51" spans="1:24" x14ac:dyDescent="0.25">
      <c r="A51">
        <v>-1260.02256968761</v>
      </c>
      <c r="B51">
        <f>Table1[[#This Row],[Energy (hartrees)]]*$C$2</f>
        <v>-790676.76270467218</v>
      </c>
      <c r="C51" s="4">
        <f>Table1[[#This Row],[Energy (kcal)]]-MIN(Table1[Energy (kcal)])</f>
        <v>6.4551288351649418</v>
      </c>
      <c r="D51">
        <v>-1260.02256968761</v>
      </c>
      <c r="E51">
        <v>125</v>
      </c>
      <c r="F51" t="s">
        <v>21</v>
      </c>
      <c r="H51" s="10">
        <f>Table1[[#This Row],[Rel E]]</f>
        <v>6.4551288351649418</v>
      </c>
      <c r="I51" s="10">
        <f>IF(Table1[[#This Row],[rel G]]&lt;5,EXP(-H51/(D$2*E$2)),0)</f>
        <v>0</v>
      </c>
      <c r="J51" s="10">
        <f>IF(Table1[[#This Row],[rel G]]&lt;5,I51/$F$2,0)</f>
        <v>0</v>
      </c>
      <c r="N51">
        <v>32</v>
      </c>
      <c r="O51">
        <v>-1260.02784303867</v>
      </c>
      <c r="P51" t="s">
        <v>100</v>
      </c>
      <c r="Q51" s="11" t="s">
        <v>17</v>
      </c>
      <c r="V51">
        <v>38</v>
      </c>
      <c r="W51">
        <v>-790679.44662785297</v>
      </c>
      <c r="X51">
        <v>100</v>
      </c>
    </row>
    <row r="52" spans="1:24" x14ac:dyDescent="0.25">
      <c r="A52">
        <v>-1260.0208948157001</v>
      </c>
      <c r="B52">
        <f>Table1[[#This Row],[Energy (hartrees)]]*$C$2</f>
        <v>-790675.71170579991</v>
      </c>
      <c r="C52" s="4">
        <f>Table1[[#This Row],[Energy (kcal)]]-MIN(Table1[Energy (kcal)])</f>
        <v>7.5061277074273676</v>
      </c>
      <c r="D52">
        <v>-1260.0208948157001</v>
      </c>
      <c r="E52">
        <v>126</v>
      </c>
      <c r="F52" t="s">
        <v>20</v>
      </c>
      <c r="H52" s="10">
        <f>Table1[[#This Row],[Rel E]]</f>
        <v>7.5061277074273676</v>
      </c>
      <c r="I52" s="10">
        <f>IF(Table1[[#This Row],[rel G]]&lt;5,EXP(-H52/(D$2*E$2)),0)</f>
        <v>0</v>
      </c>
      <c r="J52" s="10">
        <f>IF(Table1[[#This Row],[rel G]]&lt;5,I52/$F$2,0)</f>
        <v>0</v>
      </c>
      <c r="N52">
        <v>35</v>
      </c>
      <c r="O52">
        <v>-1260.0254142015699</v>
      </c>
      <c r="P52" t="s">
        <v>100</v>
      </c>
      <c r="Q52" s="11" t="s">
        <v>17</v>
      </c>
      <c r="V52">
        <v>42</v>
      </c>
      <c r="W52">
        <v>-790677.87573927396</v>
      </c>
      <c r="X52">
        <v>118</v>
      </c>
    </row>
    <row r="53" spans="1:24" x14ac:dyDescent="0.25">
      <c r="A53">
        <v>-1260.02983357523</v>
      </c>
      <c r="B53">
        <f>Table1[[#This Row],[Energy (hartrees)]]*$C$2</f>
        <v>-790681.32086679258</v>
      </c>
      <c r="C53" s="4">
        <f>Table1[[#This Row],[Energy (kcal)]]-MIN(Table1[Energy (kcal)])</f>
        <v>1.8969667147612199</v>
      </c>
      <c r="D53">
        <v>-1260.02983357523</v>
      </c>
      <c r="E53">
        <v>129</v>
      </c>
      <c r="F53" t="s">
        <v>20</v>
      </c>
      <c r="H53" s="10">
        <f>Table1[[#This Row],[Rel E]]</f>
        <v>1.8969667147612199</v>
      </c>
      <c r="I53" s="10">
        <f>IF(Table1[[#This Row],[rel G]]&lt;5,EXP(-H53/(D$2*E$2)),0)</f>
        <v>4.0627474181625982E-2</v>
      </c>
      <c r="J53" s="10">
        <f>IF(Table1[[#This Row],[rel G]]&lt;5,I53/$F$2,0)</f>
        <v>7.4801669878503804E-3</v>
      </c>
      <c r="N53">
        <v>36</v>
      </c>
      <c r="O53">
        <v>-1260.0286761289101</v>
      </c>
      <c r="P53" t="s">
        <v>100</v>
      </c>
      <c r="Q53" s="11" t="s">
        <v>17</v>
      </c>
      <c r="V53">
        <v>43</v>
      </c>
      <c r="W53">
        <v>-790678.66297168005</v>
      </c>
      <c r="X53">
        <v>120</v>
      </c>
    </row>
    <row r="54" spans="1:24" x14ac:dyDescent="0.25">
      <c r="A54">
        <v>-1260.02643539371</v>
      </c>
      <c r="B54">
        <f>Table1[[#This Row],[Energy (hartrees)]]*$C$2</f>
        <v>-790679.18847390695</v>
      </c>
      <c r="C54" s="4">
        <f>Table1[[#This Row],[Energy (kcal)]]-MIN(Table1[Energy (kcal)])</f>
        <v>4.0293596003903076</v>
      </c>
      <c r="D54">
        <v>-1260.02643539371</v>
      </c>
      <c r="E54">
        <v>144</v>
      </c>
      <c r="F54" t="s">
        <v>20</v>
      </c>
      <c r="H54" s="10">
        <f>Table1[[#This Row],[Rel E]]</f>
        <v>4.0293596003903076</v>
      </c>
      <c r="I54" s="10">
        <f>IF(Table1[[#This Row],[rel G]]&lt;5,EXP(-H54/(D$2*E$2)),0)</f>
        <v>1.1091363643595301E-3</v>
      </c>
      <c r="J54" s="10">
        <f>IF(Table1[[#This Row],[rel G]]&lt;5,I54/$F$2,0)</f>
        <v>2.0420972223418954E-4</v>
      </c>
      <c r="N54">
        <v>40</v>
      </c>
      <c r="O54">
        <v>-1260.02642496924</v>
      </c>
      <c r="P54" t="s">
        <v>100</v>
      </c>
      <c r="Q54" s="11" t="s">
        <v>18</v>
      </c>
      <c r="V54">
        <v>44</v>
      </c>
      <c r="W54">
        <v>-790679.40189496998</v>
      </c>
      <c r="X54">
        <v>122</v>
      </c>
    </row>
    <row r="55" spans="1:24" x14ac:dyDescent="0.25">
      <c r="A55">
        <v>-1260.03180035216</v>
      </c>
      <c r="B55">
        <f>Table1[[#This Row],[Energy (hartrees)]]*$C$2</f>
        <v>-790682.55503898393</v>
      </c>
      <c r="C55" s="4">
        <f>Table1[[#This Row],[Energy (kcal)]]-MIN(Table1[Energy (kcal)])</f>
        <v>0.66279452340677381</v>
      </c>
      <c r="D55">
        <v>-1260.03180035216</v>
      </c>
      <c r="E55">
        <v>155</v>
      </c>
      <c r="F55" t="s">
        <v>20</v>
      </c>
      <c r="H55" s="10">
        <f>Table1[[#This Row],[Rel E]]</f>
        <v>0.66279452340677381</v>
      </c>
      <c r="I55" s="10">
        <f>IF(Table1[[#This Row],[rel G]]&lt;5,EXP(-H55/(D$2*E$2)),0)</f>
        <v>0.32653202926669761</v>
      </c>
      <c r="J55" s="10">
        <f>IF(Table1[[#This Row],[rel G]]&lt;5,I55/$F$2,0)</f>
        <v>6.0119762672846327E-2</v>
      </c>
      <c r="N55">
        <v>42</v>
      </c>
      <c r="O55">
        <v>-1260.02293729302</v>
      </c>
      <c r="P55" t="s">
        <v>100</v>
      </c>
      <c r="Q55" s="11" t="s">
        <v>17</v>
      </c>
      <c r="V55">
        <v>48</v>
      </c>
      <c r="W55">
        <v>-790678.37569925003</v>
      </c>
      <c r="X55">
        <v>129</v>
      </c>
    </row>
    <row r="56" spans="1:24" x14ac:dyDescent="0.25">
      <c r="A56">
        <v>-1260.0269766573899</v>
      </c>
      <c r="B56">
        <f>Table1[[#This Row],[Energy (hartrees)]]*$C$2</f>
        <v>-790679.52812227875</v>
      </c>
      <c r="C56" s="4">
        <f>Table1[[#This Row],[Energy (kcal)]]-MIN(Table1[Energy (kcal)])</f>
        <v>3.6897112285951152</v>
      </c>
      <c r="D56">
        <v>-1260.0269766573899</v>
      </c>
      <c r="E56">
        <v>159</v>
      </c>
      <c r="F56" t="s">
        <v>20</v>
      </c>
      <c r="H56" s="10">
        <f>Table1[[#This Row],[Rel E]]</f>
        <v>3.6897112285951152</v>
      </c>
      <c r="I56" s="10">
        <f>IF(Table1[[#This Row],[rel G]]&lt;5,EXP(-H56/(D$2*E$2)),0)</f>
        <v>1.9682178888546179E-3</v>
      </c>
      <c r="J56" s="10">
        <f>IF(Table1[[#This Row],[rel G]]&lt;5,I56/$F$2,0)</f>
        <v>3.6238035402568207E-4</v>
      </c>
      <c r="N56">
        <v>43</v>
      </c>
      <c r="O56">
        <v>-1260.0287738653001</v>
      </c>
      <c r="P56" t="s">
        <v>100</v>
      </c>
      <c r="Q56" s="11" t="s">
        <v>17</v>
      </c>
      <c r="V56">
        <v>49</v>
      </c>
      <c r="W56">
        <v>-790677.87135149201</v>
      </c>
      <c r="X56">
        <v>137</v>
      </c>
    </row>
    <row r="57" spans="1:24" x14ac:dyDescent="0.25">
      <c r="A57">
        <v>-1260.02812391258</v>
      </c>
      <c r="B57">
        <f>Table1[[#This Row],[Energy (hartrees)]]*$C$2</f>
        <v>-790680.24803638307</v>
      </c>
      <c r="C57" s="4">
        <f>Table1[[#This Row],[Energy (kcal)]]-MIN(Table1[Energy (kcal)])</f>
        <v>2.9697971242712811</v>
      </c>
      <c r="D57">
        <v>-1260.02812391258</v>
      </c>
      <c r="E57">
        <v>164</v>
      </c>
      <c r="F57" t="s">
        <v>20</v>
      </c>
      <c r="H57" s="10">
        <f>Table1[[#This Row],[Rel E]]</f>
        <v>2.9697971242712811</v>
      </c>
      <c r="I57" s="10">
        <f>IF(Table1[[#This Row],[rel G]]&lt;5,EXP(-H57/(D$2*E$2)),0)</f>
        <v>6.6379996564780493E-3</v>
      </c>
      <c r="J57" s="10">
        <f>IF(Table1[[#This Row],[rel G]]&lt;5,I57/$F$2,0)</f>
        <v>1.2221617734288117E-3</v>
      </c>
      <c r="N57">
        <v>44</v>
      </c>
      <c r="O57">
        <v>-1260.0317468631499</v>
      </c>
      <c r="P57" t="s">
        <v>100</v>
      </c>
      <c r="Q57" s="11" t="s">
        <v>21</v>
      </c>
      <c r="V57">
        <v>50</v>
      </c>
      <c r="W57">
        <v>-790676.51607207896</v>
      </c>
      <c r="X57">
        <v>144</v>
      </c>
    </row>
    <row r="58" spans="1:24" x14ac:dyDescent="0.25">
      <c r="A58">
        <v>-1260.0255654682801</v>
      </c>
      <c r="B58">
        <f>Table1[[#This Row],[Energy (hartrees)]]*$C$2</f>
        <v>-790678.64258700039</v>
      </c>
      <c r="C58" s="4">
        <f>Table1[[#This Row],[Energy (kcal)]]-MIN(Table1[Energy (kcal)])</f>
        <v>4.5752465069526806</v>
      </c>
      <c r="D58">
        <v>-1260.0255654682801</v>
      </c>
      <c r="E58">
        <v>170</v>
      </c>
      <c r="F58" t="s">
        <v>19</v>
      </c>
      <c r="H58" s="10">
        <f>Table1[[#This Row],[Rel E]]</f>
        <v>4.5752465069526806</v>
      </c>
      <c r="I58" s="10">
        <f>IF(Table1[[#This Row],[rel G]]&lt;5,EXP(-H58/(D$2*E$2)),0)</f>
        <v>4.4121206042357404E-4</v>
      </c>
      <c r="J58" s="10">
        <f>IF(Table1[[#This Row],[rel G]]&lt;5,I58/$F$2,0)</f>
        <v>8.1234188329494146E-5</v>
      </c>
      <c r="N58">
        <v>47</v>
      </c>
      <c r="O58">
        <v>-1260.0244942617901</v>
      </c>
      <c r="P58" t="s">
        <v>100</v>
      </c>
      <c r="Q58" s="11" t="s">
        <v>17</v>
      </c>
      <c r="V58">
        <v>51</v>
      </c>
      <c r="W58">
        <v>-790679.48983746499</v>
      </c>
      <c r="X58">
        <v>155</v>
      </c>
    </row>
    <row r="59" spans="1:24" x14ac:dyDescent="0.25">
      <c r="A59">
        <v>-1260.0300830584299</v>
      </c>
      <c r="B59">
        <f>Table1[[#This Row],[Energy (hartrees)]]*$C$2</f>
        <v>-790681.47741999535</v>
      </c>
      <c r="C59" s="4">
        <f>Table1[[#This Row],[Energy (kcal)]]-MIN(Table1[Energy (kcal)])</f>
        <v>1.7404135119868442</v>
      </c>
      <c r="D59">
        <v>-1260.0300830584299</v>
      </c>
      <c r="E59">
        <v>184</v>
      </c>
      <c r="F59" t="s">
        <v>17</v>
      </c>
      <c r="H59" s="10">
        <f>Table1[[#This Row],[Rel E]]</f>
        <v>1.7404135119868442</v>
      </c>
      <c r="I59" s="10">
        <f>IF(Table1[[#This Row],[rel G]]&lt;5,EXP(-H59/(D$2*E$2)),0)</f>
        <v>5.2921407403483535E-2</v>
      </c>
      <c r="J59" s="10">
        <f>IF(Table1[[#This Row],[rel G]]&lt;5,I59/$F$2,0)</f>
        <v>9.7436764796259168E-3</v>
      </c>
      <c r="N59">
        <v>51</v>
      </c>
      <c r="O59">
        <v>-1260.02253185931</v>
      </c>
      <c r="P59" t="s">
        <v>100</v>
      </c>
      <c r="Q59" s="11" t="s">
        <v>17</v>
      </c>
      <c r="V59">
        <v>52</v>
      </c>
      <c r="W59">
        <v>-790676.83944106998</v>
      </c>
      <c r="X59">
        <v>159</v>
      </c>
    </row>
    <row r="60" spans="1:24" x14ac:dyDescent="0.25">
      <c r="A60">
        <v>-1260.0279787986301</v>
      </c>
      <c r="B60">
        <f>Table1[[#This Row],[Energy (hartrees)]]*$C$2</f>
        <v>-790680.15697592834</v>
      </c>
      <c r="C60" s="4">
        <f>Table1[[#This Row],[Energy (kcal)]]-MIN(Table1[Energy (kcal)])</f>
        <v>3.0608575789956376</v>
      </c>
      <c r="D60">
        <v>-1260.0279787986301</v>
      </c>
      <c r="E60">
        <v>189</v>
      </c>
      <c r="F60" t="s">
        <v>20</v>
      </c>
      <c r="H60" s="10">
        <f>Table1[[#This Row],[Rel E]]</f>
        <v>3.0608575789956376</v>
      </c>
      <c r="I60" s="10">
        <f>IF(Table1[[#This Row],[rel G]]&lt;5,EXP(-H60/(D$2*E$2)),0)</f>
        <v>5.6918852818894083E-3</v>
      </c>
      <c r="J60" s="10">
        <f>IF(Table1[[#This Row],[rel G]]&lt;5,I60/$F$2,0)</f>
        <v>1.0479670036557668E-3</v>
      </c>
      <c r="N60">
        <v>52</v>
      </c>
      <c r="O60">
        <v>-1260.0320125681801</v>
      </c>
      <c r="P60" t="s">
        <v>100</v>
      </c>
      <c r="Q60" s="11" t="s">
        <v>21</v>
      </c>
      <c r="V60">
        <v>53</v>
      </c>
      <c r="W60">
        <v>-790677.06560819503</v>
      </c>
      <c r="X60">
        <v>164</v>
      </c>
    </row>
    <row r="61" spans="1:24" x14ac:dyDescent="0.25">
      <c r="A61">
        <v>-1260.0286390771901</v>
      </c>
      <c r="B61">
        <f>Table1[[#This Row],[Energy (hartrees)]]*$C$2</f>
        <v>-790680.57130732748</v>
      </c>
      <c r="C61" s="4">
        <f>Table1[[#This Row],[Energy (kcal)]]-MIN(Table1[Energy (kcal)])</f>
        <v>2.6465261798584834</v>
      </c>
      <c r="D61">
        <v>-1260.0286390771901</v>
      </c>
      <c r="E61">
        <v>190</v>
      </c>
      <c r="F61" t="s">
        <v>17</v>
      </c>
      <c r="H61" s="10">
        <f>Table1[[#This Row],[Rel E]]</f>
        <v>2.6465261798584834</v>
      </c>
      <c r="I61" s="10">
        <f>IF(Table1[[#This Row],[rel G]]&lt;5,EXP(-H61/(D$2*E$2)),0)</f>
        <v>1.1458155910221503E-2</v>
      </c>
      <c r="J61" s="10">
        <f>IF(Table1[[#This Row],[rel G]]&lt;5,I61/$F$2,0)</f>
        <v>2.1096295378373285E-3</v>
      </c>
      <c r="N61">
        <v>54</v>
      </c>
      <c r="O61">
        <v>-1260.0325957105499</v>
      </c>
      <c r="P61" t="s">
        <v>100</v>
      </c>
      <c r="Q61" s="11" t="s">
        <v>17</v>
      </c>
      <c r="V61">
        <v>54</v>
      </c>
      <c r="W61">
        <v>-790675.57158549898</v>
      </c>
      <c r="X61">
        <v>170</v>
      </c>
    </row>
    <row r="62" spans="1:24" x14ac:dyDescent="0.25">
      <c r="A62">
        <v>-1260.02391351394</v>
      </c>
      <c r="B62">
        <f>Table1[[#This Row],[Energy (hartrees)]]*$C$2</f>
        <v>-790677.60596913251</v>
      </c>
      <c r="C62" s="4">
        <f>Table1[[#This Row],[Energy (kcal)]]-MIN(Table1[Energy (kcal)])</f>
        <v>5.6118643748341128</v>
      </c>
      <c r="D62">
        <v>-1260.02391351394</v>
      </c>
      <c r="E62">
        <v>199</v>
      </c>
      <c r="F62" t="s">
        <v>17</v>
      </c>
      <c r="H62" s="10">
        <f>Table1[[#This Row],[Rel E]]</f>
        <v>5.6118643748341128</v>
      </c>
      <c r="I62" s="10">
        <f>IF(Table1[[#This Row],[rel G]]&lt;5,EXP(-H62/(D$2*E$2)),0)</f>
        <v>0</v>
      </c>
      <c r="J62" s="10">
        <f>IF(Table1[[#This Row],[rel G]]&lt;5,I62/$F$2,0)</f>
        <v>0</v>
      </c>
      <c r="N62">
        <v>55</v>
      </c>
      <c r="O62">
        <v>-1260.0281604532499</v>
      </c>
      <c r="P62" t="s">
        <v>100</v>
      </c>
      <c r="Q62" s="11" t="s">
        <v>19</v>
      </c>
      <c r="V62">
        <v>55</v>
      </c>
      <c r="W62">
        <v>-790678.84717336996</v>
      </c>
      <c r="X62">
        <v>184</v>
      </c>
    </row>
    <row r="63" spans="1:24" x14ac:dyDescent="0.25">
      <c r="A63">
        <v>-1260.02492253581</v>
      </c>
      <c r="B63">
        <f>Table1[[#This Row],[Energy (hartrees)]]*$C$2</f>
        <v>-790678.23914044606</v>
      </c>
      <c r="C63" s="4">
        <f>Table1[[#This Row],[Energy (kcal)]]-MIN(Table1[Energy (kcal)])</f>
        <v>4.9786930612754077</v>
      </c>
      <c r="D63">
        <v>-1260.02492253581</v>
      </c>
      <c r="E63">
        <v>201</v>
      </c>
      <c r="F63" t="s">
        <v>17</v>
      </c>
      <c r="H63" s="10">
        <f>Table1[[#This Row],[Rel E]]</f>
        <v>4.9786930612754077</v>
      </c>
      <c r="I63" s="10">
        <f>IF(Table1[[#This Row],[rel G]]&lt;5,EXP(-H63/(D$2*E$2)),0)</f>
        <v>2.23239692030599E-4</v>
      </c>
      <c r="J63" s="10">
        <f>IF(Table1[[#This Row],[rel G]]&lt;5,I63/$F$2,0)</f>
        <v>4.1101993376206019E-5</v>
      </c>
      <c r="N63">
        <v>57</v>
      </c>
      <c r="O63">
        <v>-1260.02639942723</v>
      </c>
      <c r="P63" t="s">
        <v>100</v>
      </c>
      <c r="Q63" s="11" t="s">
        <v>17</v>
      </c>
      <c r="V63">
        <v>56</v>
      </c>
      <c r="W63">
        <v>-790678.03324032796</v>
      </c>
      <c r="X63">
        <v>189</v>
      </c>
    </row>
    <row r="64" spans="1:24" x14ac:dyDescent="0.25">
      <c r="A64">
        <v>-1260.0263178360001</v>
      </c>
      <c r="B64">
        <f>Table1[[#This Row],[Energy (hartrees)]]*$C$2</f>
        <v>-790679.11470526841</v>
      </c>
      <c r="C64" s="4">
        <f>Table1[[#This Row],[Energy (kcal)]]-MIN(Table1[Energy (kcal)])</f>
        <v>4.1031282389303669</v>
      </c>
      <c r="D64">
        <v>-1260.0263178360001</v>
      </c>
      <c r="E64">
        <v>205</v>
      </c>
      <c r="F64" t="s">
        <v>20</v>
      </c>
      <c r="H64" s="10">
        <f>Table1[[#This Row],[Rel E]]</f>
        <v>4.1031282389303669</v>
      </c>
      <c r="I64" s="10">
        <f>IF(Table1[[#This Row],[rel G]]&lt;5,EXP(-H64/(D$2*E$2)),0)</f>
        <v>9.7923104112804704E-4</v>
      </c>
      <c r="J64" s="10">
        <f>IF(Table1[[#This Row],[rel G]]&lt;5,I64/$F$2,0)</f>
        <v>1.8029207709489026E-4</v>
      </c>
      <c r="N64">
        <v>58</v>
      </c>
      <c r="O64">
        <v>-1260.0271852748499</v>
      </c>
      <c r="P64" t="s">
        <v>100</v>
      </c>
      <c r="Q64" s="11" t="s">
        <v>20</v>
      </c>
      <c r="V64">
        <v>57</v>
      </c>
      <c r="W64">
        <v>-790677.93277725799</v>
      </c>
      <c r="X64">
        <v>190</v>
      </c>
    </row>
    <row r="65" spans="1:24" x14ac:dyDescent="0.25">
      <c r="A65">
        <v>-1260.0239463411699</v>
      </c>
      <c r="B65">
        <f>Table1[[#This Row],[Energy (hartrees)]]*$C$2</f>
        <v>-790677.62656854757</v>
      </c>
      <c r="C65" s="4">
        <f>Table1[[#This Row],[Energy (kcal)]]-MIN(Table1[Energy (kcal)])</f>
        <v>5.5912649597739801</v>
      </c>
      <c r="D65">
        <v>-1260.0239463411699</v>
      </c>
      <c r="E65">
        <v>217</v>
      </c>
      <c r="F65" t="s">
        <v>102</v>
      </c>
      <c r="H65" s="10">
        <f>Table1[[#This Row],[Rel E]]</f>
        <v>5.5912649597739801</v>
      </c>
      <c r="I65" s="10">
        <f>IF(Table1[[#This Row],[rel G]]&lt;5,EXP(-H65/(D$2*E$2)),0)</f>
        <v>0</v>
      </c>
      <c r="J65" s="10">
        <f>IF(Table1[[#This Row],[rel G]]&lt;5,I65/$F$2,0)</f>
        <v>0</v>
      </c>
      <c r="N65">
        <v>60</v>
      </c>
      <c r="O65">
        <v>-1260.02939588449</v>
      </c>
      <c r="P65" t="s">
        <v>100</v>
      </c>
      <c r="Q65" s="11" t="s">
        <v>21</v>
      </c>
      <c r="V65">
        <v>60</v>
      </c>
      <c r="W65">
        <v>-790676.03099690506</v>
      </c>
      <c r="X65">
        <v>205</v>
      </c>
    </row>
    <row r="66" spans="1:24" x14ac:dyDescent="0.25">
      <c r="A66">
        <v>-1260.0239306741801</v>
      </c>
      <c r="B66">
        <f>Table1[[#This Row],[Energy (hartrees)]]*$C$2</f>
        <v>-790677.61673735466</v>
      </c>
      <c r="C66" s="4">
        <f>Table1[[#This Row],[Energy (kcal)]]-MIN(Table1[Energy (kcal)])</f>
        <v>5.6010961526772007</v>
      </c>
      <c r="D66">
        <v>-1260.0239306741801</v>
      </c>
      <c r="E66">
        <v>225</v>
      </c>
      <c r="F66" t="s">
        <v>102</v>
      </c>
      <c r="H66" s="10">
        <f>Table1[[#This Row],[Rel E]]</f>
        <v>5.6010961526772007</v>
      </c>
      <c r="I66" s="10">
        <f>IF(Table1[[#This Row],[rel G]]&lt;5,EXP(-H66/(D$2*E$2)),0)</f>
        <v>0</v>
      </c>
      <c r="J66" s="10">
        <f>IF(Table1[[#This Row],[rel G]]&lt;5,I66/$F$2,0)</f>
        <v>0</v>
      </c>
      <c r="N66">
        <v>65</v>
      </c>
      <c r="O66">
        <v>-1260.0295686814</v>
      </c>
      <c r="P66" t="s">
        <v>100</v>
      </c>
      <c r="Q66" s="11" t="s">
        <v>18</v>
      </c>
      <c r="V66">
        <v>63</v>
      </c>
      <c r="W66">
        <v>-790675.72068930895</v>
      </c>
      <c r="X66">
        <v>247</v>
      </c>
    </row>
    <row r="67" spans="1:24" x14ac:dyDescent="0.25">
      <c r="A67">
        <v>-1260.0254902069501</v>
      </c>
      <c r="B67">
        <f>Table1[[#This Row],[Energy (hartrees)]]*$C$2</f>
        <v>-790678.59535976325</v>
      </c>
      <c r="C67" s="4">
        <f>Table1[[#This Row],[Energy (kcal)]]-MIN(Table1[Energy (kcal)])</f>
        <v>4.6224737440934405</v>
      </c>
      <c r="D67">
        <v>-1260.0254902069501</v>
      </c>
      <c r="E67">
        <v>247</v>
      </c>
      <c r="F67" t="s">
        <v>20</v>
      </c>
      <c r="H67" s="10">
        <f>Table1[[#This Row],[Rel E]]</f>
        <v>4.6224737440934405</v>
      </c>
      <c r="I67" s="10">
        <f>IF(Table1[[#This Row],[rel G]]&lt;5,EXP(-H67/(D$2*E$2)),0)</f>
        <v>4.0739181017698572E-4</v>
      </c>
      <c r="J67" s="10">
        <f>IF(Table1[[#This Row],[rel G]]&lt;5,I67/$F$2,0)</f>
        <v>7.5007340007976264E-5</v>
      </c>
      <c r="N67">
        <v>69</v>
      </c>
      <c r="O67">
        <v>-1260.0264421060699</v>
      </c>
      <c r="P67" t="s">
        <v>100</v>
      </c>
      <c r="Q67" s="11" t="s">
        <v>20</v>
      </c>
      <c r="V67">
        <v>65</v>
      </c>
      <c r="W67">
        <v>-790678.60882617999</v>
      </c>
      <c r="X67">
        <v>387</v>
      </c>
    </row>
    <row r="68" spans="1:24" x14ac:dyDescent="0.25">
      <c r="A68">
        <v>-1260.02559153281</v>
      </c>
      <c r="B68">
        <f>Table1[[#This Row],[Energy (hartrees)]]*$C$2</f>
        <v>-790678.65894275357</v>
      </c>
      <c r="C68" s="4">
        <f>Table1[[#This Row],[Energy (kcal)]]-MIN(Table1[Energy (kcal)])</f>
        <v>4.5588907537749037</v>
      </c>
      <c r="D68">
        <v>-1260.02559153281</v>
      </c>
      <c r="E68">
        <v>376</v>
      </c>
      <c r="F68" t="s">
        <v>17</v>
      </c>
      <c r="H68" s="10">
        <f>Table1[[#This Row],[Rel E]]</f>
        <v>4.5588907537749037</v>
      </c>
      <c r="I68" s="10">
        <f>IF(Table1[[#This Row],[rel G]]&lt;5,EXP(-H68/(D$2*E$2)),0)</f>
        <v>4.5356779306825331E-4</v>
      </c>
      <c r="J68" s="10">
        <f>IF(Table1[[#This Row],[rel G]]&lt;5,I68/$F$2,0)</f>
        <v>8.3509076082206903E-5</v>
      </c>
      <c r="N68">
        <v>70</v>
      </c>
      <c r="O68">
        <v>-1260.03173179128</v>
      </c>
      <c r="P68" t="s">
        <v>100</v>
      </c>
      <c r="Q68" s="11" t="s">
        <v>20</v>
      </c>
    </row>
    <row r="69" spans="1:24" x14ac:dyDescent="0.25">
      <c r="A69">
        <v>-1260.0300368163</v>
      </c>
      <c r="B69">
        <f>Table1[[#This Row],[Energy (hartrees)]]*$C$2</f>
        <v>-790681.4484025964</v>
      </c>
      <c r="C69" s="4">
        <f>Table1[[#This Row],[Energy (kcal)]]-MIN(Table1[Energy (kcal)])</f>
        <v>1.7694309109356254</v>
      </c>
      <c r="D69">
        <v>-1260.0300368163</v>
      </c>
      <c r="E69">
        <v>387</v>
      </c>
      <c r="F69" t="s">
        <v>21</v>
      </c>
      <c r="H69" s="10">
        <f>Table1[[#This Row],[Rel E]]</f>
        <v>1.7694309109356254</v>
      </c>
      <c r="I69" s="10">
        <f>IF(Table1[[#This Row],[rel G]]&lt;5,EXP(-H69/(D$2*E$2)),0)</f>
        <v>5.0390755482825941E-2</v>
      </c>
      <c r="J69" s="10">
        <f>IF(Table1[[#This Row],[rel G]]&lt;5,I69/$F$2,0)</f>
        <v>9.2777430359169254E-3</v>
      </c>
      <c r="N69">
        <v>86</v>
      </c>
      <c r="O69">
        <v>-1260.02750188241</v>
      </c>
      <c r="P69" t="s">
        <v>100</v>
      </c>
      <c r="Q69" s="11" t="s">
        <v>17</v>
      </c>
    </row>
    <row r="70" spans="1:24" x14ac:dyDescent="0.25">
      <c r="C70" s="4"/>
      <c r="D70" s="4"/>
      <c r="H70" s="4"/>
      <c r="I70" s="4"/>
      <c r="J70" s="4"/>
      <c r="N70">
        <v>89</v>
      </c>
      <c r="O70">
        <v>-1260.0239431981399</v>
      </c>
      <c r="P70" t="s">
        <v>100</v>
      </c>
      <c r="Q70" s="11" t="s">
        <v>20</v>
      </c>
    </row>
    <row r="71" spans="1:24" x14ac:dyDescent="0.25">
      <c r="C71" s="4"/>
      <c r="D71" s="4"/>
      <c r="H71" s="4"/>
      <c r="I71" s="4"/>
      <c r="J71" s="4"/>
      <c r="N71">
        <v>90</v>
      </c>
      <c r="O71">
        <v>-1260.0231813182399</v>
      </c>
      <c r="P71" t="s">
        <v>100</v>
      </c>
      <c r="Q71" s="11" t="s">
        <v>20</v>
      </c>
    </row>
    <row r="72" spans="1:24" x14ac:dyDescent="0.25">
      <c r="C72" s="4"/>
      <c r="D72" s="4"/>
      <c r="H72" s="4"/>
      <c r="I72" s="4"/>
      <c r="J72" s="4"/>
      <c r="N72">
        <v>92</v>
      </c>
      <c r="O72">
        <v>-1260.0328565815801</v>
      </c>
      <c r="P72" t="s">
        <v>100</v>
      </c>
      <c r="Q72" s="11" t="s">
        <v>19</v>
      </c>
    </row>
    <row r="73" spans="1:24" x14ac:dyDescent="0.25">
      <c r="C73" s="4"/>
      <c r="D73" s="4"/>
      <c r="H73" s="4"/>
      <c r="I73" s="4"/>
      <c r="J73" s="4"/>
      <c r="N73">
        <v>93</v>
      </c>
      <c r="O73">
        <v>-1260.0278146201199</v>
      </c>
      <c r="P73" t="s">
        <v>100</v>
      </c>
      <c r="Q73" s="11" t="s">
        <v>20</v>
      </c>
    </row>
    <row r="74" spans="1:24" x14ac:dyDescent="0.25">
      <c r="N74">
        <v>95</v>
      </c>
      <c r="O74">
        <v>-1260.02656989405</v>
      </c>
      <c r="P74" t="s">
        <v>100</v>
      </c>
      <c r="Q74" s="11" t="s">
        <v>20</v>
      </c>
    </row>
    <row r="75" spans="1:24" x14ac:dyDescent="0.25">
      <c r="N75">
        <v>100</v>
      </c>
      <c r="O75">
        <v>-1260.0315124172801</v>
      </c>
      <c r="P75" t="s">
        <v>100</v>
      </c>
      <c r="Q75" s="11" t="s">
        <v>20</v>
      </c>
    </row>
    <row r="76" spans="1:24" x14ac:dyDescent="0.25">
      <c r="N76">
        <v>112</v>
      </c>
      <c r="O76">
        <v>-1260.0247539202401</v>
      </c>
      <c r="P76" t="s">
        <v>100</v>
      </c>
      <c r="Q76" s="11" t="s">
        <v>20</v>
      </c>
    </row>
    <row r="77" spans="1:24" x14ac:dyDescent="0.25">
      <c r="N77">
        <v>115</v>
      </c>
      <c r="O77">
        <v>-1260.0230818043799</v>
      </c>
      <c r="P77" t="s">
        <v>100</v>
      </c>
      <c r="Q77" s="11" t="s">
        <v>19</v>
      </c>
    </row>
    <row r="78" spans="1:24" x14ac:dyDescent="0.25">
      <c r="N78">
        <v>117</v>
      </c>
      <c r="O78">
        <v>-1260.02182783792</v>
      </c>
      <c r="P78" t="s">
        <v>100</v>
      </c>
      <c r="Q78" s="11" t="s">
        <v>17</v>
      </c>
    </row>
    <row r="79" spans="1:24" x14ac:dyDescent="0.25">
      <c r="N79">
        <v>118</v>
      </c>
      <c r="O79">
        <v>-1260.0287128582199</v>
      </c>
      <c r="P79" t="s">
        <v>100</v>
      </c>
      <c r="Q79" s="11" t="s">
        <v>20</v>
      </c>
    </row>
    <row r="80" spans="1:24" x14ac:dyDescent="0.25">
      <c r="N80">
        <v>120</v>
      </c>
      <c r="O80">
        <v>-1260.0297040657899</v>
      </c>
      <c r="P80" t="s">
        <v>100</v>
      </c>
      <c r="Q80" s="11" t="s">
        <v>17</v>
      </c>
    </row>
    <row r="81" spans="14:17" x14ac:dyDescent="0.25">
      <c r="N81">
        <v>122</v>
      </c>
      <c r="O81">
        <v>-1260.03138111254</v>
      </c>
      <c r="P81" t="s">
        <v>100</v>
      </c>
      <c r="Q81" s="11" t="s">
        <v>20</v>
      </c>
    </row>
    <row r="82" spans="14:17" x14ac:dyDescent="0.25">
      <c r="N82">
        <v>124</v>
      </c>
      <c r="O82">
        <v>-1260.0211783198399</v>
      </c>
      <c r="P82" t="s">
        <v>100</v>
      </c>
      <c r="Q82" s="11" t="s">
        <v>20</v>
      </c>
    </row>
    <row r="83" spans="14:17" x14ac:dyDescent="0.25">
      <c r="N83">
        <v>125</v>
      </c>
      <c r="O83">
        <v>-1260.02256968761</v>
      </c>
      <c r="P83" t="s">
        <v>100</v>
      </c>
      <c r="Q83" s="12" t="s">
        <v>21</v>
      </c>
    </row>
    <row r="84" spans="14:17" x14ac:dyDescent="0.25">
      <c r="N84">
        <v>126</v>
      </c>
      <c r="O84">
        <v>-1260.0208948157001</v>
      </c>
    </row>
    <row r="85" spans="14:17" x14ac:dyDescent="0.25">
      <c r="N85">
        <v>129</v>
      </c>
      <c r="O85">
        <v>-1260.02983357523</v>
      </c>
    </row>
    <row r="86" spans="14:17" x14ac:dyDescent="0.25">
      <c r="N86">
        <v>144</v>
      </c>
      <c r="O86">
        <v>-1260.02643539371</v>
      </c>
    </row>
    <row r="87" spans="14:17" x14ac:dyDescent="0.25">
      <c r="N87">
        <v>155</v>
      </c>
      <c r="O87">
        <v>-1260.03180035216</v>
      </c>
    </row>
    <row r="88" spans="14:17" x14ac:dyDescent="0.25">
      <c r="N88">
        <v>159</v>
      </c>
      <c r="O88">
        <v>-1260.0269766573899</v>
      </c>
    </row>
    <row r="89" spans="14:17" x14ac:dyDescent="0.25">
      <c r="N89">
        <v>164</v>
      </c>
      <c r="O89">
        <v>-1260.02812391258</v>
      </c>
    </row>
    <row r="90" spans="14:17" x14ac:dyDescent="0.25">
      <c r="N90">
        <v>170</v>
      </c>
      <c r="O90">
        <v>-1260.0255654682801</v>
      </c>
    </row>
    <row r="91" spans="14:17" x14ac:dyDescent="0.25">
      <c r="N91">
        <v>184</v>
      </c>
      <c r="O91">
        <v>-1260.0300830584299</v>
      </c>
    </row>
    <row r="92" spans="14:17" x14ac:dyDescent="0.25">
      <c r="N92">
        <v>189</v>
      </c>
      <c r="O92">
        <v>-1260.0279787986301</v>
      </c>
    </row>
    <row r="93" spans="14:17" x14ac:dyDescent="0.25">
      <c r="N93">
        <v>190</v>
      </c>
      <c r="O93">
        <v>-1260.0286390771901</v>
      </c>
    </row>
    <row r="94" spans="14:17" x14ac:dyDescent="0.25">
      <c r="N94">
        <v>199</v>
      </c>
      <c r="O94">
        <v>-1260.02391351394</v>
      </c>
    </row>
    <row r="95" spans="14:17" x14ac:dyDescent="0.25">
      <c r="N95">
        <v>201</v>
      </c>
      <c r="O95">
        <v>-1260.02492253581</v>
      </c>
    </row>
    <row r="96" spans="14:17" x14ac:dyDescent="0.25">
      <c r="N96">
        <v>205</v>
      </c>
      <c r="O96">
        <v>-1260.0263178360001</v>
      </c>
    </row>
    <row r="97" spans="14:15" x14ac:dyDescent="0.25">
      <c r="N97">
        <v>217</v>
      </c>
      <c r="O97">
        <v>-1260.0239463411699</v>
      </c>
    </row>
    <row r="98" spans="14:15" x14ac:dyDescent="0.25">
      <c r="N98">
        <v>225</v>
      </c>
      <c r="O98">
        <v>-1260.0239306741801</v>
      </c>
    </row>
    <row r="99" spans="14:15" x14ac:dyDescent="0.25">
      <c r="N99">
        <v>247</v>
      </c>
      <c r="O99">
        <v>-1260.0254902069501</v>
      </c>
    </row>
    <row r="100" spans="14:15" x14ac:dyDescent="0.25">
      <c r="N100">
        <v>376</v>
      </c>
      <c r="O100">
        <v>-1260.02559153281</v>
      </c>
    </row>
    <row r="101" spans="14:15" x14ac:dyDescent="0.25">
      <c r="N101">
        <v>387</v>
      </c>
      <c r="O101">
        <v>-1260.0300368163</v>
      </c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69">
    <cfRule type="cellIs" dxfId="30" priority="3" operator="lessThan">
      <formula>5</formula>
    </cfRule>
    <cfRule type="cellIs" dxfId="29" priority="4" operator="greaterThan">
      <formula>5</formula>
    </cfRule>
  </conditionalFormatting>
  <conditionalFormatting sqref="X76:X79">
    <cfRule type="cellIs" dxfId="28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4"/>
  <sheetViews>
    <sheetView topLeftCell="H56" zoomScale="145" zoomScaleNormal="145" workbookViewId="0">
      <selection activeCell="N66" sqref="N66:Q66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45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15</v>
      </c>
      <c r="K1" t="s">
        <v>44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</row>
    <row r="2" spans="1:31" x14ac:dyDescent="0.25">
      <c r="A2" t="s">
        <v>24</v>
      </c>
      <c r="B2">
        <v>8.0730000000000004</v>
      </c>
      <c r="C2">
        <v>8.7690000000000001</v>
      </c>
      <c r="D2">
        <v>2.2879999999999998</v>
      </c>
      <c r="E2">
        <v>10.023999999999999</v>
      </c>
      <c r="F2">
        <v>0.184</v>
      </c>
      <c r="G2">
        <v>11.009</v>
      </c>
      <c r="H2">
        <v>-11.462999999999999</v>
      </c>
      <c r="I2">
        <v>2.266</v>
      </c>
      <c r="J2" s="9">
        <f>chloroform!J7</f>
        <v>7.006629610623147E-3</v>
      </c>
      <c r="K2" t="str">
        <f>chloroform!F7</f>
        <v>6H4</v>
      </c>
      <c r="M2">
        <f>0.9155*Table2[[#This Row],[J1,2]]*Table2[[#This Row],[weight]]</f>
        <v>5.1784818835026288E-2</v>
      </c>
      <c r="N2">
        <f>0.9155*Table2[[#This Row],[J2,3]]*Table2[[#This Row],[weight]]</f>
        <v>5.6249359143360024E-2</v>
      </c>
      <c r="O2">
        <f>0.9155*Table2[[#This Row],[J34]]*Table2[[#This Row],[weight]]</f>
        <v>1.4676534806706323E-2</v>
      </c>
      <c r="P2">
        <f>0.9155*Table2[[#This Row],[J45]]*Table2[[#This Row],[weight]]</f>
        <v>6.4299643751059524E-2</v>
      </c>
      <c r="Q2">
        <f>0.9155*Table2[[#This Row],[J56]]*Table2[[#This Row],[weight]]</f>
        <v>1.1802807711686902E-3</v>
      </c>
      <c r="R2">
        <f>0.9155*Table2[[#This Row],[J67]]*Table2[[#This Row],[weight]]</f>
        <v>7.0617994618457122E-2</v>
      </c>
      <c r="S2">
        <f>0.9155*Table2[[#This Row],[J67'']]*Table2[[#This Row],[weight]]</f>
        <v>1.4535414279718764E-2</v>
      </c>
      <c r="T2">
        <f>0.9155*Table2[[#This Row],[J77'']]*Table2[[#This Row],[weight]]</f>
        <v>-7.3530209129927707E-2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25</v>
      </c>
      <c r="B3">
        <v>8.1999999999999993</v>
      </c>
      <c r="C3">
        <v>2.1909999999999998</v>
      </c>
      <c r="D3">
        <v>2.234</v>
      </c>
      <c r="E3">
        <v>2.3290000000000002</v>
      </c>
      <c r="F3">
        <v>11.145</v>
      </c>
      <c r="G3">
        <v>0.33100000000000002</v>
      </c>
      <c r="H3">
        <v>-13.835000000000001</v>
      </c>
      <c r="I3">
        <v>8.16</v>
      </c>
      <c r="J3">
        <f>chloroform!J8</f>
        <v>3.7030869616405469E-2</v>
      </c>
      <c r="K3" t="str">
        <f>chloroform!F8</f>
        <v>4H6</v>
      </c>
      <c r="M3">
        <f>0.9155*Table2[[#This Row],[J1,2]]*Table2[[#This Row],[weight]]</f>
        <v>0.27799444129731748</v>
      </c>
      <c r="N3">
        <f>0.9155*Table2[[#This Row],[J2,3]]*Table2[[#This Row],[weight]]</f>
        <v>7.4278758644197876E-2</v>
      </c>
      <c r="O3">
        <f>0.9155*Table2[[#This Row],[J34]]*Table2[[#This Row],[weight]]</f>
        <v>7.5736534372952108E-2</v>
      </c>
      <c r="P3">
        <f>0.9155*Table2[[#This Row],[J45]]*Table2[[#This Row],[weight]]</f>
        <v>7.8957201680664932E-2</v>
      </c>
      <c r="Q3">
        <f>0.9155*Table2[[#This Row],[J56]]*Table2[[#This Row],[weight]]</f>
        <v>0.37783512783641504</v>
      </c>
      <c r="R3">
        <f>0.9155*Table2[[#This Row],[J67]]*Table2[[#This Row],[weight]]</f>
        <v>1.1221482935294159E-2</v>
      </c>
      <c r="S3">
        <f>0.9155*Table2[[#This Row],[J67'']]*Table2[[#This Row],[weight]]</f>
        <v>0.27663837085196474</v>
      </c>
      <c r="T3">
        <f>0.9155*Table2[[#This Row],[J77'']]*Table2[[#This Row],[weight]]</f>
        <v>-0.46903086528638871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26</v>
      </c>
      <c r="B4">
        <v>8.2710000000000008</v>
      </c>
      <c r="C4">
        <v>2.0950000000000002</v>
      </c>
      <c r="D4">
        <v>1.903</v>
      </c>
      <c r="E4">
        <v>1.7310000000000001</v>
      </c>
      <c r="F4">
        <v>11.685</v>
      </c>
      <c r="G4">
        <v>2.0059999999999998</v>
      </c>
      <c r="H4">
        <v>-13.829000000000001</v>
      </c>
      <c r="I4">
        <v>2.0499999999999998</v>
      </c>
      <c r="J4">
        <f>chloroform!J9</f>
        <v>0.1448766628446449</v>
      </c>
      <c r="K4" t="str">
        <f>chloroform!F9</f>
        <v>4H6</v>
      </c>
      <c r="M4">
        <f>0.9155*Table2[[#This Row],[J1,2]]*Table2[[#This Row],[weight]]</f>
        <v>1.0970206511642671</v>
      </c>
      <c r="N4">
        <f>0.9155*Table2[[#This Row],[J2,3]]*Table2[[#This Row],[weight]]</f>
        <v>0.27786945522780071</v>
      </c>
      <c r="O4">
        <f>0.9155*Table2[[#This Row],[J34]]*Table2[[#This Row],[weight]]</f>
        <v>0.25240361493962038</v>
      </c>
      <c r="P4">
        <f>0.9155*Table2[[#This Row],[J45]]*Table2[[#This Row],[weight]]</f>
        <v>0.22959046634812555</v>
      </c>
      <c r="Q4">
        <f>0.9155*Table2[[#This Row],[J56]]*Table2[[#This Row],[weight]]</f>
        <v>1.5498351237884731</v>
      </c>
      <c r="R4">
        <f>0.9155*Table2[[#This Row],[J67]]*Table2[[#This Row],[weight]]</f>
        <v>0.2660649771775504</v>
      </c>
      <c r="S4">
        <f>0.9155*Table2[[#This Row],[J67'']]*Table2[[#This Row],[weight]]</f>
        <v>0.27190089891025843</v>
      </c>
      <c r="T4">
        <f>0.9155*Table2[[#This Row],[J77'']]*Table2[[#This Row],[weight]]</f>
        <v>-1.8342036736731531</v>
      </c>
    </row>
    <row r="5" spans="1:31" x14ac:dyDescent="0.25">
      <c r="A5" t="s">
        <v>103</v>
      </c>
      <c r="B5">
        <v>7.8109999999999999</v>
      </c>
      <c r="C5">
        <v>8.8350000000000009</v>
      </c>
      <c r="D5">
        <v>1.446</v>
      </c>
      <c r="E5">
        <v>11.021000000000001</v>
      </c>
      <c r="F5">
        <v>0.13700000000000001</v>
      </c>
      <c r="G5">
        <v>12.536</v>
      </c>
      <c r="H5">
        <v>-10.863</v>
      </c>
      <c r="I5">
        <v>5.415</v>
      </c>
      <c r="J5">
        <f>chloroform!J10</f>
        <v>0</v>
      </c>
      <c r="K5" t="str">
        <f>chloroform!F10</f>
        <v>6H4</v>
      </c>
      <c r="M5">
        <f>0.9155*Table2[[#This Row],[J1,2]]*Table2[[#This Row],[weight]]</f>
        <v>0</v>
      </c>
      <c r="N5">
        <f>0.9155*Table2[[#This Row],[J2,3]]*Table2[[#This Row],[weight]]</f>
        <v>0</v>
      </c>
      <c r="O5">
        <f>0.9155*Table2[[#This Row],[J34]]*Table2[[#This Row],[weight]]</f>
        <v>0</v>
      </c>
      <c r="P5">
        <f>0.9155*Table2[[#This Row],[J45]]*Table2[[#This Row],[weight]]</f>
        <v>0</v>
      </c>
      <c r="Q5">
        <f>0.9155*Table2[[#This Row],[J56]]*Table2[[#This Row],[weight]]</f>
        <v>0</v>
      </c>
      <c r="R5">
        <f>0.9155*Table2[[#This Row],[J67]]*Table2[[#This Row],[weight]]</f>
        <v>0</v>
      </c>
      <c r="S5">
        <f>0.9155*Table2[[#This Row],[J67'']]*Table2[[#This Row],[weight]]</f>
        <v>0</v>
      </c>
      <c r="T5">
        <f>0.9155*Table2[[#This Row],[J77'']]*Table2[[#This Row],[weight]]</f>
        <v>0</v>
      </c>
    </row>
    <row r="6" spans="1:31" x14ac:dyDescent="0.25">
      <c r="A6" t="s">
        <v>27</v>
      </c>
      <c r="B6">
        <v>7.7110000000000003</v>
      </c>
      <c r="C6">
        <v>8.3320000000000007</v>
      </c>
      <c r="D6">
        <v>1.171</v>
      </c>
      <c r="E6">
        <v>12.009</v>
      </c>
      <c r="F6">
        <v>1.3560000000000001</v>
      </c>
      <c r="G6">
        <v>2.3730000000000002</v>
      </c>
      <c r="H6">
        <v>-12.988</v>
      </c>
      <c r="I6">
        <v>11.94</v>
      </c>
      <c r="J6">
        <f>chloroform!J11</f>
        <v>0</v>
      </c>
      <c r="K6" t="str">
        <f>chloroform!F11</f>
        <v>6H4</v>
      </c>
      <c r="M6">
        <f>0.9155*Table2[[#This Row],[J1,2]]*Table2[[#This Row],[weight]]</f>
        <v>0</v>
      </c>
      <c r="N6">
        <f>0.9155*Table2[[#This Row],[J2,3]]*Table2[[#This Row],[weight]]</f>
        <v>0</v>
      </c>
      <c r="O6">
        <f>0.9155*Table2[[#This Row],[J34]]*Table2[[#This Row],[weight]]</f>
        <v>0</v>
      </c>
      <c r="P6">
        <f>0.9155*Table2[[#This Row],[J45]]*Table2[[#This Row],[weight]]</f>
        <v>0</v>
      </c>
      <c r="Q6">
        <f>0.9155*Table2[[#This Row],[J56]]*Table2[[#This Row],[weight]]</f>
        <v>0</v>
      </c>
      <c r="R6">
        <f>0.9155*Table2[[#This Row],[J67]]*Table2[[#This Row],[weight]]</f>
        <v>0</v>
      </c>
      <c r="S6">
        <f>0.9155*Table2[[#This Row],[J67'']]*Table2[[#This Row],[weight]]</f>
        <v>0</v>
      </c>
      <c r="T6">
        <f>0.9155*Table2[[#This Row],[J77'']]*Table2[[#This Row],[weight]]</f>
        <v>0</v>
      </c>
      <c r="Z6" t="s">
        <v>57</v>
      </c>
      <c r="AA6" t="s">
        <v>58</v>
      </c>
      <c r="AB6" t="s">
        <v>59</v>
      </c>
    </row>
    <row r="7" spans="1:31" x14ac:dyDescent="0.25">
      <c r="A7" t="s">
        <v>67</v>
      </c>
      <c r="B7">
        <v>8.61</v>
      </c>
      <c r="C7">
        <v>2.1640000000000001</v>
      </c>
      <c r="D7">
        <v>3.1480000000000001</v>
      </c>
      <c r="E7">
        <v>0.66200000000000003</v>
      </c>
      <c r="F7">
        <v>11.196999999999999</v>
      </c>
      <c r="G7">
        <v>0.88700000000000001</v>
      </c>
      <c r="H7">
        <v>-14.297000000000001</v>
      </c>
      <c r="I7">
        <v>3.5390000000000001</v>
      </c>
      <c r="J7">
        <f>chloroform!J12</f>
        <v>7.4517732155956139E-4</v>
      </c>
      <c r="K7" t="str">
        <f>chloroform!F12</f>
        <v>4H6</v>
      </c>
      <c r="M7">
        <f>0.9155*Table2[[#This Row],[J1,2]]*Table2[[#This Row],[weight]]</f>
        <v>5.8738267042137719E-3</v>
      </c>
      <c r="N7">
        <f>0.9155*Table2[[#This Row],[J2,3]]*Table2[[#This Row],[weight]]</f>
        <v>1.4763020891891527E-3</v>
      </c>
      <c r="O7">
        <f>0.9155*Table2[[#This Row],[J34]]*Table2[[#This Row],[weight]]</f>
        <v>2.1475965696707267E-3</v>
      </c>
      <c r="P7">
        <f>0.9155*Table2[[#This Row],[J45]]*Table2[[#This Row],[weight]]</f>
        <v>4.5162291268170939E-4</v>
      </c>
      <c r="Q7">
        <f>0.9155*Table2[[#This Row],[J56]]*Table2[[#This Row],[weight]]</f>
        <v>7.6387035548294551E-3</v>
      </c>
      <c r="R7">
        <f>0.9155*Table2[[#This Row],[J67]]*Table2[[#This Row],[weight]]</f>
        <v>6.0512012620645946E-4</v>
      </c>
      <c r="S7">
        <f>0.9155*Table2[[#This Row],[J67'']]*Table2[[#This Row],[weight]]</f>
        <v>2.4143406162848479E-3</v>
      </c>
      <c r="T7">
        <f>0.9155*Table2[[#This Row],[J77'']]*Table2[[#This Row],[weight]]</f>
        <v>-9.753554052281569E-3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28</v>
      </c>
      <c r="B8">
        <v>7.8579999999999997</v>
      </c>
      <c r="C8">
        <v>8.4529999999999994</v>
      </c>
      <c r="D8">
        <v>2.1970000000000001</v>
      </c>
      <c r="E8">
        <v>10.705</v>
      </c>
      <c r="F8">
        <v>0.66800000000000004</v>
      </c>
      <c r="G8">
        <v>4.4610000000000003</v>
      </c>
      <c r="H8">
        <v>-12.907999999999999</v>
      </c>
      <c r="I8">
        <v>13.257</v>
      </c>
      <c r="J8">
        <f>chloroform!J13</f>
        <v>2.188514232521567E-2</v>
      </c>
      <c r="K8" t="str">
        <f>chloroform!F13</f>
        <v>6H4</v>
      </c>
      <c r="M8">
        <f>0.9155*Table2[[#This Row],[J1,2]]*Table2[[#This Row],[weight]]</f>
        <v>0.15744169200245919</v>
      </c>
      <c r="N8">
        <f>0.9155*Table2[[#This Row],[J2,3]]*Table2[[#This Row],[weight]]</f>
        <v>0.16936302144270649</v>
      </c>
      <c r="O8">
        <f>0.9155*Table2[[#This Row],[J34]]*Table2[[#This Row],[weight]]</f>
        <v>4.4018757613820673E-2</v>
      </c>
      <c r="P8">
        <f>0.9155*Table2[[#This Row],[J45]]*Table2[[#This Row],[weight]]</f>
        <v>0.21448375068545758</v>
      </c>
      <c r="Q8">
        <f>0.9155*Table2[[#This Row],[J56]]*Table2[[#This Row],[weight]]</f>
        <v>1.3383946329554945E-2</v>
      </c>
      <c r="R8">
        <f>0.9155*Table2[[#This Row],[J67]]*Table2[[#This Row],[weight]]</f>
        <v>8.9379917030156603E-2</v>
      </c>
      <c r="S8">
        <f>0.9155*Table2[[#This Row],[J67'']]*Table2[[#This Row],[weight]]</f>
        <v>0.26561523426782918</v>
      </c>
      <c r="T8">
        <f>0.9155*Table2[[#This Row],[J77'']]*Table2[[#This Row],[weight]]</f>
        <v>-0.25862272338607067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29</v>
      </c>
      <c r="B9">
        <v>8.3949999999999996</v>
      </c>
      <c r="C9">
        <v>2.0760000000000001</v>
      </c>
      <c r="D9">
        <v>2.3719999999999999</v>
      </c>
      <c r="E9">
        <v>0.72299999999999998</v>
      </c>
      <c r="F9">
        <v>12.163</v>
      </c>
      <c r="G9">
        <v>0.91500000000000004</v>
      </c>
      <c r="H9">
        <v>-13.738</v>
      </c>
      <c r="I9">
        <v>3.391</v>
      </c>
      <c r="J9">
        <f>chloroform!J14</f>
        <v>5.8814807620270089E-2</v>
      </c>
      <c r="K9" t="str">
        <f>chloroform!F14</f>
        <v>4H6</v>
      </c>
      <c r="M9">
        <f>0.9155*Table2[[#This Row],[J1,2]]*Table2[[#This Row],[weight]]</f>
        <v>0.45202840877951922</v>
      </c>
      <c r="N9">
        <f>0.9155*Table2[[#This Row],[J2,3]]*Table2[[#This Row],[weight]]</f>
        <v>0.11178212943731769</v>
      </c>
      <c r="O9">
        <f>0.9155*Table2[[#This Row],[J34]]*Table2[[#This Row],[weight]]</f>
        <v>0.12772023652471942</v>
      </c>
      <c r="P9">
        <f>0.9155*Table2[[#This Row],[J45]]*Table2[[#This Row],[weight]]</f>
        <v>3.8929903460106302E-2</v>
      </c>
      <c r="Q9">
        <f>0.9155*Table2[[#This Row],[J56]]*Table2[[#This Row],[weight]]</f>
        <v>0.65491620440563347</v>
      </c>
      <c r="R9">
        <f>0.9155*Table2[[#This Row],[J67]]*Table2[[#This Row],[weight]]</f>
        <v>4.92681350843669E-2</v>
      </c>
      <c r="S9">
        <f>0.9155*Table2[[#This Row],[J67'']]*Table2[[#This Row],[weight]]</f>
        <v>0.18258824707222748</v>
      </c>
      <c r="T9">
        <f>0.9155*Table2[[#This Row],[J77'']]*Table2[[#This Row],[weight]]</f>
        <v>-0.73972201069839605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68</v>
      </c>
      <c r="B10">
        <v>8.4320000000000004</v>
      </c>
      <c r="C10">
        <v>2.2480000000000002</v>
      </c>
      <c r="D10">
        <v>2.879</v>
      </c>
      <c r="E10">
        <v>0.60099999999999998</v>
      </c>
      <c r="F10">
        <v>12.643000000000001</v>
      </c>
      <c r="G10">
        <v>0.252</v>
      </c>
      <c r="H10">
        <v>-12.977</v>
      </c>
      <c r="I10">
        <v>7.7229999999999999</v>
      </c>
      <c r="J10">
        <f>chloroform!J15</f>
        <v>4.2825797948773352E-4</v>
      </c>
      <c r="K10" t="str">
        <f>chloroform!F15</f>
        <v>4H6</v>
      </c>
      <c r="M10">
        <f>0.9155*Table2[[#This Row],[J1,2]]*Table2[[#This Row],[weight]]</f>
        <v>3.3059357596236412E-3</v>
      </c>
      <c r="N10">
        <f>0.9155*Table2[[#This Row],[J2,3]]*Table2[[#This Row],[weight]]</f>
        <v>8.8137376513685315E-4</v>
      </c>
      <c r="O10">
        <f>0.9155*Table2[[#This Row],[J34]]*Table2[[#This Row],[weight]]</f>
        <v>1.1287700488563166E-3</v>
      </c>
      <c r="P10">
        <f>0.9155*Table2[[#This Row],[J45]]*Table2[[#This Row],[weight]]</f>
        <v>2.3563417831283303E-4</v>
      </c>
      <c r="Q10">
        <f>0.9155*Table2[[#This Row],[J56]]*Table2[[#This Row],[weight]]</f>
        <v>4.9569432885343571E-3</v>
      </c>
      <c r="R10">
        <f>0.9155*Table2[[#This Row],[J67]]*Table2[[#This Row],[weight]]</f>
        <v>9.880168541569705E-5</v>
      </c>
      <c r="S10">
        <f>0.9155*Table2[[#This Row],[J67'']]*Table2[[#This Row],[weight]]</f>
        <v>3.0279580018469378E-3</v>
      </c>
      <c r="T10">
        <f>0.9155*Table2[[#This Row],[J77'']]*Table2[[#This Row],[weight]]</f>
        <v>-5.0878947287281767E-3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30</v>
      </c>
      <c r="B11">
        <v>8.4260000000000002</v>
      </c>
      <c r="C11">
        <v>2.1669999999999998</v>
      </c>
      <c r="D11">
        <v>3.0470000000000002</v>
      </c>
      <c r="E11">
        <v>0.56399999999999995</v>
      </c>
      <c r="F11">
        <v>11.539</v>
      </c>
      <c r="G11">
        <v>10.08</v>
      </c>
      <c r="H11">
        <v>-11.672000000000001</v>
      </c>
      <c r="I11">
        <v>1.752</v>
      </c>
      <c r="J11">
        <f>chloroform!J16</f>
        <v>1.7783930625614133E-4</v>
      </c>
      <c r="K11" t="str">
        <f>chloroform!F16</f>
        <v>4H6</v>
      </c>
      <c r="M11">
        <f>0.9155*Table2[[#This Row],[J1,2]]*Table2[[#This Row],[weight]]</f>
        <v>1.3718529419777929E-3</v>
      </c>
      <c r="N11">
        <f>0.9155*Table2[[#This Row],[J2,3]]*Table2[[#This Row],[weight]]</f>
        <v>3.528133545295368E-4</v>
      </c>
      <c r="O11">
        <f>0.9155*Table2[[#This Row],[J34]]*Table2[[#This Row],[weight]]</f>
        <v>4.9608781322173462E-4</v>
      </c>
      <c r="P11">
        <f>0.9155*Table2[[#This Row],[J45]]*Table2[[#This Row],[weight]]</f>
        <v>9.1825903070908522E-5</v>
      </c>
      <c r="Q11">
        <f>0.9155*Table2[[#This Row],[J56]]*Table2[[#This Row],[weight]]</f>
        <v>1.8786863396014423E-3</v>
      </c>
      <c r="R11">
        <f>0.9155*Table2[[#This Row],[J67]]*Table2[[#This Row],[weight]]</f>
        <v>1.6411437995651735E-3</v>
      </c>
      <c r="S11">
        <f>0.9155*Table2[[#This Row],[J67'']]*Table2[[#This Row],[weight]]</f>
        <v>2.8524642230537542E-4</v>
      </c>
      <c r="T11">
        <f>0.9155*Table2[[#This Row],[J77'']]*Table2[[#This Row],[weight]]</f>
        <v>-1.9003403202901496E-3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69</v>
      </c>
      <c r="B12">
        <v>8.109</v>
      </c>
      <c r="C12">
        <v>2.2879999999999998</v>
      </c>
      <c r="D12">
        <v>2.1059999999999999</v>
      </c>
      <c r="E12">
        <v>3.1859999999999999</v>
      </c>
      <c r="F12">
        <v>9.2240000000000002</v>
      </c>
      <c r="G12">
        <v>12.378</v>
      </c>
      <c r="H12">
        <v>-12.343999999999999</v>
      </c>
      <c r="I12">
        <v>5.3860000000000001</v>
      </c>
      <c r="J12">
        <f>chloroform!J17</f>
        <v>9.732944469965539E-3</v>
      </c>
      <c r="K12" t="str">
        <f>chloroform!F17</f>
        <v>4H6</v>
      </c>
      <c r="M12">
        <f>0.9155*Table2[[#This Row],[J1,2]]*Table2[[#This Row],[weight]]</f>
        <v>7.2255330960213235E-2</v>
      </c>
      <c r="N12">
        <f>0.9155*Table2[[#This Row],[J2,3]]*Table2[[#This Row],[weight]]</f>
        <v>2.0387248395235893E-2</v>
      </c>
      <c r="O12">
        <f>0.9155*Table2[[#This Row],[J34]]*Table2[[#This Row],[weight]]</f>
        <v>1.8765535454705766E-2</v>
      </c>
      <c r="P12">
        <f>0.9155*Table2[[#This Row],[J45]]*Table2[[#This Row],[weight]]</f>
        <v>2.8388886969939492E-2</v>
      </c>
      <c r="Q12">
        <f>0.9155*Table2[[#This Row],[J56]]*Table2[[#This Row],[weight]]</f>
        <v>8.2190550348625838E-2</v>
      </c>
      <c r="R12">
        <f>0.9155*Table2[[#This Row],[J67]]*Table2[[#This Row],[weight]]</f>
        <v>0.11029430097737321</v>
      </c>
      <c r="S12">
        <f>0.9155*Table2[[#This Row],[J67'']]*Table2[[#This Row],[weight]]</f>
        <v>4.7992010426897082E-2</v>
      </c>
      <c r="T12">
        <f>0.9155*Table2[[#This Row],[J77'']]*Table2[[#This Row],[weight]]</f>
        <v>-0.10999134361485659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31</v>
      </c>
      <c r="B13">
        <v>8.2129999999999992</v>
      </c>
      <c r="C13">
        <v>8.7919999999999998</v>
      </c>
      <c r="D13">
        <v>2.431</v>
      </c>
      <c r="E13">
        <v>7.827</v>
      </c>
      <c r="F13">
        <v>0.32200000000000001</v>
      </c>
      <c r="G13">
        <v>2.6230000000000002</v>
      </c>
      <c r="H13">
        <v>-14.734</v>
      </c>
      <c r="I13">
        <v>13.638999999999999</v>
      </c>
      <c r="J13">
        <f>chloroform!J18</f>
        <v>3.8122644132718006E-3</v>
      </c>
      <c r="K13" t="str">
        <f>chloroform!F18</f>
        <v>6H4</v>
      </c>
      <c r="M13">
        <f>0.9155*Table2[[#This Row],[J1,2]]*Table2[[#This Row],[weight]]</f>
        <v>2.8664421841787285E-2</v>
      </c>
      <c r="N13">
        <f>0.9155*Table2[[#This Row],[J2,3]]*Table2[[#This Row],[weight]]</f>
        <v>3.068520599452013E-2</v>
      </c>
      <c r="O13">
        <f>0.9155*Table2[[#This Row],[J34]]*Table2[[#This Row],[weight]]</f>
        <v>8.4845013390216599E-3</v>
      </c>
      <c r="P13">
        <f>0.9155*Table2[[#This Row],[J45]]*Table2[[#This Row],[weight]]</f>
        <v>2.7317232406632058E-2</v>
      </c>
      <c r="Q13">
        <f>0.9155*Table2[[#This Row],[J56]]*Table2[[#This Row],[weight]]</f>
        <v>1.1238212386528075E-3</v>
      </c>
      <c r="R13">
        <f>0.9155*Table2[[#This Row],[J67]]*Table2[[#This Row],[weight]]</f>
        <v>9.1546059285289253E-3</v>
      </c>
      <c r="S13">
        <f>0.9155*Table2[[#This Row],[J67'']]*Table2[[#This Row],[weight]]</f>
        <v>4.7601856751508194E-2</v>
      </c>
      <c r="T13">
        <f>0.9155*Table2[[#This Row],[J77'']]*Table2[[#This Row],[weight]]</f>
        <v>-5.1423546988541811E-2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70</v>
      </c>
      <c r="B14">
        <v>8.19</v>
      </c>
      <c r="C14">
        <v>2.17</v>
      </c>
      <c r="D14">
        <v>2.6949999999999998</v>
      </c>
      <c r="E14">
        <v>0.52</v>
      </c>
      <c r="F14">
        <v>12.477</v>
      </c>
      <c r="G14">
        <v>1.218</v>
      </c>
      <c r="H14">
        <v>-14</v>
      </c>
      <c r="I14">
        <v>10.734999999999999</v>
      </c>
      <c r="J14">
        <f>chloroform!J19</f>
        <v>9.0755134518669838E-4</v>
      </c>
      <c r="K14" t="str">
        <f>chloroform!F19</f>
        <v>4H6</v>
      </c>
      <c r="M14">
        <f>0.9155*Table2[[#This Row],[J1,2]]*Table2[[#This Row],[weight]]</f>
        <v>6.8047700708858787E-3</v>
      </c>
      <c r="N14">
        <f>0.9155*Table2[[#This Row],[J2,3]]*Table2[[#This Row],[weight]]</f>
        <v>1.8029732666449765E-3</v>
      </c>
      <c r="O14">
        <f>0.9155*Table2[[#This Row],[J34]]*Table2[[#This Row],[weight]]</f>
        <v>2.2391764763171483E-3</v>
      </c>
      <c r="P14">
        <f>0.9155*Table2[[#This Row],[J45]]*Table2[[#This Row],[weight]]</f>
        <v>4.3204889338957963E-4</v>
      </c>
      <c r="Q14">
        <f>0.9155*Table2[[#This Row],[J56]]*Table2[[#This Row],[weight]]</f>
        <v>1.0366680851580354E-2</v>
      </c>
      <c r="R14">
        <f>0.9155*Table2[[#This Row],[J67]]*Table2[[#This Row],[weight]]</f>
        <v>1.0119914464394384E-3</v>
      </c>
      <c r="S14">
        <f>0.9155*Table2[[#This Row],[J67'']]*Table2[[#This Row],[weight]]</f>
        <v>8.9193170587252638E-3</v>
      </c>
      <c r="T14">
        <f>0.9155*Table2[[#This Row],[J77'']]*Table2[[#This Row],[weight]]</f>
        <v>-1.1632085591257913E-2</v>
      </c>
      <c r="Z14" t="s">
        <v>56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71</v>
      </c>
      <c r="B15">
        <v>8.1219999999999999</v>
      </c>
      <c r="C15">
        <v>7.7930000000000001</v>
      </c>
      <c r="D15">
        <v>2.4849999999999999</v>
      </c>
      <c r="E15">
        <v>11.776</v>
      </c>
      <c r="F15">
        <v>2.2210000000000001</v>
      </c>
      <c r="G15">
        <v>4.4770000000000003</v>
      </c>
      <c r="H15">
        <v>-13.035</v>
      </c>
      <c r="I15">
        <v>1</v>
      </c>
      <c r="J15">
        <f>chloroform!J20</f>
        <v>6.9203215301698665E-5</v>
      </c>
      <c r="K15" t="str">
        <f>chloroform!F20</f>
        <v>6H4</v>
      </c>
      <c r="M15">
        <f>0.9155*Table2[[#This Row],[J1,2]]*Table2[[#This Row],[weight]]</f>
        <v>5.1457372518990297E-4</v>
      </c>
      <c r="N15">
        <f>0.9155*Table2[[#This Row],[J2,3]]*Table2[[#This Row],[weight]]</f>
        <v>4.9372975134263908E-4</v>
      </c>
      <c r="O15">
        <f>0.9155*Table2[[#This Row],[J34]]*Table2[[#This Row],[weight]]</f>
        <v>1.5743852586763221E-4</v>
      </c>
      <c r="P15">
        <f>0.9155*Table2[[#This Row],[J45]]*Table2[[#This Row],[weight]]</f>
        <v>7.4607488153611158E-4</v>
      </c>
      <c r="Q15">
        <f>0.9155*Table2[[#This Row],[J56]]*Table2[[#This Row],[weight]]</f>
        <v>1.4071266235493409E-4</v>
      </c>
      <c r="R15">
        <f>0.9155*Table2[[#This Row],[J67]]*Table2[[#This Row],[weight]]</f>
        <v>2.8364276873617288E-4</v>
      </c>
      <c r="S15">
        <f>0.9155*Table2[[#This Row],[J67'']]*Table2[[#This Row],[weight]]</f>
        <v>6.3355543608705121E-5</v>
      </c>
      <c r="T15">
        <f>0.9155*Table2[[#This Row],[J77'']]*Table2[[#This Row],[weight]]</f>
        <v>-8.2583951093947127E-4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72</v>
      </c>
      <c r="B16">
        <v>8.2620000000000005</v>
      </c>
      <c r="C16">
        <v>2.0939999999999999</v>
      </c>
      <c r="D16">
        <v>2.2189999999999999</v>
      </c>
      <c r="E16">
        <v>0.77900000000000003</v>
      </c>
      <c r="F16">
        <v>12.337999999999999</v>
      </c>
      <c r="G16">
        <v>7.7750000000000004</v>
      </c>
      <c r="H16">
        <v>-12.617000000000001</v>
      </c>
      <c r="I16">
        <v>0.47599999999999998</v>
      </c>
      <c r="J16">
        <f>chloroform!J21</f>
        <v>2.1941045049983883E-3</v>
      </c>
      <c r="K16" t="str">
        <f>chloroform!F21</f>
        <v>4H6</v>
      </c>
      <c r="M16">
        <f>0.9155*Table2[[#This Row],[J1,2]]*Table2[[#This Row],[weight]]</f>
        <v>1.6595901495281614E-2</v>
      </c>
      <c r="N16">
        <f>0.9155*Table2[[#This Row],[J2,3]]*Table2[[#This Row],[weight]]</f>
        <v>4.2062234000386951E-3</v>
      </c>
      <c r="O16">
        <f>0.9155*Table2[[#This Row],[J34]]*Table2[[#This Row],[weight]]</f>
        <v>4.4573112343294485E-3</v>
      </c>
      <c r="P16">
        <f>0.9155*Table2[[#This Row],[J45]]*Table2[[#This Row],[weight]]</f>
        <v>1.5647793832999732E-3</v>
      </c>
      <c r="Q16">
        <f>0.9155*Table2[[#This Row],[J56]]*Table2[[#This Row],[weight]]</f>
        <v>2.4783373595834487E-2</v>
      </c>
      <c r="R16">
        <f>0.9155*Table2[[#This Row],[J67]]*Table2[[#This Row],[weight]]</f>
        <v>1.561766329288484E-2</v>
      </c>
      <c r="S16">
        <f>0.9155*Table2[[#This Row],[J67'']]*Table2[[#This Row],[weight]]</f>
        <v>9.561424729791876E-4</v>
      </c>
      <c r="T16">
        <f>0.9155*Table2[[#This Row],[J77'']]*Table2[[#This Row],[weight]]</f>
        <v>-2.5343801641971451E-2</v>
      </c>
    </row>
    <row r="17" spans="1:20" x14ac:dyDescent="0.25">
      <c r="A17" t="s">
        <v>32</v>
      </c>
      <c r="B17">
        <v>8.3149999999999995</v>
      </c>
      <c r="C17">
        <v>2.1819999999999999</v>
      </c>
      <c r="D17">
        <v>3.198</v>
      </c>
      <c r="E17">
        <v>0.43099999999999999</v>
      </c>
      <c r="F17">
        <v>12.646000000000001</v>
      </c>
      <c r="G17">
        <v>0.254</v>
      </c>
      <c r="H17">
        <v>-12.965</v>
      </c>
      <c r="I17">
        <v>7.6749999999999998</v>
      </c>
      <c r="J17">
        <f>chloroform!J22</f>
        <v>2.0196638814690861E-4</v>
      </c>
      <c r="K17" t="str">
        <f>chloroform!F22</f>
        <v>4H6</v>
      </c>
      <c r="M17">
        <f>0.9155*Table2[[#This Row],[J1,2]]*Table2[[#This Row],[weight]]</f>
        <v>1.5374453987177343E-3</v>
      </c>
      <c r="N17">
        <f>0.9155*Table2[[#This Row],[J2,3]]*Table2[[#This Row],[weight]]</f>
        <v>4.0345229825641571E-4</v>
      </c>
      <c r="O17">
        <f>0.9155*Table2[[#This Row],[J34]]*Table2[[#This Row],[weight]]</f>
        <v>5.9131093025848651E-4</v>
      </c>
      <c r="P17">
        <f>0.9155*Table2[[#This Row],[J45]]*Table2[[#This Row],[weight]]</f>
        <v>7.9691998418201271E-5</v>
      </c>
      <c r="Q17">
        <f>0.9155*Table2[[#This Row],[J56]]*Table2[[#This Row],[weight]]</f>
        <v>2.3382482876950655E-3</v>
      </c>
      <c r="R17">
        <f>0.9155*Table2[[#This Row],[J67]]*Table2[[#This Row],[weight]]</f>
        <v>4.6964658000517686E-5</v>
      </c>
      <c r="S17">
        <f>0.9155*Table2[[#This Row],[J67'']]*Table2[[#This Row],[weight]]</f>
        <v>1.4191092525746979E-3</v>
      </c>
      <c r="T17">
        <f>0.9155*Table2[[#This Row],[J77'']]*Table2[[#This Row],[weight]]</f>
        <v>-2.3972314605382353E-3</v>
      </c>
    </row>
    <row r="18" spans="1:20" x14ac:dyDescent="0.25">
      <c r="A18" t="s">
        <v>104</v>
      </c>
      <c r="B18">
        <v>8.0470000000000006</v>
      </c>
      <c r="C18">
        <v>9.18</v>
      </c>
      <c r="D18">
        <v>1.784</v>
      </c>
      <c r="E18">
        <v>8.9339999999999993</v>
      </c>
      <c r="F18">
        <v>0.42</v>
      </c>
      <c r="G18">
        <v>2.069</v>
      </c>
      <c r="H18">
        <v>-15.173999999999999</v>
      </c>
      <c r="I18">
        <v>12.846</v>
      </c>
      <c r="J18">
        <f>chloroform!J23</f>
        <v>0</v>
      </c>
      <c r="K18" t="str">
        <f>chloroform!F23</f>
        <v>6H4</v>
      </c>
      <c r="M18">
        <f>0.9155*Table2[[#This Row],[J1,2]]*Table2[[#This Row],[weight]]</f>
        <v>0</v>
      </c>
      <c r="N18">
        <f>0.9155*Table2[[#This Row],[J2,3]]*Table2[[#This Row],[weight]]</f>
        <v>0</v>
      </c>
      <c r="O18">
        <f>0.9155*Table2[[#This Row],[J34]]*Table2[[#This Row],[weight]]</f>
        <v>0</v>
      </c>
      <c r="P18">
        <f>0.9155*Table2[[#This Row],[J45]]*Table2[[#This Row],[weight]]</f>
        <v>0</v>
      </c>
      <c r="Q18">
        <f>0.9155*Table2[[#This Row],[J56]]*Table2[[#This Row],[weight]]</f>
        <v>0</v>
      </c>
      <c r="R18">
        <f>0.9155*Table2[[#This Row],[J67]]*Table2[[#This Row],[weight]]</f>
        <v>0</v>
      </c>
      <c r="S18">
        <f>0.9155*Table2[[#This Row],[J67'']]*Table2[[#This Row],[weight]]</f>
        <v>0</v>
      </c>
      <c r="T18">
        <f>0.9155*Table2[[#This Row],[J77'']]*Table2[[#This Row],[weight]]</f>
        <v>0</v>
      </c>
    </row>
    <row r="19" spans="1:20" x14ac:dyDescent="0.25">
      <c r="A19" t="s">
        <v>105</v>
      </c>
      <c r="B19">
        <v>8.3460000000000001</v>
      </c>
      <c r="C19">
        <v>3.1059999999999999</v>
      </c>
      <c r="D19">
        <v>2.8359999999999999</v>
      </c>
      <c r="E19">
        <v>5.4020000000000001</v>
      </c>
      <c r="F19">
        <v>2.5169999999999999</v>
      </c>
      <c r="G19">
        <v>13.286</v>
      </c>
      <c r="H19">
        <v>-11.343</v>
      </c>
      <c r="I19">
        <v>5.26</v>
      </c>
      <c r="J19">
        <f>chloroform!J24</f>
        <v>2.4335224570074033E-3</v>
      </c>
      <c r="K19" t="str">
        <f>chloroform!F24</f>
        <v>12C5</v>
      </c>
      <c r="M19">
        <f>0.9155*Table2[[#This Row],[J1,2]]*Table2[[#This Row],[weight]]</f>
        <v>1.8593968349171257E-2</v>
      </c>
      <c r="N19">
        <f>0.9155*Table2[[#This Row],[J2,3]]*Table2[[#This Row],[weight]]</f>
        <v>6.9198257479662021E-3</v>
      </c>
      <c r="O19">
        <f>0.9155*Table2[[#This Row],[J34]]*Table2[[#This Row],[weight]]</f>
        <v>6.3182954994308272E-3</v>
      </c>
      <c r="P19">
        <f>0.9155*Table2[[#This Row],[J45]]*Table2[[#This Row],[weight]]</f>
        <v>1.203506075032628E-2</v>
      </c>
      <c r="Q19">
        <f>0.9155*Table2[[#This Row],[J56]]*Table2[[#This Row],[weight]]</f>
        <v>5.6075986502353284E-3</v>
      </c>
      <c r="R19">
        <f>0.9155*Table2[[#This Row],[J67]]*Table2[[#This Row],[weight]]</f>
        <v>2.9599744007559228E-2</v>
      </c>
      <c r="S19">
        <f>0.9155*Table2[[#This Row],[J67'']]*Table2[[#This Row],[weight]]</f>
        <v>1.171870039739286E-2</v>
      </c>
      <c r="T19">
        <f>0.9155*Table2[[#This Row],[J77'']]*Table2[[#This Row],[weight]]</f>
        <v>-2.5270954107913919E-2</v>
      </c>
    </row>
    <row r="20" spans="1:20" x14ac:dyDescent="0.25">
      <c r="A20" t="s">
        <v>73</v>
      </c>
      <c r="B20">
        <v>8.41</v>
      </c>
      <c r="C20">
        <v>2.0830000000000002</v>
      </c>
      <c r="D20">
        <v>2.3969999999999998</v>
      </c>
      <c r="E20">
        <v>0.71899999999999997</v>
      </c>
      <c r="F20">
        <v>12.201000000000001</v>
      </c>
      <c r="G20">
        <v>0.91900000000000004</v>
      </c>
      <c r="H20">
        <v>-13.66</v>
      </c>
      <c r="I20">
        <v>3.415</v>
      </c>
      <c r="J20">
        <f>chloroform!J25</f>
        <v>5.680698566240476E-2</v>
      </c>
      <c r="K20" t="str">
        <f>chloroform!F25</f>
        <v>4H6</v>
      </c>
      <c r="M20">
        <f>0.9155*Table2[[#This Row],[J1,2]]*Table2[[#This Row],[weight]]</f>
        <v>0.43737714909476438</v>
      </c>
      <c r="N20">
        <f>0.9155*Table2[[#This Row],[J2,3]]*Table2[[#This Row],[weight]]</f>
        <v>0.10833015476389944</v>
      </c>
      <c r="O20">
        <f>0.9155*Table2[[#This Row],[J34]]*Table2[[#This Row],[weight]]</f>
        <v>0.12466028851131393</v>
      </c>
      <c r="P20">
        <f>0.9155*Table2[[#This Row],[J45]]*Table2[[#This Row],[weight]]</f>
        <v>3.7392885873856793E-2</v>
      </c>
      <c r="Q20">
        <f>0.9155*Table2[[#This Row],[J56]]*Table2[[#This Row],[weight]]</f>
        <v>0.63453491035733889</v>
      </c>
      <c r="R20">
        <f>0.9155*Table2[[#This Row],[J67]]*Table2[[#This Row],[weight]]</f>
        <v>4.7794244948643108E-2</v>
      </c>
      <c r="S20">
        <f>0.9155*Table2[[#This Row],[J67'']]*Table2[[#This Row],[weight]]</f>
        <v>0.17760320620197625</v>
      </c>
      <c r="T20">
        <f>0.9155*Table2[[#This Row],[J77'']]*Table2[[#This Row],[weight]]</f>
        <v>-0.71041282480790502</v>
      </c>
    </row>
    <row r="21" spans="1:20" x14ac:dyDescent="0.25">
      <c r="A21" t="s">
        <v>74</v>
      </c>
      <c r="B21">
        <v>8.1310000000000002</v>
      </c>
      <c r="C21">
        <v>8.8940000000000001</v>
      </c>
      <c r="D21">
        <v>2.1059999999999999</v>
      </c>
      <c r="E21">
        <v>10.941000000000001</v>
      </c>
      <c r="F21">
        <v>0.71499999999999997</v>
      </c>
      <c r="G21">
        <v>11.638999999999999</v>
      </c>
      <c r="H21">
        <v>-11.02</v>
      </c>
      <c r="I21">
        <v>2.81</v>
      </c>
      <c r="J21">
        <f>chloroform!J26</f>
        <v>0</v>
      </c>
      <c r="K21" t="str">
        <f>chloroform!F26</f>
        <v>6H4</v>
      </c>
      <c r="M21">
        <f>0.9155*Table2[[#This Row],[J1,2]]*Table2[[#This Row],[weight]]</f>
        <v>0</v>
      </c>
      <c r="N21">
        <f>0.9155*Table2[[#This Row],[J2,3]]*Table2[[#This Row],[weight]]</f>
        <v>0</v>
      </c>
      <c r="O21">
        <f>0.9155*Table2[[#This Row],[J34]]*Table2[[#This Row],[weight]]</f>
        <v>0</v>
      </c>
      <c r="P21">
        <f>0.9155*Table2[[#This Row],[J45]]*Table2[[#This Row],[weight]]</f>
        <v>0</v>
      </c>
      <c r="Q21">
        <f>0.9155*Table2[[#This Row],[J56]]*Table2[[#This Row],[weight]]</f>
        <v>0</v>
      </c>
      <c r="R21">
        <f>0.9155*Table2[[#This Row],[J67]]*Table2[[#This Row],[weight]]</f>
        <v>0</v>
      </c>
      <c r="S21">
        <f>0.9155*Table2[[#This Row],[J67'']]*Table2[[#This Row],[weight]]</f>
        <v>0</v>
      </c>
      <c r="T21">
        <f>0.9155*Table2[[#This Row],[J77'']]*Table2[[#This Row],[weight]]</f>
        <v>0</v>
      </c>
    </row>
    <row r="22" spans="1:20" x14ac:dyDescent="0.25">
      <c r="A22" t="s">
        <v>106</v>
      </c>
      <c r="B22">
        <v>9.5830000000000002</v>
      </c>
      <c r="C22">
        <v>3.2109999999999999</v>
      </c>
      <c r="D22">
        <v>8.532</v>
      </c>
      <c r="E22">
        <v>9.1910000000000007</v>
      </c>
      <c r="F22">
        <v>9.67</v>
      </c>
      <c r="G22">
        <v>2.113</v>
      </c>
      <c r="H22">
        <v>-12.8</v>
      </c>
      <c r="I22">
        <v>1.7909999999999999</v>
      </c>
      <c r="J22">
        <f>chloroform!J27</f>
        <v>0</v>
      </c>
      <c r="K22" t="str">
        <f>chloroform!F27</f>
        <v>45E</v>
      </c>
      <c r="M22">
        <f>0.9155*Table2[[#This Row],[J1,2]]*Table2[[#This Row],[weight]]</f>
        <v>0</v>
      </c>
      <c r="N22">
        <f>0.9155*Table2[[#This Row],[J2,3]]*Table2[[#This Row],[weight]]</f>
        <v>0</v>
      </c>
      <c r="O22">
        <f>0.9155*Table2[[#This Row],[J34]]*Table2[[#This Row],[weight]]</f>
        <v>0</v>
      </c>
      <c r="P22">
        <f>0.9155*Table2[[#This Row],[J45]]*Table2[[#This Row],[weight]]</f>
        <v>0</v>
      </c>
      <c r="Q22">
        <f>0.9155*Table2[[#This Row],[J56]]*Table2[[#This Row],[weight]]</f>
        <v>0</v>
      </c>
      <c r="R22">
        <f>0.9155*Table2[[#This Row],[J67]]*Table2[[#This Row],[weight]]</f>
        <v>0</v>
      </c>
      <c r="S22">
        <f>0.9155*Table2[[#This Row],[J67'']]*Table2[[#This Row],[weight]]</f>
        <v>0</v>
      </c>
      <c r="T22">
        <f>0.9155*Table2[[#This Row],[J77'']]*Table2[[#This Row],[weight]]</f>
        <v>0</v>
      </c>
    </row>
    <row r="23" spans="1:20" x14ac:dyDescent="0.25">
      <c r="A23" t="s">
        <v>75</v>
      </c>
      <c r="B23">
        <v>8.16</v>
      </c>
      <c r="C23">
        <v>2.1040000000000001</v>
      </c>
      <c r="D23">
        <v>1.86</v>
      </c>
      <c r="E23">
        <v>1.8220000000000001</v>
      </c>
      <c r="F23">
        <v>11.571</v>
      </c>
      <c r="G23">
        <v>2.6469999999999998</v>
      </c>
      <c r="H23">
        <v>-12.95</v>
      </c>
      <c r="I23">
        <v>1.226</v>
      </c>
      <c r="J23">
        <f>chloroform!J28</f>
        <v>7.5279816935719612E-2</v>
      </c>
      <c r="K23" t="str">
        <f>chloroform!F28</f>
        <v>4H6</v>
      </c>
      <c r="M23">
        <f>0.9155*Table2[[#This Row],[J1,2]]*Table2[[#This Row],[weight]]</f>
        <v>0.56237636682195469</v>
      </c>
      <c r="N23">
        <f>0.9155*Table2[[#This Row],[J2,3]]*Table2[[#This Row],[weight]]</f>
        <v>0.14500488673938636</v>
      </c>
      <c r="O23">
        <f>0.9155*Table2[[#This Row],[J34]]*Table2[[#This Row],[weight]]</f>
        <v>0.12818873067265144</v>
      </c>
      <c r="P23">
        <f>0.9155*Table2[[#This Row],[J45]]*Table2[[#This Row],[weight]]</f>
        <v>0.12556982112127468</v>
      </c>
      <c r="Q23">
        <f>0.9155*Table2[[#This Row],[J56]]*Table2[[#This Row],[weight]]</f>
        <v>0.79745795839422029</v>
      </c>
      <c r="R23">
        <f>0.9155*Table2[[#This Row],[J67]]*Table2[[#This Row],[weight]]</f>
        <v>0.18242772585511199</v>
      </c>
      <c r="S23">
        <f>0.9155*Table2[[#This Row],[J67'']]*Table2[[#This Row],[weight]]</f>
        <v>8.4494292368102505E-2</v>
      </c>
      <c r="T23">
        <f>0.9155*Table2[[#This Row],[J77'']]*Table2[[#This Row],[weight]]</f>
        <v>-0.89249680764023442</v>
      </c>
    </row>
    <row r="24" spans="1:20" x14ac:dyDescent="0.25">
      <c r="A24" t="s">
        <v>76</v>
      </c>
      <c r="B24">
        <v>8.16</v>
      </c>
      <c r="C24">
        <v>2.1150000000000002</v>
      </c>
      <c r="D24">
        <v>1.81</v>
      </c>
      <c r="E24">
        <v>2.0510000000000002</v>
      </c>
      <c r="F24">
        <v>12.010999999999999</v>
      </c>
      <c r="G24">
        <v>1.323</v>
      </c>
      <c r="H24">
        <v>-13.62</v>
      </c>
      <c r="I24">
        <v>10.718999999999999</v>
      </c>
      <c r="J24">
        <f>chloroform!J29</f>
        <v>0.13964945849061713</v>
      </c>
      <c r="K24" t="str">
        <f>chloroform!F29</f>
        <v>4H6</v>
      </c>
      <c r="M24">
        <f>0.9155*Table2[[#This Row],[J1,2]]*Table2[[#This Row],[weight]]</f>
        <v>1.0432484866649856</v>
      </c>
      <c r="N24">
        <f>0.9155*Table2[[#This Row],[J2,3]]*Table2[[#This Row],[weight]]</f>
        <v>0.27040080260985838</v>
      </c>
      <c r="O24">
        <f>0.9155*Table2[[#This Row],[J34]]*Table2[[#This Row],[weight]]</f>
        <v>0.23140683343916957</v>
      </c>
      <c r="P24">
        <f>0.9155*Table2[[#This Row],[J45]]*Table2[[#This Row],[weight]]</f>
        <v>0.26221846153797618</v>
      </c>
      <c r="Q24">
        <f>0.9155*Table2[[#This Row],[J56]]*Table2[[#This Row],[weight]]</f>
        <v>1.5355952908496493</v>
      </c>
      <c r="R24">
        <f>0.9155*Table2[[#This Row],[J67]]*Table2[[#This Row],[weight]]</f>
        <v>0.16914433184531563</v>
      </c>
      <c r="S24">
        <f>0.9155*Table2[[#This Row],[J67'']]*Table2[[#This Row],[weight]]</f>
        <v>1.3704142804610269</v>
      </c>
      <c r="T24">
        <f>0.9155*Table2[[#This Row],[J77'']]*Table2[[#This Row],[weight]]</f>
        <v>-1.7413044593599389</v>
      </c>
    </row>
    <row r="25" spans="1:20" x14ac:dyDescent="0.25">
      <c r="A25" t="s">
        <v>77</v>
      </c>
      <c r="B25">
        <v>8.1769999999999996</v>
      </c>
      <c r="C25">
        <v>3.2</v>
      </c>
      <c r="D25">
        <v>2.6760000000000002</v>
      </c>
      <c r="E25">
        <v>5.1059999999999999</v>
      </c>
      <c r="F25">
        <v>2.089</v>
      </c>
      <c r="G25">
        <v>12.452999999999999</v>
      </c>
      <c r="H25">
        <v>-10.368</v>
      </c>
      <c r="I25">
        <v>5.69</v>
      </c>
      <c r="J25">
        <f>chloroform!J30</f>
        <v>1.2704121053403966E-3</v>
      </c>
      <c r="K25" t="str">
        <f>chloroform!F30</f>
        <v>12C5</v>
      </c>
      <c r="M25">
        <f>0.9155*Table2[[#This Row],[J1,2]]*Table2[[#This Row],[weight]]</f>
        <v>9.5103602835047898E-3</v>
      </c>
      <c r="N25">
        <f>0.9155*Table2[[#This Row],[J2,3]]*Table2[[#This Row],[weight]]</f>
        <v>3.7217993038052262E-3</v>
      </c>
      <c r="O25">
        <f>0.9155*Table2[[#This Row],[J34]]*Table2[[#This Row],[weight]]</f>
        <v>3.1123546678071203E-3</v>
      </c>
      <c r="P25">
        <f>0.9155*Table2[[#This Row],[J45]]*Table2[[#This Row],[weight]]</f>
        <v>5.9385960141342137E-3</v>
      </c>
      <c r="Q25">
        <f>0.9155*Table2[[#This Row],[J56]]*Table2[[#This Row],[weight]]</f>
        <v>2.429637108015349E-3</v>
      </c>
      <c r="R25">
        <f>0.9155*Table2[[#This Row],[J67]]*Table2[[#This Row],[weight]]</f>
        <v>1.4483614603214524E-2</v>
      </c>
      <c r="S25">
        <f>0.9155*Table2[[#This Row],[J67'']]*Table2[[#This Row],[weight]]</f>
        <v>6.6178243870786673E-3</v>
      </c>
      <c r="T25">
        <f>0.9155*Table2[[#This Row],[J77'']]*Table2[[#This Row],[weight]]</f>
        <v>-1.2058629744328931E-2</v>
      </c>
    </row>
    <row r="26" spans="1:20" x14ac:dyDescent="0.25">
      <c r="A26" t="s">
        <v>33</v>
      </c>
      <c r="B26">
        <v>8.4190000000000005</v>
      </c>
      <c r="C26">
        <v>2.1640000000000001</v>
      </c>
      <c r="D26">
        <v>3.032</v>
      </c>
      <c r="E26">
        <v>0.56100000000000005</v>
      </c>
      <c r="F26">
        <v>11.538</v>
      </c>
      <c r="G26">
        <v>10.068</v>
      </c>
      <c r="H26">
        <v>-11.718999999999999</v>
      </c>
      <c r="I26">
        <v>1.7589999999999999</v>
      </c>
      <c r="J26">
        <f>chloroform!J31</f>
        <v>1.965733902491591E-4</v>
      </c>
      <c r="K26" t="str">
        <f>chloroform!F31</f>
        <v>4H6</v>
      </c>
      <c r="M26">
        <f>0.9155*Table2[[#This Row],[J1,2]]*Table2[[#This Row],[weight]]</f>
        <v>1.5151079815307722E-3</v>
      </c>
      <c r="N26">
        <f>0.9155*Table2[[#This Row],[J2,3]]*Table2[[#This Row],[weight]]</f>
        <v>3.8943979950499958E-4</v>
      </c>
      <c r="O26">
        <f>0.9155*Table2[[#This Row],[J34]]*Table2[[#This Row],[weight]]</f>
        <v>5.4564763036005486E-4</v>
      </c>
      <c r="P26">
        <f>0.9155*Table2[[#This Row],[J45]]*Table2[[#This Row],[weight]]</f>
        <v>1.00959208651712E-4</v>
      </c>
      <c r="Q26">
        <f>0.9155*Table2[[#This Row],[J56]]*Table2[[#This Row],[weight]]</f>
        <v>2.0764123875640873E-3</v>
      </c>
      <c r="R26">
        <f>0.9155*Table2[[#This Row],[J67]]*Table2[[#This Row],[weight]]</f>
        <v>1.8118668675676224E-3</v>
      </c>
      <c r="S26">
        <f>0.9155*Table2[[#This Row],[J67'']]*Table2[[#This Row],[weight]]</f>
        <v>3.1655480930189197E-4</v>
      </c>
      <c r="T26">
        <f>0.9155*Table2[[#This Row],[J77'']]*Table2[[#This Row],[weight]]</f>
        <v>-2.1089856794820191E-3</v>
      </c>
    </row>
    <row r="27" spans="1:20" x14ac:dyDescent="0.25">
      <c r="A27" t="s">
        <v>78</v>
      </c>
      <c r="B27">
        <v>8.2949999999999999</v>
      </c>
      <c r="C27">
        <v>2.1080000000000001</v>
      </c>
      <c r="D27">
        <v>3.242</v>
      </c>
      <c r="E27">
        <v>0.46600000000000003</v>
      </c>
      <c r="F27">
        <v>12.28</v>
      </c>
      <c r="G27">
        <v>1.347</v>
      </c>
      <c r="H27">
        <v>-13.996</v>
      </c>
      <c r="I27">
        <v>10.948</v>
      </c>
      <c r="J27">
        <f>chloroform!J32</f>
        <v>4.5203274200977513E-4</v>
      </c>
      <c r="K27" t="str">
        <f>chloroform!F32</f>
        <v>4H6</v>
      </c>
      <c r="M27">
        <f>0.9155*Table2[[#This Row],[J1,2]]*Table2[[#This Row],[weight]]</f>
        <v>3.4327694151960277E-3</v>
      </c>
      <c r="N27">
        <f>0.9155*Table2[[#This Row],[J2,3]]*Table2[[#This Row],[weight]]</f>
        <v>8.723662359533728E-4</v>
      </c>
      <c r="O27">
        <f>0.9155*Table2[[#This Row],[J34]]*Table2[[#This Row],[weight]]</f>
        <v>1.3416562319548552E-3</v>
      </c>
      <c r="P27">
        <f>0.9155*Table2[[#This Row],[J45]]*Table2[[#This Row],[weight]]</f>
        <v>1.9284756449443631E-4</v>
      </c>
      <c r="Q27">
        <f>0.9155*Table2[[#This Row],[J56]]*Table2[[#This Row],[weight]]</f>
        <v>5.0819057768061743E-3</v>
      </c>
      <c r="R27">
        <f>0.9155*Table2[[#This Row],[J67]]*Table2[[#This Row],[weight]]</f>
        <v>5.5743705874250146E-4</v>
      </c>
      <c r="S27">
        <f>0.9155*Table2[[#This Row],[J67'']]*Table2[[#This Row],[weight]]</f>
        <v>4.5306762576933233E-3</v>
      </c>
      <c r="T27">
        <f>0.9155*Table2[[#This Row],[J77'']]*Table2[[#This Row],[weight]]</f>
        <v>-5.7920483104380478E-3</v>
      </c>
    </row>
    <row r="28" spans="1:20" x14ac:dyDescent="0.25">
      <c r="A28" t="s">
        <v>79</v>
      </c>
      <c r="B28">
        <v>7.6619999999999999</v>
      </c>
      <c r="C28">
        <v>3.738</v>
      </c>
      <c r="D28">
        <v>2.0329999999999999</v>
      </c>
      <c r="E28">
        <v>5.18</v>
      </c>
      <c r="F28">
        <v>1.9219999999999999</v>
      </c>
      <c r="G28">
        <v>2.262</v>
      </c>
      <c r="H28">
        <v>-12.999000000000001</v>
      </c>
      <c r="I28">
        <v>11.896000000000001</v>
      </c>
      <c r="J28">
        <f>chloroform!J33</f>
        <v>4.7042140876161192E-3</v>
      </c>
      <c r="K28" t="str">
        <f>chloroform!F33</f>
        <v>12C5</v>
      </c>
      <c r="M28">
        <f>0.9155*Table2[[#This Row],[J1,2]]*Table2[[#This Row],[weight]]</f>
        <v>3.2997996674642607E-2</v>
      </c>
      <c r="N28">
        <f>0.9155*Table2[[#This Row],[J2,3]]*Table2[[#This Row],[weight]]</f>
        <v>1.6098474493580539E-2</v>
      </c>
      <c r="O28">
        <f>0.9155*Table2[[#This Row],[J34]]*Table2[[#This Row],[weight]]</f>
        <v>8.7555373583331278E-3</v>
      </c>
      <c r="P28">
        <f>0.9155*Table2[[#This Row],[J45]]*Table2[[#This Row],[weight]]</f>
        <v>2.2308747425561045E-2</v>
      </c>
      <c r="Q28">
        <f>0.9155*Table2[[#This Row],[J56]]*Table2[[#This Row],[weight]]</f>
        <v>8.277492770642535E-3</v>
      </c>
      <c r="R28">
        <f>0.9155*Table2[[#This Row],[J67]]*Table2[[#This Row],[weight]]</f>
        <v>9.7417734896948043E-3</v>
      </c>
      <c r="S28">
        <f>0.9155*Table2[[#This Row],[J67'']]*Table2[[#This Row],[weight]]</f>
        <v>5.1232598334840583E-2</v>
      </c>
      <c r="T28">
        <f>0.9155*Table2[[#This Row],[J77'']]*Table2[[#This Row],[weight]]</f>
        <v>-5.5982897255766037E-2</v>
      </c>
    </row>
    <row r="29" spans="1:20" x14ac:dyDescent="0.25">
      <c r="A29" t="s">
        <v>107</v>
      </c>
      <c r="B29">
        <v>8.0259999999999998</v>
      </c>
      <c r="C29">
        <v>2.2109999999999999</v>
      </c>
      <c r="D29">
        <v>1.679</v>
      </c>
      <c r="E29">
        <v>2.9359999999999999</v>
      </c>
      <c r="F29">
        <v>10.108000000000001</v>
      </c>
      <c r="G29">
        <v>11.25</v>
      </c>
      <c r="H29">
        <v>-11.33</v>
      </c>
      <c r="I29">
        <v>5.3440000000000003</v>
      </c>
      <c r="J29">
        <f>chloroform!J34</f>
        <v>5.6494711639667322E-3</v>
      </c>
      <c r="K29" t="str">
        <f>chloroform!F34</f>
        <v>4H6</v>
      </c>
      <c r="M29">
        <f>0.9155*Table2[[#This Row],[J1,2]]*Table2[[#This Row],[weight]]</f>
        <v>4.1511201167008245E-2</v>
      </c>
      <c r="N29">
        <f>0.9155*Table2[[#This Row],[J2,3]]*Table2[[#This Row],[weight]]</f>
        <v>1.1435492870702122E-2</v>
      </c>
      <c r="O29">
        <f>0.9155*Table2[[#This Row],[J34]]*Table2[[#This Row],[weight]]</f>
        <v>8.683940538176782E-3</v>
      </c>
      <c r="P29">
        <f>0.9155*Table2[[#This Row],[J45]]*Table2[[#This Row],[weight]]</f>
        <v>1.518525873739549E-2</v>
      </c>
      <c r="Q29">
        <f>0.9155*Table2[[#This Row],[J56]]*Table2[[#This Row],[weight]]</f>
        <v>5.2279494317981477E-2</v>
      </c>
      <c r="R29">
        <f>0.9155*Table2[[#This Row],[J67]]*Table2[[#This Row],[weight]]</f>
        <v>5.818602206937986E-2</v>
      </c>
      <c r="S29">
        <f>0.9155*Table2[[#This Row],[J67'']]*Table2[[#This Row],[weight]]</f>
        <v>2.7639653505668091E-2</v>
      </c>
      <c r="T29">
        <f>0.9155*Table2[[#This Row],[J77'']]*Table2[[#This Row],[weight]]</f>
        <v>-5.8599789337428786E-2</v>
      </c>
    </row>
    <row r="30" spans="1:20" x14ac:dyDescent="0.25">
      <c r="A30" t="s">
        <v>108</v>
      </c>
      <c r="B30">
        <v>7.968</v>
      </c>
      <c r="C30">
        <v>8.7100000000000009</v>
      </c>
      <c r="D30">
        <v>2.157</v>
      </c>
      <c r="E30">
        <v>11.276999999999999</v>
      </c>
      <c r="F30">
        <v>1.427</v>
      </c>
      <c r="G30">
        <v>4.149</v>
      </c>
      <c r="H30">
        <v>-12.593999999999999</v>
      </c>
      <c r="I30">
        <v>12.997999999999999</v>
      </c>
      <c r="J30">
        <f>chloroform!J35</f>
        <v>2.0566738505696278E-4</v>
      </c>
      <c r="K30" t="str">
        <f>chloroform!F35</f>
        <v>6H4</v>
      </c>
      <c r="M30">
        <f>0.9155*Table2[[#This Row],[J1,2]]*Table2[[#This Row],[weight]]</f>
        <v>1.5002826964445664E-3</v>
      </c>
      <c r="N30">
        <f>0.9155*Table2[[#This Row],[J2,3]]*Table2[[#This Row],[weight]]</f>
        <v>1.6399927567811467E-3</v>
      </c>
      <c r="O30">
        <f>0.9155*Table2[[#This Row],[J34]]*Table2[[#This Row],[weight]]</f>
        <v>4.061382751293838E-4</v>
      </c>
      <c r="P30">
        <f>0.9155*Table2[[#This Row],[J45]]*Table2[[#This Row],[weight]]</f>
        <v>2.1233293132285861E-3</v>
      </c>
      <c r="Q30">
        <f>0.9155*Table2[[#This Row],[J56]]*Table2[[#This Row],[weight]]</f>
        <v>2.6868767668503969E-4</v>
      </c>
      <c r="R30">
        <f>0.9155*Table2[[#This Row],[J67]]*Table2[[#This Row],[weight]]</f>
        <v>7.8120894924052541E-4</v>
      </c>
      <c r="S30">
        <f>0.9155*Table2[[#This Row],[J67'']]*Table2[[#This Row],[weight]]</f>
        <v>2.4473738062734032E-3</v>
      </c>
      <c r="T30">
        <f>0.9155*Table2[[#This Row],[J77'']]*Table2[[#This Row],[weight]]</f>
        <v>-2.3713052559014647E-3</v>
      </c>
    </row>
    <row r="31" spans="1:20" x14ac:dyDescent="0.25">
      <c r="A31" t="s">
        <v>80</v>
      </c>
      <c r="B31">
        <v>8.4149999999999991</v>
      </c>
      <c r="C31">
        <v>2.0670000000000002</v>
      </c>
      <c r="D31">
        <v>2.39</v>
      </c>
      <c r="E31">
        <v>0.70399999999999996</v>
      </c>
      <c r="F31">
        <v>12.196999999999999</v>
      </c>
      <c r="G31">
        <v>0.93899999999999995</v>
      </c>
      <c r="H31">
        <v>-13.705</v>
      </c>
      <c r="I31">
        <v>3.3719999999999999</v>
      </c>
      <c r="J31">
        <f>chloroform!J36</f>
        <v>5.5906938041397652E-2</v>
      </c>
      <c r="K31" t="str">
        <f>chloroform!F36</f>
        <v>4H6</v>
      </c>
      <c r="M31">
        <f>0.9155*Table2[[#This Row],[J1,2]]*Table2[[#This Row],[weight]]</f>
        <v>0.43070327695260963</v>
      </c>
      <c r="N31">
        <f>0.9155*Table2[[#This Row],[J2,3]]*Table2[[#This Row],[weight]]</f>
        <v>0.10579485127285138</v>
      </c>
      <c r="O31">
        <f>0.9155*Table2[[#This Row],[J34]]*Table2[[#This Row],[weight]]</f>
        <v>0.12232689624678994</v>
      </c>
      <c r="P31">
        <f>0.9155*Table2[[#This Row],[J45]]*Table2[[#This Row],[weight]]</f>
        <v>3.6032692450937286E-2</v>
      </c>
      <c r="Q31">
        <f>0.9155*Table2[[#This Row],[J56]]*Table2[[#This Row],[weight]]</f>
        <v>0.62427663327284377</v>
      </c>
      <c r="R31">
        <f>0.9155*Table2[[#This Row],[J67]]*Table2[[#This Row],[weight]]</f>
        <v>4.8060650868508671E-2</v>
      </c>
      <c r="S31">
        <f>0.9155*Table2[[#This Row],[J67'']]*Table2[[#This Row],[weight]]</f>
        <v>0.17258840759170527</v>
      </c>
      <c r="T31">
        <f>0.9155*Table2[[#This Row],[J77'']]*Table2[[#This Row],[weight]]</f>
        <v>-0.70146029835240842</v>
      </c>
    </row>
    <row r="32" spans="1:20" x14ac:dyDescent="0.25">
      <c r="A32" t="s">
        <v>34</v>
      </c>
      <c r="B32">
        <v>8.07</v>
      </c>
      <c r="C32">
        <v>5.2679999999999998</v>
      </c>
      <c r="D32">
        <v>2.7320000000000002</v>
      </c>
      <c r="E32">
        <v>10.849</v>
      </c>
      <c r="F32">
        <v>9.7780000000000005</v>
      </c>
      <c r="G32">
        <v>1.8320000000000001</v>
      </c>
      <c r="H32">
        <v>-13.115</v>
      </c>
      <c r="I32">
        <v>1.946</v>
      </c>
      <c r="J32">
        <f>chloroform!J37</f>
        <v>6.3222537538593754E-4</v>
      </c>
      <c r="K32" t="str">
        <f>chloroform!F37</f>
        <v>56E</v>
      </c>
      <c r="M32">
        <f>0.9155*Table2[[#This Row],[J1,2]]*Table2[[#This Row],[weight]]</f>
        <v>4.6709348125082142E-3</v>
      </c>
      <c r="N32">
        <f>0.9155*Table2[[#This Row],[J2,3]]*Table2[[#This Row],[weight]]</f>
        <v>3.04913068058157E-3</v>
      </c>
      <c r="O32">
        <f>0.9155*Table2[[#This Row],[J34]]*Table2[[#This Row],[weight]]</f>
        <v>1.5812879687450362E-3</v>
      </c>
      <c r="P32">
        <f>0.9155*Table2[[#This Row],[J45]]*Table2[[#This Row],[weight]]</f>
        <v>6.2794264908180445E-3</v>
      </c>
      <c r="Q32">
        <f>0.9155*Table2[[#This Row],[J56]]*Table2[[#This Row],[weight]]</f>
        <v>5.6595291941394458E-3</v>
      </c>
      <c r="R32">
        <f>0.9155*Table2[[#This Row],[J67]]*Table2[[#This Row],[weight]]</f>
        <v>1.060365870695793E-3</v>
      </c>
      <c r="S32">
        <f>0.9155*Table2[[#This Row],[J67'']]*Table2[[#This Row],[weight]]</f>
        <v>1.126349336448697E-3</v>
      </c>
      <c r="T32">
        <f>0.9155*Table2[[#This Row],[J77'']]*Table2[[#This Row],[weight]]</f>
        <v>-7.5909925732398058E-3</v>
      </c>
    </row>
    <row r="33" spans="1:32" x14ac:dyDescent="0.25">
      <c r="A33" t="s">
        <v>109</v>
      </c>
      <c r="B33">
        <v>8.5139999999999993</v>
      </c>
      <c r="C33">
        <v>2.3559999999999999</v>
      </c>
      <c r="D33">
        <v>1.6890000000000001</v>
      </c>
      <c r="E33">
        <v>1.05</v>
      </c>
      <c r="F33">
        <v>11.929</v>
      </c>
      <c r="G33">
        <v>0.81699999999999995</v>
      </c>
      <c r="H33">
        <v>-13.756</v>
      </c>
      <c r="I33">
        <v>3.702</v>
      </c>
      <c r="J33">
        <f>chloroform!J38</f>
        <v>0</v>
      </c>
      <c r="K33" t="str">
        <f>chloroform!F38</f>
        <v>4H6</v>
      </c>
      <c r="M33">
        <f>0.9155*Table2[[#This Row],[J1,2]]*Table2[[#This Row],[weight]]</f>
        <v>0</v>
      </c>
      <c r="N33">
        <f>0.9155*Table2[[#This Row],[J2,3]]*Table2[[#This Row],[weight]]</f>
        <v>0</v>
      </c>
      <c r="O33">
        <f>0.9155*Table2[[#This Row],[J34]]*Table2[[#This Row],[weight]]</f>
        <v>0</v>
      </c>
      <c r="P33">
        <f>0.9155*Table2[[#This Row],[J45]]*Table2[[#This Row],[weight]]</f>
        <v>0</v>
      </c>
      <c r="Q33">
        <f>0.9155*Table2[[#This Row],[J56]]*Table2[[#This Row],[weight]]</f>
        <v>0</v>
      </c>
      <c r="R33">
        <f>0.9155*Table2[[#This Row],[J67]]*Table2[[#This Row],[weight]]</f>
        <v>0</v>
      </c>
      <c r="S33">
        <f>0.9155*Table2[[#This Row],[J67'']]*Table2[[#This Row],[weight]]</f>
        <v>0</v>
      </c>
      <c r="T33">
        <f>0.9155*Table2[[#This Row],[J77'']]*Table2[[#This Row],[weight]]</f>
        <v>0</v>
      </c>
    </row>
    <row r="34" spans="1:32" x14ac:dyDescent="0.25">
      <c r="A34" t="s">
        <v>81</v>
      </c>
      <c r="B34">
        <v>8.1389999999999993</v>
      </c>
      <c r="C34">
        <v>2.7370000000000001</v>
      </c>
      <c r="D34">
        <v>2.6709999999999998</v>
      </c>
      <c r="E34">
        <v>4.6319999999999997</v>
      </c>
      <c r="F34">
        <v>7.0110000000000001</v>
      </c>
      <c r="G34">
        <v>8.1300000000000008</v>
      </c>
      <c r="H34">
        <v>-12.428000000000001</v>
      </c>
      <c r="I34">
        <v>0.51200000000000001</v>
      </c>
      <c r="J34">
        <f>chloroform!J39</f>
        <v>0</v>
      </c>
      <c r="K34" t="str">
        <f>chloroform!F39</f>
        <v>4H6</v>
      </c>
      <c r="M34">
        <f>0.9155*Table2[[#This Row],[J1,2]]*Table2[[#This Row],[weight]]</f>
        <v>0</v>
      </c>
      <c r="N34">
        <f>0.9155*Table2[[#This Row],[J2,3]]*Table2[[#This Row],[weight]]</f>
        <v>0</v>
      </c>
      <c r="O34">
        <f>0.9155*Table2[[#This Row],[J34]]*Table2[[#This Row],[weight]]</f>
        <v>0</v>
      </c>
      <c r="P34">
        <f>0.9155*Table2[[#This Row],[J45]]*Table2[[#This Row],[weight]]</f>
        <v>0</v>
      </c>
      <c r="Q34">
        <f>0.9155*Table2[[#This Row],[J56]]*Table2[[#This Row],[weight]]</f>
        <v>0</v>
      </c>
      <c r="R34">
        <f>0.9155*Table2[[#This Row],[J67]]*Table2[[#This Row],[weight]]</f>
        <v>0</v>
      </c>
      <c r="S34">
        <f>0.9155*Table2[[#This Row],[J67'']]*Table2[[#This Row],[weight]]</f>
        <v>0</v>
      </c>
      <c r="T34">
        <f>0.9155*Table2[[#This Row],[J77'']]*Table2[[#This Row],[weight]]</f>
        <v>0</v>
      </c>
    </row>
    <row r="35" spans="1:32" x14ac:dyDescent="0.25">
      <c r="A35" t="s">
        <v>82</v>
      </c>
      <c r="B35">
        <v>8.2240000000000002</v>
      </c>
      <c r="C35">
        <v>9.6440000000000001</v>
      </c>
      <c r="D35">
        <v>3.1720000000000002</v>
      </c>
      <c r="E35">
        <v>11.484</v>
      </c>
      <c r="F35">
        <v>10.521000000000001</v>
      </c>
      <c r="G35">
        <v>1.5589999999999999</v>
      </c>
      <c r="H35">
        <v>-13.209</v>
      </c>
      <c r="I35">
        <v>2.2610000000000001</v>
      </c>
      <c r="J35">
        <f>chloroform!J40</f>
        <v>0.18411597419052278</v>
      </c>
      <c r="K35" t="str">
        <f>chloroform!F40</f>
        <v>5C12</v>
      </c>
      <c r="M35">
        <f>0.9155*Table2[[#This Row],[J1,2]]*Table2[[#This Row],[weight]]</f>
        <v>1.3862224260305878</v>
      </c>
      <c r="N35">
        <f>0.9155*Table2[[#This Row],[J2,3]]*Table2[[#This Row],[weight]]</f>
        <v>1.6255750336380093</v>
      </c>
      <c r="O35">
        <f>0.9155*Table2[[#This Row],[J34]]*Table2[[#This Row],[weight]]</f>
        <v>0.53466652910615564</v>
      </c>
      <c r="P35">
        <f>0.9155*Table2[[#This Row],[J45]]*Table2[[#This Row],[weight]]</f>
        <v>1.9357220744814287</v>
      </c>
      <c r="Q35">
        <f>0.9155*Table2[[#This Row],[J56]]*Table2[[#This Row],[weight]]</f>
        <v>1.773400552561748</v>
      </c>
      <c r="R35">
        <f>0.9155*Table2[[#This Row],[J67]]*Table2[[#This Row],[weight]]</f>
        <v>0.26278219384504936</v>
      </c>
      <c r="S35">
        <f>0.9155*Table2[[#This Row],[J67'']]*Table2[[#This Row],[weight]]</f>
        <v>0.38111003225378881</v>
      </c>
      <c r="T35">
        <f>0.9155*Table2[[#This Row],[J77'']]*Table2[[#This Row],[weight]]</f>
        <v>-2.2264849252721346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83</v>
      </c>
      <c r="B36">
        <v>8.2379999999999995</v>
      </c>
      <c r="C36">
        <v>3.2480000000000002</v>
      </c>
      <c r="D36">
        <v>2.8519999999999999</v>
      </c>
      <c r="E36">
        <v>5.3559999999999999</v>
      </c>
      <c r="F36">
        <v>2.3570000000000002</v>
      </c>
      <c r="G36">
        <v>12.42</v>
      </c>
      <c r="H36">
        <v>-10.585000000000001</v>
      </c>
      <c r="I36">
        <v>6.4630000000000001</v>
      </c>
      <c r="J36">
        <f>chloroform!J41</f>
        <v>8.8062915025634259E-4</v>
      </c>
      <c r="K36" t="str">
        <f>chloroform!F41</f>
        <v>12C5</v>
      </c>
      <c r="M36">
        <f>0.9155*Table2[[#This Row],[J1,2]]*Table2[[#This Row],[weight]]</f>
        <v>6.6416073013976567E-3</v>
      </c>
      <c r="N36">
        <f>0.9155*Table2[[#This Row],[J2,3]]*Table2[[#This Row],[weight]]</f>
        <v>2.618589525969846E-3</v>
      </c>
      <c r="O36">
        <f>0.9155*Table2[[#This Row],[J34]]*Table2[[#This Row],[weight]]</f>
        <v>2.2993279950942118E-3</v>
      </c>
      <c r="P36">
        <f>0.9155*Table2[[#This Row],[J45]]*Table2[[#This Row],[weight]]</f>
        <v>4.3180928266916543E-3</v>
      </c>
      <c r="Q36">
        <f>0.9155*Table2[[#This Row],[J56]]*Table2[[#This Row],[weight]]</f>
        <v>1.9002510814996698E-3</v>
      </c>
      <c r="R36">
        <f>0.9155*Table2[[#This Row],[J67]]*Table2[[#This Row],[weight]]</f>
        <v>1.0013202559281245E-2</v>
      </c>
      <c r="S36">
        <f>0.9155*Table2[[#This Row],[J67'']]*Table2[[#This Row],[weight]]</f>
        <v>5.2105739243667225E-3</v>
      </c>
      <c r="T36">
        <f>0.9155*Table2[[#This Row],[J77'']]*Table2[[#This Row],[weight]]</f>
        <v>-8.5337962230267305E-3</v>
      </c>
    </row>
    <row r="37" spans="1:32" x14ac:dyDescent="0.25">
      <c r="A37" t="s">
        <v>84</v>
      </c>
      <c r="B37">
        <v>7.9349999999999996</v>
      </c>
      <c r="C37">
        <v>8.718</v>
      </c>
      <c r="D37">
        <v>2.1720000000000002</v>
      </c>
      <c r="E37">
        <v>11.255000000000001</v>
      </c>
      <c r="F37">
        <v>1.3779999999999999</v>
      </c>
      <c r="G37">
        <v>3.5640000000000001</v>
      </c>
      <c r="H37">
        <v>-14.17</v>
      </c>
      <c r="I37">
        <v>13.733000000000001</v>
      </c>
      <c r="J37">
        <f>chloroform!J42</f>
        <v>2.3549036575819417E-4</v>
      </c>
      <c r="K37" t="str">
        <f>chloroform!F42</f>
        <v>6H4</v>
      </c>
      <c r="M37">
        <f>0.9155*Table2[[#This Row],[J1,2]]*Table2[[#This Row],[weight]]</f>
        <v>1.7107179958726583E-3</v>
      </c>
      <c r="N37">
        <f>0.9155*Table2[[#This Row],[J2,3]]*Table2[[#This Row],[weight]]</f>
        <v>1.879526085446482E-3</v>
      </c>
      <c r="O37">
        <f>0.9155*Table2[[#This Row],[J34]]*Table2[[#This Row],[weight]]</f>
        <v>4.6826458563773332E-4</v>
      </c>
      <c r="P37">
        <f>0.9155*Table2[[#This Row],[J45]]*Table2[[#This Row],[weight]]</f>
        <v>2.4264815429800596E-3</v>
      </c>
      <c r="Q37">
        <f>0.9155*Table2[[#This Row],[J56]]*Table2[[#This Row],[weight]]</f>
        <v>2.9708499033554163E-4</v>
      </c>
      <c r="R37">
        <f>0.9155*Table2[[#This Row],[J67]]*Table2[[#This Row],[weight]]</f>
        <v>7.6836785599119779E-4</v>
      </c>
      <c r="S37">
        <f>0.9155*Table2[[#This Row],[J67'']]*Table2[[#This Row],[weight]]</f>
        <v>2.9607171061523906E-3</v>
      </c>
      <c r="T37">
        <f>0.9155*Table2[[#This Row],[J77'']]*Table2[[#This Row],[weight]]</f>
        <v>-3.0549305609975513E-3</v>
      </c>
    </row>
    <row r="38" spans="1:32" x14ac:dyDescent="0.25">
      <c r="A38" t="s">
        <v>85</v>
      </c>
      <c r="B38">
        <v>7.75</v>
      </c>
      <c r="C38">
        <v>9.6300000000000008</v>
      </c>
      <c r="D38">
        <v>3.0870000000000002</v>
      </c>
      <c r="E38">
        <v>11.297000000000001</v>
      </c>
      <c r="F38">
        <v>10.74</v>
      </c>
      <c r="G38">
        <v>2.391</v>
      </c>
      <c r="H38">
        <v>-12.073</v>
      </c>
      <c r="I38">
        <v>11.214</v>
      </c>
      <c r="J38">
        <f>chloroform!J43</f>
        <v>4.4310874929088404E-2</v>
      </c>
      <c r="K38" t="str">
        <f>chloroform!F43</f>
        <v>5C12</v>
      </c>
      <c r="M38">
        <f>0.9155*Table2[[#This Row],[J1,2]]*Table2[[#This Row],[weight]]</f>
        <v>0.31439119648124836</v>
      </c>
      <c r="N38">
        <f>0.9155*Table2[[#This Row],[J2,3]]*Table2[[#This Row],[weight]]</f>
        <v>0.39065641575669963</v>
      </c>
      <c r="O38">
        <f>0.9155*Table2[[#This Row],[J34]]*Table2[[#This Row],[weight]]</f>
        <v>0.1252291127145308</v>
      </c>
      <c r="P38">
        <f>0.9155*Table2[[#This Row],[J45]]*Table2[[#This Row],[weight]]</f>
        <v>0.45828094795466612</v>
      </c>
      <c r="Q38">
        <f>0.9155*Table2[[#This Row],[J56]]*Table2[[#This Row],[weight]]</f>
        <v>0.43568534841401391</v>
      </c>
      <c r="R38">
        <f>0.9155*Table2[[#This Row],[J67]]*Table2[[#This Row],[weight]]</f>
        <v>9.6994754940214811E-2</v>
      </c>
      <c r="S38">
        <f>0.9155*Table2[[#This Row],[J67'']]*Table2[[#This Row],[weight]]</f>
        <v>0.45491391965686701</v>
      </c>
      <c r="T38">
        <f>0.9155*Table2[[#This Row],[J77'']]*Table2[[#This Row],[weight]]</f>
        <v>-0.48976063420878857</v>
      </c>
    </row>
    <row r="39" spans="1:32" x14ac:dyDescent="0.25">
      <c r="A39" t="s">
        <v>110</v>
      </c>
      <c r="B39">
        <v>8.3089999999999993</v>
      </c>
      <c r="C39">
        <v>2.3439999999999999</v>
      </c>
      <c r="D39">
        <v>1.5389999999999999</v>
      </c>
      <c r="E39">
        <v>1.83</v>
      </c>
      <c r="F39">
        <v>11.49</v>
      </c>
      <c r="G39">
        <v>2.629</v>
      </c>
      <c r="H39">
        <v>-12.88</v>
      </c>
      <c r="I39">
        <v>1.258</v>
      </c>
      <c r="J39">
        <f>chloroform!J44</f>
        <v>0</v>
      </c>
      <c r="K39" t="str">
        <f>chloroform!F44</f>
        <v>4H6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111</v>
      </c>
      <c r="B40">
        <v>8.59</v>
      </c>
      <c r="C40">
        <v>3.0419999999999998</v>
      </c>
      <c r="D40">
        <v>3.452</v>
      </c>
      <c r="E40">
        <v>4.9989999999999997</v>
      </c>
      <c r="F40">
        <v>2.226</v>
      </c>
      <c r="G40">
        <v>6.944</v>
      </c>
      <c r="H40">
        <v>-13.555</v>
      </c>
      <c r="I40">
        <v>0.35599999999999998</v>
      </c>
      <c r="J40">
        <f>chloroform!J45</f>
        <v>0</v>
      </c>
      <c r="K40" t="str">
        <f>chloroform!F45</f>
        <v>12C5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112</v>
      </c>
      <c r="B41">
        <v>7.548</v>
      </c>
      <c r="C41">
        <v>4.45</v>
      </c>
      <c r="D41">
        <v>1.5860000000000001</v>
      </c>
      <c r="E41">
        <v>5.0129999999999999</v>
      </c>
      <c r="F41">
        <v>2.0579999999999998</v>
      </c>
      <c r="G41">
        <v>13.246</v>
      </c>
      <c r="H41">
        <v>-11.454000000000001</v>
      </c>
      <c r="I41">
        <v>5.1180000000000003</v>
      </c>
      <c r="J41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86</v>
      </c>
      <c r="B42">
        <v>8.3629999999999995</v>
      </c>
      <c r="C42">
        <v>9.5879999999999992</v>
      </c>
      <c r="D42">
        <v>3.2959999999999998</v>
      </c>
      <c r="E42">
        <v>11.781000000000001</v>
      </c>
      <c r="F42">
        <v>9.2609999999999992</v>
      </c>
      <c r="G42">
        <v>1.2669999999999999</v>
      </c>
      <c r="H42">
        <v>-14.084</v>
      </c>
      <c r="I42">
        <v>2.7559999999999998</v>
      </c>
      <c r="J42">
        <f>chloroform!J47</f>
        <v>2.2811825895973138E-3</v>
      </c>
      <c r="K42" t="str">
        <f>chloroform!F47</f>
        <v>5C12</v>
      </c>
      <c r="M42">
        <f>0.9155*Table2[[#This Row],[J1,2]]*Table2[[#This Row],[weight]]</f>
        <v>1.7465478712072536E-2</v>
      </c>
      <c r="N42">
        <f>0.9155*Table2[[#This Row],[J2,3]]*Table2[[#This Row],[weight]]</f>
        <v>2.0023796471523553E-2</v>
      </c>
      <c r="O42">
        <f>0.9155*Table2[[#This Row],[J34]]*Table2[[#This Row],[weight]]</f>
        <v>6.8834410899188186E-3</v>
      </c>
      <c r="P42">
        <f>0.9155*Table2[[#This Row],[J45]]*Table2[[#This Row],[weight]]</f>
        <v>2.4603707366606074E-2</v>
      </c>
      <c r="Q42">
        <f>0.9155*Table2[[#This Row],[J56]]*Table2[[#This Row],[weight]]</f>
        <v>1.9340882261449692E-2</v>
      </c>
      <c r="R42">
        <f>0.9155*Table2[[#This Row],[J67]]*Table2[[#This Row],[weight]]</f>
        <v>2.6460315112036238E-3</v>
      </c>
      <c r="S42">
        <f>0.9155*Table2[[#This Row],[J67'']]*Table2[[#This Row],[weight]]</f>
        <v>5.7556928530995942E-3</v>
      </c>
      <c r="T42">
        <f>0.9155*Table2[[#This Row],[J77'']]*Table2[[#This Row],[weight]]</f>
        <v>-2.9413344754373981E-2</v>
      </c>
    </row>
    <row r="43" spans="1:32" x14ac:dyDescent="0.25">
      <c r="A43" t="s">
        <v>87</v>
      </c>
      <c r="B43">
        <v>8.01</v>
      </c>
      <c r="C43">
        <v>2.2090000000000001</v>
      </c>
      <c r="D43">
        <v>1.702</v>
      </c>
      <c r="E43">
        <v>2.9020000000000001</v>
      </c>
      <c r="F43">
        <v>10.210000000000001</v>
      </c>
      <c r="G43">
        <v>11.366</v>
      </c>
      <c r="H43">
        <v>-11.397</v>
      </c>
      <c r="I43">
        <v>5.4249999999999998</v>
      </c>
      <c r="J43">
        <f>chloroform!J48</f>
        <v>6.5209574072440518E-3</v>
      </c>
      <c r="K43" t="str">
        <f>chloroform!F48</f>
        <v>4H6</v>
      </c>
      <c r="M43">
        <f>0.9155*Table2[[#This Row],[J1,2]]*Table2[[#This Row],[weight]]</f>
        <v>4.7819191415718755E-2</v>
      </c>
      <c r="N43">
        <f>0.9155*Table2[[#This Row],[J2,3]]*Table2[[#This Row],[weight]]</f>
        <v>1.3187589742487233E-2</v>
      </c>
      <c r="O43">
        <f>0.9155*Table2[[#This Row],[J34]]*Table2[[#This Row],[weight]]</f>
        <v>1.0160831933776943E-2</v>
      </c>
      <c r="P43">
        <f>0.9155*Table2[[#This Row],[J45]]*Table2[[#This Row],[weight]]</f>
        <v>1.7324755741375261E-2</v>
      </c>
      <c r="Q43">
        <f>0.9155*Table2[[#This Row],[J56]]*Table2[[#This Row],[weight]]</f>
        <v>6.0953051729649002E-2</v>
      </c>
      <c r="R43">
        <f>0.9155*Table2[[#This Row],[J67]]*Table2[[#This Row],[weight]]</f>
        <v>6.7854298330968704E-2</v>
      </c>
      <c r="S43">
        <f>0.9155*Table2[[#This Row],[J67'']]*Table2[[#This Row],[weight]]</f>
        <v>3.2386905546850718E-2</v>
      </c>
      <c r="T43">
        <f>0.9155*Table2[[#This Row],[J77'']]*Table2[[#This Row],[weight]]</f>
        <v>-6.8039366362664999E-2</v>
      </c>
    </row>
    <row r="44" spans="1:32" x14ac:dyDescent="0.25">
      <c r="A44" t="s">
        <v>88</v>
      </c>
      <c r="B44">
        <v>8.3840000000000003</v>
      </c>
      <c r="C44">
        <v>9.5069999999999997</v>
      </c>
      <c r="D44">
        <v>3.206</v>
      </c>
      <c r="E44">
        <v>11.582000000000001</v>
      </c>
      <c r="F44">
        <v>10.241</v>
      </c>
      <c r="G44">
        <v>1.863</v>
      </c>
      <c r="H44">
        <v>-12.785</v>
      </c>
      <c r="I44">
        <v>1.8660000000000001</v>
      </c>
      <c r="J44">
        <f>chloroform!J49</f>
        <v>3.8555310327115337E-2</v>
      </c>
      <c r="K44" t="str">
        <f>chloroform!F49</f>
        <v>5C12</v>
      </c>
      <c r="M44">
        <f>0.9155*Table2[[#This Row],[J1,2]]*Table2[[#This Row],[weight]]</f>
        <v>0.29593328929191076</v>
      </c>
      <c r="N44">
        <f>0.9155*Table2[[#This Row],[J2,3]]*Table2[[#This Row],[weight]]</f>
        <v>0.33557225444873517</v>
      </c>
      <c r="O44">
        <f>0.9155*Table2[[#This Row],[J34]]*Table2[[#This Row],[weight]]</f>
        <v>0.11316342145394392</v>
      </c>
      <c r="P44">
        <f>0.9155*Table2[[#This Row],[J45]]*Table2[[#This Row],[weight]]</f>
        <v>0.40881433165301895</v>
      </c>
      <c r="Q44">
        <f>0.9155*Table2[[#This Row],[J56]]*Table2[[#This Row],[weight]]</f>
        <v>0.36148053621641912</v>
      </c>
      <c r="R44">
        <f>0.9155*Table2[[#This Row],[J67]]*Table2[[#This Row],[weight]]</f>
        <v>6.5759031244135235E-2</v>
      </c>
      <c r="S44">
        <f>0.9155*Table2[[#This Row],[J67'']]*Table2[[#This Row],[weight]]</f>
        <v>6.5864923403948658E-2</v>
      </c>
      <c r="T44">
        <f>0.9155*Table2[[#This Row],[J77'']]*Table2[[#This Row],[weight]]</f>
        <v>-0.45127708773820124</v>
      </c>
    </row>
    <row r="45" spans="1:32" x14ac:dyDescent="0.25">
      <c r="A45" t="s">
        <v>113</v>
      </c>
      <c r="B45">
        <v>7.3070000000000004</v>
      </c>
      <c r="C45">
        <v>4.6500000000000004</v>
      </c>
      <c r="D45">
        <v>1.4079999999999999</v>
      </c>
      <c r="E45">
        <v>4.5890000000000004</v>
      </c>
      <c r="F45">
        <v>1.534</v>
      </c>
      <c r="G45">
        <v>12.442</v>
      </c>
      <c r="H45">
        <v>-10.365</v>
      </c>
      <c r="I45">
        <v>5.4059999999999997</v>
      </c>
      <c r="J45">
        <f>chloroform!J50</f>
        <v>0</v>
      </c>
      <c r="K45" t="str">
        <f>chloroform!F50</f>
        <v>12C5</v>
      </c>
      <c r="M45">
        <f>0.9155*Table2[[#This Row],[J1,2]]*Table2[[#This Row],[weight]]</f>
        <v>0</v>
      </c>
      <c r="N45">
        <f>0.9155*Table2[[#This Row],[J2,3]]*Table2[[#This Row],[weight]]</f>
        <v>0</v>
      </c>
      <c r="O45">
        <f>0.9155*Table2[[#This Row],[J34]]*Table2[[#This Row],[weight]]</f>
        <v>0</v>
      </c>
      <c r="P45">
        <f>0.9155*Table2[[#This Row],[J45]]*Table2[[#This Row],[weight]]</f>
        <v>0</v>
      </c>
      <c r="Q45">
        <f>0.9155*Table2[[#This Row],[J56]]*Table2[[#This Row],[weight]]</f>
        <v>0</v>
      </c>
      <c r="R45">
        <f>0.9155*Table2[[#This Row],[J67]]*Table2[[#This Row],[weight]]</f>
        <v>0</v>
      </c>
      <c r="S45">
        <f>0.9155*Table2[[#This Row],[J67'']]*Table2[[#This Row],[weight]]</f>
        <v>0</v>
      </c>
      <c r="T45">
        <f>0.9155*Table2[[#This Row],[J77'']]*Table2[[#This Row],[weight]]</f>
        <v>0</v>
      </c>
    </row>
    <row r="46" spans="1:32" x14ac:dyDescent="0.25">
      <c r="A46" t="s">
        <v>114</v>
      </c>
      <c r="B46">
        <v>7.71</v>
      </c>
      <c r="C46">
        <v>4.306</v>
      </c>
      <c r="D46">
        <v>1.542</v>
      </c>
      <c r="E46">
        <v>5.258</v>
      </c>
      <c r="F46">
        <v>2.0510000000000002</v>
      </c>
      <c r="G46">
        <v>1.212</v>
      </c>
      <c r="H46">
        <v>-13.64</v>
      </c>
      <c r="I46">
        <v>10.287000000000001</v>
      </c>
      <c r="J46">
        <f>chloroform!J51</f>
        <v>0</v>
      </c>
      <c r="K46" t="str">
        <f>chloroform!F51</f>
        <v>12C5</v>
      </c>
      <c r="M46">
        <f>0.9155*Table2[[#This Row],[J1,2]]*Table2[[#This Row],[weight]]</f>
        <v>0</v>
      </c>
      <c r="N46">
        <f>0.9155*Table2[[#This Row],[J2,3]]*Table2[[#This Row],[weight]]</f>
        <v>0</v>
      </c>
      <c r="O46">
        <f>0.9155*Table2[[#This Row],[J34]]*Table2[[#This Row],[weight]]</f>
        <v>0</v>
      </c>
      <c r="P46">
        <f>0.9155*Table2[[#This Row],[J45]]*Table2[[#This Row],[weight]]</f>
        <v>0</v>
      </c>
      <c r="Q46">
        <f>0.9155*Table2[[#This Row],[J56]]*Table2[[#This Row],[weight]]</f>
        <v>0</v>
      </c>
      <c r="R46">
        <f>0.9155*Table2[[#This Row],[J67]]*Table2[[#This Row],[weight]]</f>
        <v>0</v>
      </c>
      <c r="S46">
        <f>0.9155*Table2[[#This Row],[J67'']]*Table2[[#This Row],[weight]]</f>
        <v>0</v>
      </c>
      <c r="T46">
        <f>0.9155*Table2[[#This Row],[J77'']]*Table2[[#This Row],[weight]]</f>
        <v>0</v>
      </c>
    </row>
    <row r="47" spans="1:32" x14ac:dyDescent="0.25">
      <c r="A47" t="s">
        <v>115</v>
      </c>
      <c r="B47">
        <v>7.9450000000000003</v>
      </c>
      <c r="C47">
        <v>9.6859999999999999</v>
      </c>
      <c r="D47">
        <v>2.5680000000000001</v>
      </c>
      <c r="E47">
        <v>11.843</v>
      </c>
      <c r="F47">
        <v>9.8919999999999995</v>
      </c>
      <c r="G47">
        <v>0.96199999999999997</v>
      </c>
      <c r="H47">
        <v>-14.106</v>
      </c>
      <c r="I47">
        <v>3.2130000000000001</v>
      </c>
      <c r="J47" s="4">
        <f>chloroform!J52</f>
        <v>0</v>
      </c>
      <c r="K47" t="str">
        <f>chloroform!F53</f>
        <v>5C12</v>
      </c>
      <c r="M47">
        <f>0.9155*Table2[[#This Row],[J1,2]]*Table2[[#This Row],[weight]]</f>
        <v>0</v>
      </c>
      <c r="N47">
        <f>0.9155*Table2[[#This Row],[J2,3]]*Table2[[#This Row],[weight]]</f>
        <v>0</v>
      </c>
      <c r="O47">
        <f>0.9155*Table2[[#This Row],[J34]]*Table2[[#This Row],[weight]]</f>
        <v>0</v>
      </c>
      <c r="P47">
        <f>0.9155*Table2[[#This Row],[J45]]*Table2[[#This Row],[weight]]</f>
        <v>0</v>
      </c>
      <c r="Q47">
        <f>0.9155*Table2[[#This Row],[J56]]*Table2[[#This Row],[weight]]</f>
        <v>0</v>
      </c>
      <c r="R47">
        <f>0.9155*Table2[[#This Row],[J67]]*Table2[[#This Row],[weight]]</f>
        <v>0</v>
      </c>
      <c r="S47">
        <f>0.9155*Table2[[#This Row],[J67'']]*Table2[[#This Row],[weight]]</f>
        <v>0</v>
      </c>
      <c r="T47">
        <f>0.9155*Table2[[#This Row],[J77'']]*Table2[[#This Row],[weight]]</f>
        <v>0</v>
      </c>
    </row>
    <row r="48" spans="1:32" x14ac:dyDescent="0.25">
      <c r="A48" t="s">
        <v>89</v>
      </c>
      <c r="B48">
        <v>7.7770000000000001</v>
      </c>
      <c r="C48">
        <v>9.6180000000000003</v>
      </c>
      <c r="D48">
        <v>3.2610000000000001</v>
      </c>
      <c r="E48">
        <v>11.61</v>
      </c>
      <c r="F48">
        <v>10.763</v>
      </c>
      <c r="G48">
        <v>10.298999999999999</v>
      </c>
      <c r="H48">
        <v>-11.920999999999999</v>
      </c>
      <c r="I48">
        <v>2.0219999999999998</v>
      </c>
      <c r="J48" s="4">
        <f>chloroform!J53</f>
        <v>7.4801669878503804E-3</v>
      </c>
      <c r="K48" t="str">
        <f>chloroform!F54</f>
        <v>5C12</v>
      </c>
      <c r="M48">
        <f>0.9155*Table2[[#This Row],[J1,2]]*Table2[[#This Row],[weight]]</f>
        <v>5.3257618307361108E-2</v>
      </c>
      <c r="N48">
        <f>0.9155*Table2[[#This Row],[J2,3]]*Table2[[#This Row],[weight]]</f>
        <v>6.5864957294612211E-2</v>
      </c>
      <c r="O48">
        <f>0.9155*Table2[[#This Row],[J34]]*Table2[[#This Row],[weight]]</f>
        <v>2.2331630873126472E-2</v>
      </c>
      <c r="P48">
        <f>0.9155*Table2[[#This Row],[J45]]*Table2[[#This Row],[weight]]</f>
        <v>7.9506358306347238E-2</v>
      </c>
      <c r="Q48">
        <f>0.9155*Table2[[#This Row],[J56]]*Table2[[#This Row],[weight]]</f>
        <v>7.370602363920889E-2</v>
      </c>
      <c r="R48">
        <f>0.9155*Table2[[#This Row],[J67]]*Table2[[#This Row],[weight]]</f>
        <v>7.0528508544105958E-2</v>
      </c>
      <c r="S48">
        <f>0.9155*Table2[[#This Row],[J67'']]*Table2[[#This Row],[weight]]</f>
        <v>1.3846843798056339E-2</v>
      </c>
      <c r="T48">
        <f>0.9155*Table2[[#This Row],[J77'']]*Table2[[#This Row],[weight]]</f>
        <v>-8.1636115191211486E-2</v>
      </c>
    </row>
    <row r="49" spans="1:30" x14ac:dyDescent="0.25">
      <c r="A49" t="s">
        <v>35</v>
      </c>
      <c r="B49">
        <v>7.4260000000000002</v>
      </c>
      <c r="C49">
        <v>9.6319999999999997</v>
      </c>
      <c r="D49">
        <v>2.8889999999999998</v>
      </c>
      <c r="E49">
        <v>11.404</v>
      </c>
      <c r="F49">
        <v>11.605</v>
      </c>
      <c r="G49">
        <v>0.218</v>
      </c>
      <c r="H49">
        <v>-13.374000000000001</v>
      </c>
      <c r="I49">
        <v>7.2910000000000004</v>
      </c>
      <c r="J49" s="4">
        <f>chloroform!J54</f>
        <v>2.0420972223418954E-4</v>
      </c>
      <c r="K49" t="str">
        <f>chloroform!F55</f>
        <v>5C12</v>
      </c>
      <c r="M49">
        <f>0.9155*Table2[[#This Row],[J1,2]]*Table2[[#This Row],[weight]]</f>
        <v>1.3883204092383042E-3</v>
      </c>
      <c r="N49">
        <f>0.9155*Table2[[#This Row],[J2,3]]*Table2[[#This Row],[weight]]</f>
        <v>1.8007409347944175E-3</v>
      </c>
      <c r="O49">
        <f>0.9155*Table2[[#This Row],[J34]]*Table2[[#This Row],[weight]]</f>
        <v>5.4011010803790198E-4</v>
      </c>
      <c r="P49">
        <f>0.9155*Table2[[#This Row],[J45]]*Table2[[#This Row],[weight]]</f>
        <v>2.1320234240443875E-3</v>
      </c>
      <c r="Q49">
        <f>0.9155*Table2[[#This Row],[J56]]*Table2[[#This Row],[weight]]</f>
        <v>2.169601178186173E-3</v>
      </c>
      <c r="R49">
        <f>0.9155*Table2[[#This Row],[J67]]*Table2[[#This Row],[weight]]</f>
        <v>4.0755972153777318E-5</v>
      </c>
      <c r="S49">
        <f>0.9155*Table2[[#This Row],[J67'']]*Table2[[#This Row],[weight]]</f>
        <v>1.3630816191430753E-3</v>
      </c>
      <c r="T49">
        <f>0.9155*Table2[[#This Row],[J77'']]*Table2[[#This Row],[weight]]</f>
        <v>-2.5003228054340265E-3</v>
      </c>
    </row>
    <row r="50" spans="1:30" x14ac:dyDescent="0.25">
      <c r="A50" t="s">
        <v>90</v>
      </c>
      <c r="B50">
        <v>7.851</v>
      </c>
      <c r="C50">
        <v>9.6039999999999992</v>
      </c>
      <c r="D50">
        <v>3.1070000000000002</v>
      </c>
      <c r="E50">
        <v>11.244</v>
      </c>
      <c r="F50">
        <v>10.811</v>
      </c>
      <c r="G50">
        <v>1.841</v>
      </c>
      <c r="H50">
        <v>-13.474</v>
      </c>
      <c r="I50">
        <v>11.539</v>
      </c>
      <c r="J50" s="4">
        <f>chloroform!J55</f>
        <v>6.0119762672846327E-2</v>
      </c>
      <c r="K50" t="str">
        <f>chloroform!F56</f>
        <v>5C12</v>
      </c>
      <c r="M50">
        <f>0.9155*Table2[[#This Row],[J1,2]]*Table2[[#This Row],[weight]]</f>
        <v>0.43211623504960484</v>
      </c>
      <c r="N50">
        <f>0.9155*Table2[[#This Row],[J2,3]]*Table2[[#This Row],[weight]]</f>
        <v>0.52860072875001973</v>
      </c>
      <c r="O50">
        <f>0.9155*Table2[[#This Row],[J34]]*Table2[[#This Row],[weight]]</f>
        <v>0.17100816995276047</v>
      </c>
      <c r="P50">
        <f>0.9155*Table2[[#This Row],[J45]]*Table2[[#This Row],[weight]]</f>
        <v>0.61886574282228468</v>
      </c>
      <c r="Q50">
        <f>0.9155*Table2[[#This Row],[J56]]*Table2[[#This Row],[weight]]</f>
        <v>0.59503357752149766</v>
      </c>
      <c r="R50">
        <f>0.9155*Table2[[#This Row],[J67]]*Table2[[#This Row],[weight]]</f>
        <v>0.10132798226039008</v>
      </c>
      <c r="S50">
        <f>0.9155*Table2[[#This Row],[J67'']]*Table2[[#This Row],[weight]]</f>
        <v>0.63510243742674699</v>
      </c>
      <c r="T50">
        <f>0.9155*Table2[[#This Row],[J77'']]*Table2[[#This Row],[weight]]</f>
        <v>-0.74160414610347425</v>
      </c>
    </row>
    <row r="51" spans="1:30" x14ac:dyDescent="0.25">
      <c r="A51" t="s">
        <v>91</v>
      </c>
      <c r="B51">
        <v>8.0009999999999994</v>
      </c>
      <c r="C51">
        <v>9.673</v>
      </c>
      <c r="D51">
        <v>3.1280000000000001</v>
      </c>
      <c r="E51">
        <v>11.555999999999999</v>
      </c>
      <c r="F51">
        <v>9.9169999999999998</v>
      </c>
      <c r="G51">
        <v>10.257999999999999</v>
      </c>
      <c r="H51">
        <v>-11.692</v>
      </c>
      <c r="I51">
        <v>1.8280000000000001</v>
      </c>
      <c r="J51" s="4">
        <f>chloroform!J56</f>
        <v>3.6238035402568207E-4</v>
      </c>
      <c r="K51" t="str">
        <f>chloroform!F57</f>
        <v>5C12</v>
      </c>
      <c r="M51">
        <f>0.9155*Table2[[#This Row],[J1,2]]*Table2[[#This Row],[weight]]</f>
        <v>2.6544054720982059E-3</v>
      </c>
      <c r="N51">
        <f>0.9155*Table2[[#This Row],[J2,3]]*Table2[[#This Row],[weight]]</f>
        <v>3.2091068780909816E-3</v>
      </c>
      <c r="O51">
        <f>0.9155*Table2[[#This Row],[J34]]*Table2[[#This Row],[weight]]</f>
        <v>1.0377428217376813E-3</v>
      </c>
      <c r="P51">
        <f>0.9155*Table2[[#This Row],[J45]]*Table2[[#This Row],[weight]]</f>
        <v>3.8338094782610754E-3</v>
      </c>
      <c r="Q51">
        <f>0.9155*Table2[[#This Row],[J56]]*Table2[[#This Row],[weight]]</f>
        <v>3.2900561263339472E-3</v>
      </c>
      <c r="R51">
        <f>0.9155*Table2[[#This Row],[J67]]*Table2[[#This Row],[weight]]</f>
        <v>3.4031860183456309E-3</v>
      </c>
      <c r="S51">
        <f>0.9155*Table2[[#This Row],[J67'']]*Table2[[#This Row],[weight]]</f>
        <v>6.0645584339401586E-4</v>
      </c>
      <c r="T51">
        <f>0.9155*Table2[[#This Row],[J77'']]*Table2[[#This Row],[weight]]</f>
        <v>-3.878928731380106E-3</v>
      </c>
      <c r="AA51" s="5"/>
      <c r="AB51" s="5"/>
      <c r="AC51" s="5"/>
      <c r="AD51" s="5"/>
    </row>
    <row r="52" spans="1:30" x14ac:dyDescent="0.25">
      <c r="A52" t="s">
        <v>92</v>
      </c>
      <c r="B52">
        <v>7.7320000000000002</v>
      </c>
      <c r="C52">
        <v>9.64</v>
      </c>
      <c r="D52">
        <v>3.1120000000000001</v>
      </c>
      <c r="E52">
        <v>11.586</v>
      </c>
      <c r="F52">
        <v>10.097</v>
      </c>
      <c r="G52">
        <v>1.615</v>
      </c>
      <c r="H52">
        <v>-13.877000000000001</v>
      </c>
      <c r="I52">
        <v>11.313000000000001</v>
      </c>
      <c r="J52" s="4">
        <f>chloroform!J57</f>
        <v>1.2221617734288117E-3</v>
      </c>
      <c r="K52" t="str">
        <f>chloroform!F58</f>
        <v>56E</v>
      </c>
      <c r="M52">
        <f>0.9155*Table2[[#This Row],[J1,2]]*Table2[[#This Row],[weight]]</f>
        <v>8.651250548834765E-3</v>
      </c>
      <c r="N52">
        <f>0.9155*Table2[[#This Row],[J2,3]]*Table2[[#This Row],[weight]]</f>
        <v>1.0786090958454104E-2</v>
      </c>
      <c r="O52">
        <f>0.9155*Table2[[#This Row],[J34]]*Table2[[#This Row],[weight]]</f>
        <v>3.4819828903225277E-3</v>
      </c>
      <c r="P52">
        <f>0.9155*Table2[[#This Row],[J45]]*Table2[[#This Row],[weight]]</f>
        <v>1.2963449154009257E-2</v>
      </c>
      <c r="Q52">
        <f>0.9155*Table2[[#This Row],[J56]]*Table2[[#This Row],[weight]]</f>
        <v>1.1297423278787454E-2</v>
      </c>
      <c r="R52">
        <f>0.9155*Table2[[#This Row],[J67]]*Table2[[#This Row],[weight]]</f>
        <v>1.8070059022721346E-3</v>
      </c>
      <c r="S52">
        <f>0.9155*Table2[[#This Row],[J67'']]*Table2[[#This Row],[weight]]</f>
        <v>1.2657992428733535E-2</v>
      </c>
      <c r="T52">
        <f>0.9155*Table2[[#This Row],[J77'']]*Table2[[#This Row],[weight]]</f>
        <v>-1.5526824090297469E-2</v>
      </c>
    </row>
    <row r="53" spans="1:30" x14ac:dyDescent="0.25">
      <c r="A53" t="s">
        <v>93</v>
      </c>
      <c r="B53">
        <v>8.2629999999999999</v>
      </c>
      <c r="C53">
        <v>5.1920000000000002</v>
      </c>
      <c r="D53">
        <v>3.12</v>
      </c>
      <c r="E53">
        <v>10.851000000000001</v>
      </c>
      <c r="F53">
        <v>10.433</v>
      </c>
      <c r="G53">
        <v>2.4660000000000002</v>
      </c>
      <c r="H53">
        <v>-13.84</v>
      </c>
      <c r="I53">
        <v>1.4510000000000001</v>
      </c>
      <c r="J53" s="4">
        <f>chloroform!J58</f>
        <v>8.1234188329494146E-5</v>
      </c>
      <c r="K53" t="str">
        <f>chloroform!F59</f>
        <v>4H6</v>
      </c>
      <c r="M53">
        <f>0.9155*Table2[[#This Row],[J1,2]]*Table2[[#This Row],[weight]]</f>
        <v>6.145184788715315E-4</v>
      </c>
      <c r="N53">
        <f>0.9155*Table2[[#This Row],[J2,3]]*Table2[[#This Row],[weight]]</f>
        <v>3.8612851776606457E-4</v>
      </c>
      <c r="O53">
        <f>0.9155*Table2[[#This Row],[J34]]*Table2[[#This Row],[weight]]</f>
        <v>2.3203408617683389E-4</v>
      </c>
      <c r="P53">
        <f>0.9155*Table2[[#This Row],[J45]]*Table2[[#This Row],[weight]]</f>
        <v>8.0698777855923868E-4</v>
      </c>
      <c r="Q53">
        <f>0.9155*Table2[[#This Row],[J56]]*Table2[[#This Row],[weight]]</f>
        <v>7.7590116060349617E-4</v>
      </c>
      <c r="R53">
        <f>0.9155*Table2[[#This Row],[J67]]*Table2[[#This Row],[weight]]</f>
        <v>1.8339617195899758E-4</v>
      </c>
      <c r="S53">
        <f>0.9155*Table2[[#This Row],[J67'']]*Table2[[#This Row],[weight]]</f>
        <v>1.079107240521109E-4</v>
      </c>
      <c r="T53">
        <f>0.9155*Table2[[#This Row],[J77'']]*Table2[[#This Row],[weight]]</f>
        <v>-1.0292794079126222E-3</v>
      </c>
    </row>
    <row r="54" spans="1:30" x14ac:dyDescent="0.25">
      <c r="A54" t="s">
        <v>94</v>
      </c>
      <c r="B54">
        <v>8.1359999999999992</v>
      </c>
      <c r="C54">
        <v>2.2959999999999998</v>
      </c>
      <c r="D54">
        <v>2.145</v>
      </c>
      <c r="E54">
        <v>3.1349999999999998</v>
      </c>
      <c r="F54">
        <v>9.2989999999999995</v>
      </c>
      <c r="G54">
        <v>12.37</v>
      </c>
      <c r="H54">
        <v>-12.305999999999999</v>
      </c>
      <c r="I54">
        <v>5.3520000000000003</v>
      </c>
      <c r="J54" s="4">
        <f>chloroform!J59</f>
        <v>9.7436764796259168E-3</v>
      </c>
      <c r="K54" t="str">
        <f>chloroform!F60</f>
        <v>5C12</v>
      </c>
      <c r="M54">
        <f>0.9155*Table2[[#This Row],[J1,2]]*Table2[[#This Row],[weight]]</f>
        <v>7.2575852207905467E-2</v>
      </c>
      <c r="N54">
        <f>0.9155*Table2[[#This Row],[J2,3]]*Table2[[#This Row],[weight]]</f>
        <v>2.0481091036055922E-2</v>
      </c>
      <c r="O54">
        <f>0.9155*Table2[[#This Row],[J34]]*Table2[[#This Row],[weight]]</f>
        <v>1.9134120327674194E-2</v>
      </c>
      <c r="P54">
        <f>0.9155*Table2[[#This Row],[J45]]*Table2[[#This Row],[weight]]</f>
        <v>2.7965252786600742E-2</v>
      </c>
      <c r="Q54">
        <f>0.9155*Table2[[#This Row],[J56]]*Table2[[#This Row],[weight]]</f>
        <v>8.2950202763189901E-2</v>
      </c>
      <c r="R54">
        <f>0.9155*Table2[[#This Row],[J67]]*Table2[[#This Row],[weight]]</f>
        <v>0.11034455405749639</v>
      </c>
      <c r="S54">
        <f>0.9155*Table2[[#This Row],[J67'']]*Table2[[#This Row],[weight]]</f>
        <v>4.7741637293105967E-2</v>
      </c>
      <c r="T54">
        <f>0.9155*Table2[[#This Row],[J77'']]*Table2[[#This Row],[weight]]</f>
        <v>-0.10977365256520216</v>
      </c>
      <c r="V54" s="6">
        <v>6.8822000000000001</v>
      </c>
    </row>
    <row r="55" spans="1:30" x14ac:dyDescent="0.25">
      <c r="A55" t="s">
        <v>95</v>
      </c>
      <c r="B55">
        <v>7.8230000000000004</v>
      </c>
      <c r="C55">
        <v>9.6460000000000008</v>
      </c>
      <c r="D55">
        <v>3.19</v>
      </c>
      <c r="E55">
        <v>11.573</v>
      </c>
      <c r="F55">
        <v>10.56</v>
      </c>
      <c r="G55">
        <v>10.345000000000001</v>
      </c>
      <c r="H55">
        <v>-13.125999999999999</v>
      </c>
      <c r="I55">
        <v>1.67</v>
      </c>
      <c r="J55" s="4">
        <f>chloroform!J60</f>
        <v>1.0479670036557668E-3</v>
      </c>
      <c r="K55" t="str">
        <f>chloroform!F61</f>
        <v>4H6</v>
      </c>
      <c r="M55">
        <f>0.9155*Table2[[#This Row],[J1,2]]*Table2[[#This Row],[weight]]</f>
        <v>7.505494093617943E-3</v>
      </c>
      <c r="N55">
        <f>0.9155*Table2[[#This Row],[J2,3]]*Table2[[#This Row],[weight]]</f>
        <v>9.2545054361547596E-3</v>
      </c>
      <c r="O55">
        <f>0.9155*Table2[[#This Row],[J34]]*Table2[[#This Row],[weight]]</f>
        <v>3.0605299959914657E-3</v>
      </c>
      <c r="P55">
        <f>0.9155*Table2[[#This Row],[J45]]*Table2[[#This Row],[weight]]</f>
        <v>1.1103295813043647E-2</v>
      </c>
      <c r="Q55">
        <f>0.9155*Table2[[#This Row],[J56]]*Table2[[#This Row],[weight]]</f>
        <v>1.0131409641902784E-2</v>
      </c>
      <c r="R55">
        <f>0.9155*Table2[[#This Row],[J67]]*Table2[[#This Row],[weight]]</f>
        <v>9.9251356766557088E-3</v>
      </c>
      <c r="S55">
        <f>0.9155*Table2[[#This Row],[J67'']]*Table2[[#This Row],[weight]]</f>
        <v>1.6022210323842468E-3</v>
      </c>
      <c r="T55">
        <f>0.9155*Table2[[#This Row],[J77'']]*Table2[[#This Row],[weight]]</f>
        <v>-1.2593265431781811E-2</v>
      </c>
      <c r="V55" s="13">
        <v>3.2461500000000001</v>
      </c>
    </row>
    <row r="56" spans="1:30" x14ac:dyDescent="0.25">
      <c r="A56" t="s">
        <v>96</v>
      </c>
      <c r="B56">
        <v>8.3130000000000006</v>
      </c>
      <c r="C56">
        <v>2.1040000000000001</v>
      </c>
      <c r="D56">
        <v>2.2330000000000001</v>
      </c>
      <c r="E56">
        <v>0.77</v>
      </c>
      <c r="F56">
        <v>12.39</v>
      </c>
      <c r="G56">
        <v>7.7210000000000001</v>
      </c>
      <c r="H56">
        <v>-12.673999999999999</v>
      </c>
      <c r="I56">
        <v>0.45300000000000001</v>
      </c>
      <c r="J56" s="4">
        <f>chloroform!J61</f>
        <v>2.1096295378373285E-3</v>
      </c>
      <c r="K56" t="str">
        <f>chloroform!F62</f>
        <v>4H6</v>
      </c>
      <c r="M56">
        <f>0.9155*Table2[[#This Row],[J1,2]]*Table2[[#This Row],[weight]]</f>
        <v>1.6055444243632189E-2</v>
      </c>
      <c r="N56">
        <f>0.9155*Table2[[#This Row],[J2,3]]*Table2[[#This Row],[weight]]</f>
        <v>4.0635937313367159E-3</v>
      </c>
      <c r="O56">
        <f>0.9155*Table2[[#This Row],[J34]]*Table2[[#This Row],[weight]]</f>
        <v>4.312739924940536E-3</v>
      </c>
      <c r="P56">
        <f>0.9155*Table2[[#This Row],[J45]]*Table2[[#This Row],[weight]]</f>
        <v>1.4871516982553571E-3</v>
      </c>
      <c r="Q56">
        <f>0.9155*Table2[[#This Row],[J56]]*Table2[[#This Row],[weight]]</f>
        <v>2.3929622781018019E-2</v>
      </c>
      <c r="R56">
        <f>0.9155*Table2[[#This Row],[J67]]*Table2[[#This Row],[weight]]</f>
        <v>1.4912075665233263E-2</v>
      </c>
      <c r="S56">
        <f>0.9155*Table2[[#This Row],[J67'']]*Table2[[#This Row],[weight]]</f>
        <v>8.7490872637620363E-4</v>
      </c>
      <c r="T56">
        <f>0.9155*Table2[[#This Row],[J77'']]*Table2[[#This Row],[weight]]</f>
        <v>-2.4478130680114802E-2</v>
      </c>
      <c r="V56" s="13">
        <v>1.6780999999999999</v>
      </c>
    </row>
    <row r="57" spans="1:30" x14ac:dyDescent="0.25">
      <c r="A57" t="s">
        <v>116</v>
      </c>
      <c r="B57">
        <v>8.359</v>
      </c>
      <c r="C57">
        <v>2.3479999999999999</v>
      </c>
      <c r="D57">
        <v>1.512</v>
      </c>
      <c r="E57">
        <v>2.5659999999999998</v>
      </c>
      <c r="F57">
        <v>10.856</v>
      </c>
      <c r="G57">
        <v>0.33100000000000002</v>
      </c>
      <c r="H57">
        <v>-13.724</v>
      </c>
      <c r="I57">
        <v>8.1159999999999997</v>
      </c>
      <c r="J57" s="4">
        <f>chloroform!J62</f>
        <v>0</v>
      </c>
      <c r="K57" t="str">
        <f>chloroform!F63</f>
        <v>4H6</v>
      </c>
      <c r="M57">
        <f>0.9155*Table2[[#This Row],[J1,2]]*Table2[[#This Row],[weight]]</f>
        <v>0</v>
      </c>
      <c r="N57">
        <f>0.9155*Table2[[#This Row],[J2,3]]*Table2[[#This Row],[weight]]</f>
        <v>0</v>
      </c>
      <c r="O57">
        <f>0.9155*Table2[[#This Row],[J34]]*Table2[[#This Row],[weight]]</f>
        <v>0</v>
      </c>
      <c r="P57">
        <f>0.9155*Table2[[#This Row],[J45]]*Table2[[#This Row],[weight]]</f>
        <v>0</v>
      </c>
      <c r="Q57">
        <f>0.9155*Table2[[#This Row],[J56]]*Table2[[#This Row],[weight]]</f>
        <v>0</v>
      </c>
      <c r="R57">
        <f>0.9155*Table2[[#This Row],[J67]]*Table2[[#This Row],[weight]]</f>
        <v>0</v>
      </c>
      <c r="S57">
        <f>0.9155*Table2[[#This Row],[J67'']]*Table2[[#This Row],[weight]]</f>
        <v>0</v>
      </c>
      <c r="T57">
        <f>0.9155*Table2[[#This Row],[J77'']]*Table2[[#This Row],[weight]]</f>
        <v>0</v>
      </c>
      <c r="V57" s="13">
        <v>3.7138</v>
      </c>
    </row>
    <row r="58" spans="1:30" x14ac:dyDescent="0.25">
      <c r="A58" t="s">
        <v>117</v>
      </c>
      <c r="B58">
        <v>8.3309999999999995</v>
      </c>
      <c r="C58">
        <v>2.343</v>
      </c>
      <c r="D58">
        <v>1.524</v>
      </c>
      <c r="E58">
        <v>2.16</v>
      </c>
      <c r="F58">
        <v>11.792999999999999</v>
      </c>
      <c r="G58">
        <v>1.845</v>
      </c>
      <c r="H58">
        <v>-12.763999999999999</v>
      </c>
      <c r="I58">
        <v>10.965</v>
      </c>
      <c r="J58" s="4">
        <f>chloroform!J63</f>
        <v>4.1101993376206019E-5</v>
      </c>
      <c r="K58" t="str">
        <f>chloroform!F64</f>
        <v>5C12</v>
      </c>
      <c r="M58">
        <f>0.9155*Table2[[#This Row],[J1,2]]*Table2[[#This Row],[weight]]</f>
        <v>3.1348615709112123E-4</v>
      </c>
      <c r="N58">
        <f>0.9155*Table2[[#This Row],[J2,3]]*Table2[[#This Row],[weight]]</f>
        <v>8.8164453974852629E-5</v>
      </c>
      <c r="O58">
        <f>0.9155*Table2[[#This Row],[J34]]*Table2[[#This Row],[weight]]</f>
        <v>5.7346405402336914E-5</v>
      </c>
      <c r="P58">
        <f>0.9155*Table2[[#This Row],[J45]]*Table2[[#This Row],[weight]]</f>
        <v>8.1278369861579884E-5</v>
      </c>
      <c r="Q58">
        <f>0.9155*Table2[[#This Row],[J56]]*Table2[[#This Row],[weight]]</f>
        <v>4.437573221192645E-4</v>
      </c>
      <c r="R58">
        <f>0.9155*Table2[[#This Row],[J67]]*Table2[[#This Row],[weight]]</f>
        <v>6.9425274256766149E-5</v>
      </c>
      <c r="S58">
        <f>0.9155*Table2[[#This Row],[J67'']]*Table2[[#This Row],[weight]]</f>
        <v>4.1260061367232563E-4</v>
      </c>
      <c r="T58">
        <f>0.9155*Table2[[#This Row],[J77'']]*Table2[[#This Row],[weight]]</f>
        <v>-4.8029495968203954E-4</v>
      </c>
      <c r="V58" s="13">
        <v>8.5831</v>
      </c>
    </row>
    <row r="59" spans="1:30" x14ac:dyDescent="0.25">
      <c r="A59" t="s">
        <v>97</v>
      </c>
      <c r="B59">
        <v>7.8869999999999996</v>
      </c>
      <c r="C59">
        <v>9.7390000000000008</v>
      </c>
      <c r="D59">
        <v>2.9470000000000001</v>
      </c>
      <c r="E59">
        <v>11.532</v>
      </c>
      <c r="F59">
        <v>10.148999999999999</v>
      </c>
      <c r="G59">
        <v>10.340999999999999</v>
      </c>
      <c r="H59">
        <v>-12.941000000000001</v>
      </c>
      <c r="I59">
        <v>1.391</v>
      </c>
      <c r="J59" s="4">
        <f>chloroform!J64</f>
        <v>1.8029207709489026E-4</v>
      </c>
      <c r="K59" t="str">
        <f>chloroform!F65</f>
        <v>E45</v>
      </c>
      <c r="M59">
        <f>0.9155*Table2[[#This Row],[J1,2]]*Table2[[#This Row],[weight]]</f>
        <v>1.3018076868293942E-3</v>
      </c>
      <c r="N59">
        <f>0.9155*Table2[[#This Row],[J2,3]]*Table2[[#This Row],[weight]]</f>
        <v>1.6074939852962435E-3</v>
      </c>
      <c r="O59">
        <f>0.9155*Table2[[#This Row],[J34]]*Table2[[#This Row],[weight]]</f>
        <v>4.8642414772235638E-4</v>
      </c>
      <c r="P59">
        <f>0.9155*Table2[[#This Row],[J45]]*Table2[[#This Row],[weight]]</f>
        <v>1.9034418973648503E-3</v>
      </c>
      <c r="Q59">
        <f>0.9155*Table2[[#This Row],[J56]]*Table2[[#This Row],[weight]]</f>
        <v>1.6751675178941956E-3</v>
      </c>
      <c r="R59">
        <f>0.9155*Table2[[#This Row],[J67]]*Table2[[#This Row],[weight]]</f>
        <v>1.7068585380376272E-3</v>
      </c>
      <c r="S59">
        <f>0.9155*Table2[[#This Row],[J67'']]*Table2[[#This Row],[weight]]</f>
        <v>2.2959483864329748E-4</v>
      </c>
      <c r="T59">
        <f>0.9155*Table2[[#This Row],[J77'']]*Table2[[#This Row],[weight]]</f>
        <v>-2.1360077691465946E-3</v>
      </c>
      <c r="V59" s="6">
        <v>0</v>
      </c>
    </row>
    <row r="60" spans="1:30" x14ac:dyDescent="0.25">
      <c r="A60" t="s">
        <v>118</v>
      </c>
      <c r="B60">
        <v>9.173</v>
      </c>
      <c r="C60">
        <v>9.6219999999999999</v>
      </c>
      <c r="D60">
        <v>7.2910000000000004</v>
      </c>
      <c r="E60">
        <v>0.496</v>
      </c>
      <c r="F60">
        <v>4.1260000000000003</v>
      </c>
      <c r="G60">
        <v>13.627000000000001</v>
      </c>
      <c r="H60">
        <v>-12.285</v>
      </c>
      <c r="I60">
        <v>5.569</v>
      </c>
      <c r="J60" s="4">
        <f>chloroform!J65</f>
        <v>0</v>
      </c>
      <c r="K60" t="str">
        <f>chloroform!F66</f>
        <v>E45</v>
      </c>
      <c r="M60">
        <f>0.9155*Table2[[#This Row],[J1,2]]*Table2[[#This Row],[weight]]</f>
        <v>0</v>
      </c>
      <c r="N60">
        <f>0.9155*Table2[[#This Row],[J2,3]]*Table2[[#This Row],[weight]]</f>
        <v>0</v>
      </c>
      <c r="O60">
        <f>0.9155*Table2[[#This Row],[J34]]*Table2[[#This Row],[weight]]</f>
        <v>0</v>
      </c>
      <c r="P60">
        <f>0.9155*Table2[[#This Row],[J45]]*Table2[[#This Row],[weight]]</f>
        <v>0</v>
      </c>
      <c r="Q60">
        <f>0.9155*Table2[[#This Row],[J56]]*Table2[[#This Row],[weight]]</f>
        <v>0</v>
      </c>
      <c r="R60">
        <f>0.9155*Table2[[#This Row],[J67]]*Table2[[#This Row],[weight]]</f>
        <v>0</v>
      </c>
      <c r="S60">
        <f>0.9155*Table2[[#This Row],[J67'']]*Table2[[#This Row],[weight]]</f>
        <v>0</v>
      </c>
      <c r="T60">
        <f>0.9155*Table2[[#This Row],[J77'']]*Table2[[#This Row],[weight]]</f>
        <v>0</v>
      </c>
      <c r="V60" s="6">
        <v>5.6719999999999997</v>
      </c>
    </row>
    <row r="61" spans="1:30" x14ac:dyDescent="0.25">
      <c r="A61" t="s">
        <v>119</v>
      </c>
      <c r="B61">
        <v>9.3719999999999999</v>
      </c>
      <c r="C61">
        <v>9.0079999999999991</v>
      </c>
      <c r="D61">
        <v>7.9119999999999999</v>
      </c>
      <c r="E61">
        <v>0.67600000000000005</v>
      </c>
      <c r="F61">
        <v>4.32</v>
      </c>
      <c r="G61">
        <v>1.917</v>
      </c>
      <c r="H61">
        <v>-13.887</v>
      </c>
      <c r="I61">
        <v>11.785</v>
      </c>
      <c r="J61" s="4">
        <f>chloroform!J66</f>
        <v>0</v>
      </c>
      <c r="K61" t="str">
        <f>chloroform!F67</f>
        <v>5C12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98</v>
      </c>
      <c r="B62">
        <v>8.7739999999999991</v>
      </c>
      <c r="C62">
        <v>7.9809999999999999</v>
      </c>
      <c r="D62">
        <v>7.3209999999999997</v>
      </c>
      <c r="E62">
        <v>11.122999999999999</v>
      </c>
      <c r="F62">
        <v>10.435</v>
      </c>
      <c r="G62">
        <v>1.6779999999999999</v>
      </c>
      <c r="H62">
        <v>-13.105</v>
      </c>
      <c r="I62">
        <v>2.274</v>
      </c>
      <c r="J62" s="4">
        <f>chloroform!J67</f>
        <v>7.5007340007976264E-5</v>
      </c>
      <c r="K62" t="str">
        <f>chloroform!F68</f>
        <v>4H6</v>
      </c>
      <c r="M62">
        <f>0.9155*Table2[[#This Row],[J1,2]]*Table2[[#This Row],[weight]]</f>
        <v>6.0250373432605006E-4</v>
      </c>
      <c r="N62">
        <f>0.9155*Table2[[#This Row],[J2,3]]*Table2[[#This Row],[weight]]</f>
        <v>5.4804904304264941E-4</v>
      </c>
      <c r="O62">
        <f>0.9155*Table2[[#This Row],[J34]]*Table2[[#This Row],[weight]]</f>
        <v>5.0272735798962992E-4</v>
      </c>
      <c r="P62">
        <f>0.9155*Table2[[#This Row],[J45]]*Table2[[#This Row],[weight]]</f>
        <v>7.6380773158293304E-4</v>
      </c>
      <c r="Q62">
        <f>0.9155*Table2[[#This Row],[J56]]*Table2[[#This Row],[weight]]</f>
        <v>7.1656330837614919E-4</v>
      </c>
      <c r="R62">
        <f>0.9155*Table2[[#This Row],[J67]]*Table2[[#This Row],[weight]]</f>
        <v>1.152269507863132E-4</v>
      </c>
      <c r="S62">
        <f>0.9155*Table2[[#This Row],[J67'']]*Table2[[#This Row],[weight]]</f>
        <v>1.5615380577358535E-4</v>
      </c>
      <c r="T62">
        <f>0.9155*Table2[[#This Row],[J77'']]*Table2[[#This Row],[weight]]</f>
        <v>-8.999101251815463E-4</v>
      </c>
    </row>
    <row r="63" spans="1:30" x14ac:dyDescent="0.25">
      <c r="A63" t="s">
        <v>120</v>
      </c>
      <c r="B63">
        <v>8.2750000000000004</v>
      </c>
      <c r="C63">
        <v>2.3479999999999999</v>
      </c>
      <c r="D63">
        <v>1.5189999999999999</v>
      </c>
      <c r="E63">
        <v>2.0790000000000002</v>
      </c>
      <c r="F63">
        <v>11.973000000000001</v>
      </c>
      <c r="G63">
        <v>1.36</v>
      </c>
      <c r="H63">
        <v>-13.59</v>
      </c>
      <c r="I63">
        <v>10.737</v>
      </c>
      <c r="J63" s="4">
        <f>chloroform!J68</f>
        <v>8.3509076082206903E-5</v>
      </c>
      <c r="K63" t="str">
        <f>chloroform!F69</f>
        <v>12C5</v>
      </c>
      <c r="M63">
        <f>0.9155*Table2[[#This Row],[J1,2]]*Table2[[#This Row],[weight]]</f>
        <v>6.3264492699322992E-4</v>
      </c>
      <c r="N63">
        <f>0.9155*Table2[[#This Row],[J2,3]]*Table2[[#This Row],[weight]]</f>
        <v>1.7951060889185547E-4</v>
      </c>
      <c r="O63">
        <f>0.9155*Table2[[#This Row],[J34]]*Table2[[#This Row],[weight]]</f>
        <v>1.1613143735380256E-4</v>
      </c>
      <c r="P63">
        <f>0.9155*Table2[[#This Row],[J45]]*Table2[[#This Row],[weight]]</f>
        <v>1.5894487047962843E-4</v>
      </c>
      <c r="Q63">
        <f>0.9155*Table2[[#This Row],[J56]]*Table2[[#This Row],[weight]]</f>
        <v>9.1536649074198701E-4</v>
      </c>
      <c r="R63">
        <f>0.9155*Table2[[#This Row],[J67]]*Table2[[#This Row],[weight]]</f>
        <v>1.0397548044843416E-4</v>
      </c>
      <c r="S63">
        <f>0.9155*Table2[[#This Row],[J67'']]*Table2[[#This Row],[weight]]</f>
        <v>8.2087112762855717E-4</v>
      </c>
      <c r="T63">
        <f>0.9155*Table2[[#This Row],[J77'']]*Table2[[#This Row],[weight]]</f>
        <v>-1.0389902788928091E-3</v>
      </c>
    </row>
    <row r="64" spans="1:30" x14ac:dyDescent="0.25">
      <c r="A64" t="s">
        <v>99</v>
      </c>
      <c r="B64">
        <v>8.5269999999999992</v>
      </c>
      <c r="C64">
        <v>2.964</v>
      </c>
      <c r="D64">
        <v>2.8570000000000002</v>
      </c>
      <c r="E64">
        <v>5.57</v>
      </c>
      <c r="F64">
        <v>2.597</v>
      </c>
      <c r="G64">
        <v>1.349</v>
      </c>
      <c r="H64">
        <v>-13.481999999999999</v>
      </c>
      <c r="I64">
        <v>10.587</v>
      </c>
      <c r="J64" s="4">
        <f>chloroform!J69</f>
        <v>9.2777430359169254E-3</v>
      </c>
      <c r="K64">
        <f>chloroform!F70</f>
        <v>0</v>
      </c>
      <c r="M64">
        <f>0.9155*Table2[[#This Row],[J1,2]]*Table2[[#This Row],[weight]]</f>
        <v>7.2426408760979846E-2</v>
      </c>
      <c r="N64">
        <f>0.9155*Table2[[#This Row],[J2,3]]*Table2[[#This Row],[weight]]</f>
        <v>2.5175545393168085E-2</v>
      </c>
      <c r="O64">
        <f>0.9155*Table2[[#This Row],[J34]]*Table2[[#This Row],[weight]]</f>
        <v>2.4266711601984219E-2</v>
      </c>
      <c r="P64">
        <f>0.9155*Table2[[#This Row],[J45]]*Table2[[#This Row],[weight]]</f>
        <v>4.7310319784057434E-2</v>
      </c>
      <c r="Q64">
        <f>0.9155*Table2[[#This Row],[J56]]*Table2[[#This Row],[weight]]</f>
        <v>2.2058330427144911E-2</v>
      </c>
      <c r="R64">
        <f>0.9155*Table2[[#This Row],[J67]]*Table2[[#This Row],[weight]]</f>
        <v>1.1458100787916243E-2</v>
      </c>
      <c r="S64">
        <f>0.9155*Table2[[#This Row],[J67'']]*Table2[[#This Row],[weight]]</f>
        <v>8.9923582684706654E-2</v>
      </c>
      <c r="T64">
        <f>0.9155*Table2[[#This Row],[J77'']]*Table2[[#This Row],[weight]]</f>
        <v>-0.11451305768916738</v>
      </c>
    </row>
    <row r="65" spans="10:20" x14ac:dyDescent="0.25">
      <c r="M65">
        <f t="shared" ref="M65:T65" si="1">SUM(M2:M64)</f>
        <v>7.5009118691969929</v>
      </c>
      <c r="N65">
        <f t="shared" si="1"/>
        <v>4.4854481761756784</v>
      </c>
      <c r="O65">
        <f t="shared" si="1"/>
        <v>2.2337903445002083</v>
      </c>
      <c r="P65">
        <f t="shared" si="1"/>
        <v>4.8713191054228693</v>
      </c>
      <c r="Q65">
        <f t="shared" si="1"/>
        <v>9.8882646644671954</v>
      </c>
      <c r="R65">
        <f t="shared" si="1"/>
        <v>2.021699795549551</v>
      </c>
      <c r="S65">
        <f t="shared" si="1"/>
        <v>4.788336476093729</v>
      </c>
      <c r="T65">
        <f t="shared" si="1"/>
        <v>-12.197568123457394</v>
      </c>
    </row>
    <row r="66" spans="10:20" x14ac:dyDescent="0.25">
      <c r="M66">
        <v>6.8822000000000001</v>
      </c>
      <c r="N66" s="5">
        <v>3.2461500000000001</v>
      </c>
      <c r="O66" s="5">
        <v>1.6780999999999999</v>
      </c>
      <c r="P66" s="5">
        <v>3.7138</v>
      </c>
      <c r="Q66" s="5">
        <v>8.5831</v>
      </c>
      <c r="R66">
        <v>0</v>
      </c>
      <c r="S66">
        <v>0</v>
      </c>
      <c r="T66">
        <v>-12.36</v>
      </c>
    </row>
    <row r="67" spans="10:20" x14ac:dyDescent="0.25">
      <c r="R67" t="s">
        <v>56</v>
      </c>
      <c r="S67">
        <f>SQRT(SUMXMY2(M65:Q65,M66:Q66)/7)</f>
        <v>0.8677360844931965</v>
      </c>
    </row>
    <row r="68" spans="10:20" x14ac:dyDescent="0.25">
      <c r="J68">
        <v>6.8367000000000004</v>
      </c>
      <c r="S68">
        <f>SQRT(SUMXMY2(M65:Q65,M66:Q66)/5)</f>
        <v>1.026719181307244</v>
      </c>
    </row>
    <row r="69" spans="10:20" x14ac:dyDescent="0.25">
      <c r="J69" s="5">
        <v>3.44</v>
      </c>
    </row>
    <row r="70" spans="10:20" x14ac:dyDescent="0.25">
      <c r="J70" s="5">
        <v>1.77</v>
      </c>
    </row>
    <row r="71" spans="10:20" x14ac:dyDescent="0.25">
      <c r="J71" s="5">
        <v>4.0999999999999996</v>
      </c>
    </row>
    <row r="72" spans="10:20" x14ac:dyDescent="0.25">
      <c r="J72" s="5">
        <v>8.9</v>
      </c>
      <c r="M72">
        <v>7.5009118691969929</v>
      </c>
      <c r="N72">
        <v>4.4854481761756784</v>
      </c>
      <c r="O72">
        <v>2.2337903445002083</v>
      </c>
      <c r="P72">
        <v>4.8713191054228693</v>
      </c>
      <c r="Q72">
        <v>9.8882646644671954</v>
      </c>
      <c r="R72">
        <v>2.021699795549551</v>
      </c>
      <c r="S72">
        <v>4.788336476093729</v>
      </c>
    </row>
    <row r="73" spans="10:20" x14ac:dyDescent="0.25">
      <c r="J73">
        <v>2.54</v>
      </c>
      <c r="M73">
        <v>6.8822000000000001</v>
      </c>
      <c r="N73" s="5">
        <v>3.2461500000000001</v>
      </c>
      <c r="O73" s="5">
        <v>1.6780999999999999</v>
      </c>
      <c r="P73" s="5">
        <v>3.7138</v>
      </c>
      <c r="Q73" s="5">
        <v>8.5831</v>
      </c>
      <c r="R73">
        <v>0</v>
      </c>
      <c r="S73">
        <v>5.6719999999999997</v>
      </c>
    </row>
    <row r="74" spans="10:20" x14ac:dyDescent="0.25">
      <c r="J74">
        <v>6.31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65"/>
  <sheetViews>
    <sheetView tabSelected="1" zoomScaleNormal="100" workbookViewId="0">
      <selection activeCell="L2" sqref="L2"/>
    </sheetView>
  </sheetViews>
  <sheetFormatPr defaultRowHeight="15" x14ac:dyDescent="0.25"/>
  <cols>
    <col min="11" max="11" width="10.5703125" customWidth="1"/>
    <col min="12" max="12" width="12" bestFit="1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0.33995528996746788</v>
      </c>
      <c r="D1" t="s">
        <v>11</v>
      </c>
      <c r="E1" t="s">
        <v>20</v>
      </c>
      <c r="G1">
        <f>COUNTIF(Table3[classification],E1)</f>
        <v>13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4.8430945025058752E-6</v>
      </c>
      <c r="M2">
        <f>Table3[[#This Row],[weight]]*(0.9155*Table2[[#This Row],[J2,3]]-B$9)^2</f>
        <v>4.2360718437324946E-3</v>
      </c>
      <c r="N2">
        <f>Table3[[#This Row],[weight]]*(0.9155*Table2[[#This Row],[J34]]-C$9)^2</f>
        <v>4.4295206296973482E-3</v>
      </c>
      <c r="O2">
        <f>Table3[[#This Row],[weight]]*(0.9155*Table2[[#This Row],[J45]]-D$9)^2</f>
        <v>1.1669863763593104E-2</v>
      </c>
      <c r="P2">
        <f>Table3[[#This Row],[weight]]*(0.9155*Table2[[#This Row],[J56]]-E$9)^2</f>
        <v>0.63277356732268464</v>
      </c>
      <c r="Q2">
        <f>Table3[[#This Row],[weight]]*(0.9155*Table2[[#This Row],[J67]]-F$9)^2</f>
        <v>0.47847239553544335</v>
      </c>
      <c r="R2">
        <f>Table3[[#This Row],[weight]]*(0.9155*Table2[[#This Row],[J67'']]-G$9)^2</f>
        <v>4.5674022280254814E-2</v>
      </c>
      <c r="S2">
        <f>chloroform!J7</f>
        <v>7.006629610623147E-3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2.9980017375012596E-4</v>
      </c>
      <c r="M3">
        <f>Table3[[#This Row],[weight]]*(0.9155*Table2[[#This Row],[J2,3]]-B$9)^2</f>
        <v>1.7121597363153809</v>
      </c>
      <c r="N3">
        <f>Table3[[#This Row],[weight]]*(0.9155*Table2[[#This Row],[J34]]-C$9)^2</f>
        <v>2.6412231625271124E-2</v>
      </c>
      <c r="O3">
        <f>Table3[[#This Row],[weight]]*(0.9155*Table2[[#This Row],[J45]]-D$9)^2</f>
        <v>2.5728223704215178</v>
      </c>
      <c r="P3">
        <f>Table3[[#This Row],[weight]]*(0.9155*Table2[[#This Row],[J56]]-E$9)^2</f>
        <v>1.0464938603677304E-2</v>
      </c>
      <c r="Q3">
        <f>Table3[[#This Row],[weight]]*(0.9155*Table2[[#This Row],[J67]]-F$9)^2</f>
        <v>8.4660354924022713E-2</v>
      </c>
      <c r="R3">
        <f>Table3[[#This Row],[weight]]*(0.9155*Table2[[#This Row],[J67'']]-G$9)^2</f>
        <v>0.29926228200663552</v>
      </c>
      <c r="S3">
        <f>chloroform!J8</f>
        <v>3.7030869616405469E-2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3.4796744165348109E-3</v>
      </c>
      <c r="M4">
        <f>Table3[[#This Row],[weight]]*(0.9155*Table2[[#This Row],[J2,3]]-B$9)^2</f>
        <v>6.8727984562874767</v>
      </c>
      <c r="N4">
        <f>Table3[[#This Row],[weight]]*(0.9155*Table2[[#This Row],[J34]]-C$9)^2</f>
        <v>0.19079093142661388</v>
      </c>
      <c r="O4">
        <f>Table3[[#This Row],[weight]]*(0.9155*Table2[[#This Row],[J45]]-D$9)^2</f>
        <v>11.431372607298083</v>
      </c>
      <c r="P4">
        <f>Table3[[#This Row],[weight]]*(0.9155*Table2[[#This Row],[J56]]-E$9)^2</f>
        <v>0.15249978222115931</v>
      </c>
      <c r="Q4">
        <f>Table3[[#This Row],[weight]]*(0.9155*Table2[[#This Row],[J67]]-F$9)^2</f>
        <v>6.6599586639712018E-5</v>
      </c>
      <c r="R4">
        <f>Table3[[#This Row],[weight]]*(0.9155*Table2[[#This Row],[J67'']]-G$9)^2</f>
        <v>1.0963628519313895</v>
      </c>
      <c r="S4">
        <f>chloroform!J9</f>
        <v>0.1448766628446449</v>
      </c>
      <c r="T4" t="str">
        <f>chloroform!F9</f>
        <v>4H6</v>
      </c>
    </row>
    <row r="5" spans="1:20" x14ac:dyDescent="0.25">
      <c r="A5">
        <f>SUMIF(Table1[Classification],E1,Table2[J1,23])/$B$1</f>
        <v>7.4171224870747707</v>
      </c>
      <c r="B5">
        <f>SUMIF(Table1[Classification],E1,Table2[J2,34])/$B$1</f>
        <v>8.8055672670423704</v>
      </c>
      <c r="C5">
        <f>SUMIF(Table1[Classification],E1,Table2[J345])/$B$1</f>
        <v>2.8897677180027053</v>
      </c>
      <c r="D5">
        <f>SUMIF(Table1[Classification],E1,Table2[J456])/$B$1</f>
        <v>10.467532334687862</v>
      </c>
      <c r="E5">
        <f>SUMIF(Table1[Classification],E1,Table2[J567])/$B$1</f>
        <v>9.6716457684198929</v>
      </c>
      <c r="F5">
        <f>SUMIF(Table1[Classification],E1,Table2[J678])/$B$1</f>
        <v>1.815052418988385</v>
      </c>
      <c r="G5">
        <f>SUMIF(Table1[Classification],E1,Table2[J67''9])/$B$1</f>
        <v>4.6276948627895393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1.6135648515926693E-4</v>
      </c>
      <c r="M7">
        <f>Table3[[#This Row],[weight]]*(0.9155*Table2[[#This Row],[J2,3]]-B$9)^2</f>
        <v>3.4704979625980195E-2</v>
      </c>
      <c r="N7">
        <f>Table3[[#This Row],[weight]]*(0.9155*Table2[[#This Row],[J34]]-C$9)^2</f>
        <v>4.5031580895735437E-8</v>
      </c>
      <c r="O7">
        <f>Table3[[#This Row],[weight]]*(0.9155*Table2[[#This Row],[J45]]-D$9)^2</f>
        <v>7.2467463855639652E-2</v>
      </c>
      <c r="P7">
        <f>Table3[[#This Row],[weight]]*(0.9155*Table2[[#This Row],[J56]]-E$9)^2</f>
        <v>2.4999327737988306E-4</v>
      </c>
      <c r="Q7">
        <f>Table3[[#This Row],[weight]]*(0.9155*Table2[[#This Row],[J67]]-F$9)^2</f>
        <v>7.4966095030084125E-4</v>
      </c>
      <c r="R7">
        <f>Table3[[#This Row],[weight]]*(0.9155*Table2[[#This Row],[J67'']]-G$9)^2</f>
        <v>1.4350798593074248E-3</v>
      </c>
      <c r="S7">
        <f>chloroform!J12</f>
        <v>7.4517732155956139E-4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1.0895319057826287E-3</v>
      </c>
      <c r="M8">
        <f>Table3[[#This Row],[weight]]*(0.9155*Table2[[#This Row],[J2,3]]-B$9)^2</f>
        <v>2.4908791195863377E-2</v>
      </c>
      <c r="N8">
        <f>Table3[[#This Row],[weight]]*(0.9155*Table2[[#This Row],[J34]]-C$9)^2</f>
        <v>1.6886828337428543E-2</v>
      </c>
      <c r="O8">
        <f>Table3[[#This Row],[weight]]*(0.9155*Table2[[#This Row],[J45]]-D$9)^2</f>
        <v>9.7395199500814305E-3</v>
      </c>
      <c r="P8">
        <f>Table3[[#This Row],[weight]]*(0.9155*Table2[[#This Row],[J56]]-E$9)^2</f>
        <v>1.7964476603229147</v>
      </c>
      <c r="Q8">
        <f>Table3[[#This Row],[weight]]*(0.9155*Table2[[#This Row],[J67]]-F$9)^2</f>
        <v>0.11267192606985667</v>
      </c>
      <c r="R8">
        <f>Table3[[#This Row],[weight]]*(0.9155*Table2[[#This Row],[J67'']]-G$9)^2</f>
        <v>1.2340246553623326</v>
      </c>
      <c r="S8">
        <f>chloroform!J13</f>
        <v>2.188514232521567E-2</v>
      </c>
      <c r="T8" t="str">
        <f>chloroform!F13</f>
        <v>6H4</v>
      </c>
    </row>
    <row r="9" spans="1:20" x14ac:dyDescent="0.25">
      <c r="A9">
        <f>A5</f>
        <v>7.4171224870747707</v>
      </c>
      <c r="B9">
        <f t="shared" ref="B9:G9" si="0">B5</f>
        <v>8.8055672670423704</v>
      </c>
      <c r="C9">
        <f t="shared" si="0"/>
        <v>2.8897677180027053</v>
      </c>
      <c r="D9">
        <f t="shared" si="0"/>
        <v>10.467532334687862</v>
      </c>
      <c r="E9">
        <f t="shared" si="0"/>
        <v>9.6716457684198929</v>
      </c>
      <c r="F9">
        <f t="shared" si="0"/>
        <v>1.815052418988385</v>
      </c>
      <c r="G9">
        <f t="shared" si="0"/>
        <v>4.6276948627895393</v>
      </c>
      <c r="K9">
        <f>chloroform!E14</f>
        <v>21</v>
      </c>
      <c r="L9">
        <f>Table3[[#This Row],[weight]]*(0.9155*Table2[[#This Row],[J1,2]]-A$9)^2</f>
        <v>4.2400922228870456E-3</v>
      </c>
      <c r="M9">
        <f>Table3[[#This Row],[weight]]*(0.9155*Table2[[#This Row],[J2,3]]-B$9)^2</f>
        <v>2.8042239652468877</v>
      </c>
      <c r="N9">
        <f>Table3[[#This Row],[weight]]*(0.9155*Table2[[#This Row],[J34]]-C$9)^2</f>
        <v>3.0337483988746156E-2</v>
      </c>
      <c r="O9">
        <f>Table3[[#This Row],[weight]]*(0.9155*Table2[[#This Row],[J45]]-D$9)^2</f>
        <v>5.6550612800837889</v>
      </c>
      <c r="P9">
        <f>Table3[[#This Row],[weight]]*(0.9155*Table2[[#This Row],[J56]]-E$9)^2</f>
        <v>0.12598535013952777</v>
      </c>
      <c r="Q9">
        <f>Table3[[#This Row],[weight]]*(0.9155*Table2[[#This Row],[J67]]-F$9)^2</f>
        <v>5.6182960170614069E-2</v>
      </c>
      <c r="R9">
        <f>Table3[[#This Row],[weight]]*(0.9155*Table2[[#This Row],[J67'']]-G$9)^2</f>
        <v>0.13646464120634449</v>
      </c>
      <c r="S9">
        <f>chloroform!J14</f>
        <v>5.8814807620270089E-2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3.9155516282251455E-5</v>
      </c>
      <c r="M10">
        <f>Table3[[#This Row],[weight]]*(0.9155*Table2[[#This Row],[J2,3]]-B$9)^2</f>
        <v>1.9498187628628354E-2</v>
      </c>
      <c r="N10">
        <f>Table3[[#This Row],[weight]]*(0.9155*Table2[[#This Row],[J34]]-C$9)^2</f>
        <v>2.7638894899423251E-5</v>
      </c>
      <c r="O10">
        <f>Table3[[#This Row],[weight]]*(0.9155*Table2[[#This Row],[J45]]-D$9)^2</f>
        <v>4.2120531230660632E-2</v>
      </c>
      <c r="P10">
        <f>Table3[[#This Row],[weight]]*(0.9155*Table2[[#This Row],[J56]]-E$9)^2</f>
        <v>1.550931092859059E-3</v>
      </c>
      <c r="Q10">
        <f>Table3[[#This Row],[weight]]*(0.9155*Table2[[#This Row],[J67]]-F$9)^2</f>
        <v>1.0749932983881486E-3</v>
      </c>
      <c r="R10">
        <f>Table3[[#This Row],[weight]]*(0.9155*Table2[[#This Row],[J67'']]-G$9)^2</f>
        <v>2.555346903380505E-3</v>
      </c>
      <c r="S10">
        <f>chloroform!J15</f>
        <v>4.2825797948773352E-4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1.5674407702489E-5</v>
      </c>
      <c r="M11">
        <f>Table3[[#This Row],[weight]]*(0.9155*Table2[[#This Row],[J2,3]]-B$9)^2</f>
        <v>8.2758056819560409E-3</v>
      </c>
      <c r="N11">
        <f>Table3[[#This Row],[weight]]*(0.9155*Table2[[#This Row],[J34]]-C$9)^2</f>
        <v>1.7869117121896811E-6</v>
      </c>
      <c r="O11">
        <f>Table3[[#This Row],[weight]]*(0.9155*Table2[[#This Row],[J45]]-D$9)^2</f>
        <v>1.7610748766676083E-2</v>
      </c>
      <c r="P11">
        <f>Table3[[#This Row],[weight]]*(0.9155*Table2[[#This Row],[J56]]-E$9)^2</f>
        <v>1.4159830054805896E-4</v>
      </c>
      <c r="Q11">
        <f>Table3[[#This Row],[weight]]*(0.9155*Table2[[#This Row],[J67]]-F$9)^2</f>
        <v>9.7732213388506978E-3</v>
      </c>
      <c r="R11">
        <f>Table3[[#This Row],[weight]]*(0.9155*Table2[[#This Row],[J67'']]-G$9)^2</f>
        <v>1.6259841920697193E-3</v>
      </c>
      <c r="S11">
        <f>chloroform!J16</f>
        <v>1.7783930625614133E-4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4.3262024581464803E-7</v>
      </c>
      <c r="M12">
        <f>Table3[[#This Row],[weight]]*(0.9155*Table2[[#This Row],[J2,3]]-B$9)^2</f>
        <v>0.43833505428289016</v>
      </c>
      <c r="N12">
        <f>Table3[[#This Row],[weight]]*(0.9155*Table2[[#This Row],[J34]]-C$9)^2</f>
        <v>9.0021408179744404E-3</v>
      </c>
      <c r="O12">
        <f>Table3[[#This Row],[weight]]*(0.9155*Table2[[#This Row],[J45]]-D$9)^2</f>
        <v>0.55491230043116935</v>
      </c>
      <c r="P12">
        <f>Table3[[#This Row],[weight]]*(0.9155*Table2[[#This Row],[J56]]-E$9)^2</f>
        <v>1.465499214046242E-2</v>
      </c>
      <c r="Q12">
        <f>Table3[[#This Row],[weight]]*(0.9155*Table2[[#This Row],[J67]]-F$9)^2</f>
        <v>0.88154601147714262</v>
      </c>
      <c r="R12">
        <f>Table3[[#This Row],[weight]]*(0.9155*Table2[[#This Row],[J67'']]-G$9)^2</f>
        <v>8.94681907533992E-4</v>
      </c>
      <c r="S12">
        <f>chloroform!J17</f>
        <v>9.732944469965539E-3</v>
      </c>
      <c r="T12" t="str">
        <f>chloroform!F17</f>
        <v>4H6</v>
      </c>
    </row>
    <row r="13" spans="1:20" x14ac:dyDescent="0.25">
      <c r="A13">
        <f>SQRT(SUMIF($T$2:$T$64,$E$1,L$2:L$64)/(($G$1-1)*$B$1/$G$1))</f>
        <v>0.20940529486054962</v>
      </c>
      <c r="B13">
        <f>SQRT(SUMIF($T$2:$T$46,$E$1,M$2:M$46)/(($G$1-1)*$B$1/$G$1))</f>
        <v>4.0276210241894296E-2</v>
      </c>
      <c r="C13">
        <f>SQRT(SUMIF($T$2:$T$46,$E$1,N$2:N$46)/(($G$1-1)*$B$1/$G$1))</f>
        <v>3.2569681270854405E-2</v>
      </c>
      <c r="D13">
        <f>SQRT(SUMIF($T$2:$T$64,$E$1,O$2:O$64)/(($G$1-1)*$B$1/$G$1))</f>
        <v>0.11412189160712095</v>
      </c>
      <c r="E13">
        <f t="shared" ref="E13" si="1">SQRT(SUMIF($T$2:$T$46,$E$1,P$2:P$46)/(($G$1-1)*$B$1/$G$1))</f>
        <v>0.16028353338479828</v>
      </c>
      <c r="F13">
        <f>SQRT(SUMIF($T$2:$T$64,$E$1,Q$2:Q$64)/(($G$1-1)*$B$1/$G$1))</f>
        <v>1.3399209709050224</v>
      </c>
      <c r="G13">
        <f>SQRT(SUMIF($T$2:$T$64,$E$1,R$2:R$64)/(($G$1-1)*$B$1/$G$1))</f>
        <v>4.0648605271823897</v>
      </c>
      <c r="K13">
        <f>chloroform!E18</f>
        <v>30</v>
      </c>
      <c r="L13">
        <f>Table3[[#This Row],[weight]]*(0.9155*Table2[[#This Row],[J1,2]]-A$9)^2</f>
        <v>3.956876287631723E-5</v>
      </c>
      <c r="M13">
        <f>Table3[[#This Row],[weight]]*(0.9155*Table2[[#This Row],[J2,3]]-B$9)^2</f>
        <v>2.1816790076411344E-3</v>
      </c>
      <c r="N13">
        <f>Table3[[#This Row],[weight]]*(0.9155*Table2[[#This Row],[J34]]-C$9)^2</f>
        <v>1.6817600905507917E-3</v>
      </c>
      <c r="O13">
        <f>Table3[[#This Row],[weight]]*(0.9155*Table2[[#This Row],[J45]]-D$9)^2</f>
        <v>4.156372731351634E-2</v>
      </c>
      <c r="P13">
        <f>Table3[[#This Row],[weight]]*(0.9155*Table2[[#This Row],[J56]]-E$9)^2</f>
        <v>0.33519489383082668</v>
      </c>
      <c r="Q13">
        <f>Table3[[#This Row],[weight]]*(0.9155*Table2[[#This Row],[J67]]-F$9)^2</f>
        <v>1.3104753289829678E-3</v>
      </c>
      <c r="R13">
        <f>Table3[[#This Row],[weight]]*(0.9155*Table2[[#This Row],[J67'']]-G$9)^2</f>
        <v>0.23544883893853955</v>
      </c>
      <c r="S13">
        <f>chloroform!J18</f>
        <v>3.8122644132718006E-3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5.9283782265245839E-6</v>
      </c>
      <c r="M14">
        <f>Table3[[#This Row],[weight]]*(0.9155*Table2[[#This Row],[J2,3]]-B$9)^2</f>
        <v>4.2199174755864592E-2</v>
      </c>
      <c r="N14">
        <f>Table3[[#This Row],[weight]]*(0.9155*Table2[[#This Row],[J34]]-C$9)^2</f>
        <v>1.6199992011016104E-4</v>
      </c>
      <c r="O14">
        <f>Table3[[#This Row],[weight]]*(0.9155*Table2[[#This Row],[J45]]-D$9)^2</f>
        <v>9.0600414634273221E-2</v>
      </c>
      <c r="P14">
        <f>Table3[[#This Row],[weight]]*(0.9155*Table2[[#This Row],[J56]]-E$9)^2</f>
        <v>2.7827050366082268E-3</v>
      </c>
      <c r="Q14">
        <f>Table3[[#This Row],[weight]]*(0.9155*Table2[[#This Row],[J67]]-F$9)^2</f>
        <v>4.4466638669672615E-4</v>
      </c>
      <c r="R14">
        <f>Table3[[#This Row],[weight]]*(0.9155*Table2[[#This Row],[J67'']]-G$9)^2</f>
        <v>2.4542053814826305E-2</v>
      </c>
      <c r="S14">
        <f>chloroform!J19</f>
        <v>9.0755134518669838E-4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2.386055392282222E-8</v>
      </c>
      <c r="M15">
        <f>Table3[[#This Row],[weight]]*(0.9155*Table2[[#This Row],[J2,3]]-B$9)^2</f>
        <v>1.932495786797867E-4</v>
      </c>
      <c r="N15">
        <f>Table3[[#This Row],[weight]]*(0.9155*Table2[[#This Row],[J34]]-C$9)^2</f>
        <v>2.6153128992821153E-5</v>
      </c>
      <c r="O15">
        <f>Table3[[#This Row],[weight]]*(0.9155*Table2[[#This Row],[J45]]-D$9)^2</f>
        <v>6.7969213349037221E-6</v>
      </c>
      <c r="P15">
        <f>Table3[[#This Row],[weight]]*(0.9155*Table2[[#This Row],[J56]]-E$9)^2</f>
        <v>4.0375880007466362E-3</v>
      </c>
      <c r="Q15">
        <f>Table3[[#This Row],[weight]]*(0.9155*Table2[[#This Row],[J67]]-F$9)^2</f>
        <v>3.6089591566405626E-4</v>
      </c>
      <c r="R15">
        <f>Table3[[#This Row],[weight]]*(0.9155*Table2[[#This Row],[J67'']]-G$9)^2</f>
        <v>9.536473445066403E-4</v>
      </c>
      <c r="S15">
        <f>chloroform!J20</f>
        <v>6.9203215301698665E-5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4.724387766066804E-5</v>
      </c>
      <c r="M16">
        <f>Table3[[#This Row],[weight]]*(0.9155*Table2[[#This Row],[J2,3]]-B$9)^2</f>
        <v>0.10411371162256398</v>
      </c>
      <c r="N16">
        <f>Table3[[#This Row],[weight]]*(0.9155*Table2[[#This Row],[J34]]-C$9)^2</f>
        <v>1.6162496011509148E-3</v>
      </c>
      <c r="O16">
        <f>Table3[[#This Row],[weight]]*(0.9155*Table2[[#This Row],[J45]]-D$9)^2</f>
        <v>0.20876355129609375</v>
      </c>
      <c r="P16">
        <f>Table3[[#This Row],[weight]]*(0.9155*Table2[[#This Row],[J56]]-E$9)^2</f>
        <v>5.7852051316774735E-3</v>
      </c>
      <c r="Q16">
        <f>Table3[[#This Row],[weight]]*(0.9155*Table2[[#This Row],[J67]]-F$9)^2</f>
        <v>6.1701258877400127E-2</v>
      </c>
      <c r="R16">
        <f>Table3[[#This Row],[weight]]*(0.9155*Table2[[#This Row],[J67'']]-G$9)^2</f>
        <v>3.8555170743361608E-2</v>
      </c>
      <c r="S16">
        <f>chloroform!J21</f>
        <v>2.1941045049983883E-3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7.7002659734096555E-6</v>
      </c>
      <c r="M17">
        <f>Table3[[#This Row],[weight]]*(0.9155*Table2[[#This Row],[J2,3]]-B$9)^2</f>
        <v>9.3607648931206561E-3</v>
      </c>
      <c r="N17">
        <f>Table3[[#This Row],[weight]]*(0.9155*Table2[[#This Row],[J34]]-C$9)^2</f>
        <v>2.9165914276367788E-7</v>
      </c>
      <c r="O17">
        <f>Table3[[#This Row],[weight]]*(0.9155*Table2[[#This Row],[J45]]-D$9)^2</f>
        <v>2.0492390044998771E-2</v>
      </c>
      <c r="P17">
        <f>Table3[[#This Row],[weight]]*(0.9155*Table2[[#This Row],[J56]]-E$9)^2</f>
        <v>7.3353156914731342E-4</v>
      </c>
      <c r="Q17">
        <f>Table3[[#This Row],[weight]]*(0.9155*Table2[[#This Row],[J67]]-F$9)^2</f>
        <v>5.0579554435579456E-4</v>
      </c>
      <c r="R17">
        <f>Table3[[#This Row],[weight]]*(0.9155*Table2[[#This Row],[J67'']]-G$9)^2</f>
        <v>1.1621320023210402E-3</v>
      </c>
      <c r="S17">
        <f>chloroform!J22</f>
        <v>2.0196638814690861E-4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1.2171281798772161E-4</v>
      </c>
      <c r="M19">
        <f>Table3[[#This Row],[weight]]*(0.9155*Table2[[#This Row],[J2,3]]-B$9)^2</f>
        <v>8.6501340384309178E-2</v>
      </c>
      <c r="N19">
        <f>Table3[[#This Row],[weight]]*(0.9155*Table2[[#This Row],[J34]]-C$9)^2</f>
        <v>2.0950015388915023E-4</v>
      </c>
      <c r="O19">
        <f>Table3[[#This Row],[weight]]*(0.9155*Table2[[#This Row],[J45]]-D$9)^2</f>
        <v>7.4204180454776683E-2</v>
      </c>
      <c r="P19">
        <f>Table3[[#This Row],[weight]]*(0.9155*Table2[[#This Row],[J56]]-E$9)^2</f>
        <v>0.13208572140928065</v>
      </c>
      <c r="Q19">
        <f>Table3[[#This Row],[weight]]*(0.9155*Table2[[#This Row],[J67]]-F$9)^2</f>
        <v>0.26059840272951568</v>
      </c>
      <c r="R19">
        <f>Table3[[#This Row],[weight]]*(0.9155*Table2[[#This Row],[J67'']]-G$9)^2</f>
        <v>8.5859633677924199E-5</v>
      </c>
      <c r="S19">
        <f>chloroform!J24</f>
        <v>2.4335224570074033E-3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4.5249713130742593E-3</v>
      </c>
      <c r="M20">
        <f>Table3[[#This Row],[weight]]*(0.9155*Table2[[#This Row],[J2,3]]-B$9)^2</f>
        <v>2.7034681134303771</v>
      </c>
      <c r="N20">
        <f>Table3[[#This Row],[weight]]*(0.9155*Table2[[#This Row],[J34]]-C$9)^2</f>
        <v>2.7464011049133152E-2</v>
      </c>
      <c r="O20">
        <f>Table3[[#This Row],[weight]]*(0.9155*Table2[[#This Row],[J45]]-D$9)^2</f>
        <v>5.4660890356901435</v>
      </c>
      <c r="P20">
        <f>Table3[[#This Row],[weight]]*(0.9155*Table2[[#This Row],[J56]]-E$9)^2</f>
        <v>0.12753803681633968</v>
      </c>
      <c r="Q20">
        <f>Table3[[#This Row],[weight]]*(0.9155*Table2[[#This Row],[J67]]-F$9)^2</f>
        <v>5.3859107089443754E-2</v>
      </c>
      <c r="R20">
        <f>Table3[[#This Row],[weight]]*(0.9155*Table2[[#This Row],[J67'']]-G$9)^2</f>
        <v>0.1280309413403985</v>
      </c>
      <c r="S20">
        <f>chloroform!J25</f>
        <v>5.680698566240476E-2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2.1432345950097719E-4</v>
      </c>
      <c r="M23">
        <f>Table3[[#This Row],[weight]]*(0.9155*Table2[[#This Row],[J2,3]]-B$9)^2</f>
        <v>3.5626571512391316</v>
      </c>
      <c r="N23">
        <f>Table3[[#This Row],[weight]]*(0.9155*Table2[[#This Row],[J34]]-C$9)^2</f>
        <v>0.10605579799747773</v>
      </c>
      <c r="O23">
        <f>Table3[[#This Row],[weight]]*(0.9155*Table2[[#This Row],[J45]]-D$9)^2</f>
        <v>5.8289950997042599</v>
      </c>
      <c r="P23">
        <f>Table3[[#This Row],[weight]]*(0.9155*Table2[[#This Row],[J56]]-E$9)^2</f>
        <v>6.3939310087455556E-2</v>
      </c>
      <c r="Q23">
        <f>Table3[[#This Row],[weight]]*(0.9155*Table2[[#This Row],[J67]]-F$9)^2</f>
        <v>2.7853516512472844E-2</v>
      </c>
      <c r="R23">
        <f>Table3[[#This Row],[weight]]*(0.9155*Table2[[#This Row],[J67'']]-G$9)^2</f>
        <v>0.92496845881870793</v>
      </c>
      <c r="S23">
        <f>chloroform!J28</f>
        <v>7.5279816935719612E-2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3.975853858239868E-4</v>
      </c>
      <c r="M24">
        <f>Table3[[#This Row],[weight]]*(0.9155*Table2[[#This Row],[J2,3]]-B$9)^2</f>
        <v>6.589649221634204</v>
      </c>
      <c r="N24">
        <f>Table3[[#This Row],[weight]]*(0.9155*Table2[[#This Row],[J34]]-C$9)^2</f>
        <v>0.21220861422461509</v>
      </c>
      <c r="O24">
        <f>Table3[[#This Row],[weight]]*(0.9155*Table2[[#This Row],[J45]]-D$9)^2</f>
        <v>10.304088744855715</v>
      </c>
      <c r="P24">
        <f>Table3[[#This Row],[weight]]*(0.9155*Table2[[#This Row],[J56]]-E$9)^2</f>
        <v>0.24495923658049804</v>
      </c>
      <c r="Q24">
        <f>Table3[[#This Row],[weight]]*(0.9155*Table2[[#This Row],[J67]]-F$9)^2</f>
        <v>5.0920367229683398E-2</v>
      </c>
      <c r="R24">
        <f>Table3[[#This Row],[weight]]*(0.9155*Table2[[#This Row],[J67'']]-G$9)^2</f>
        <v>3.755163470685591</v>
      </c>
      <c r="S24">
        <f>chloroform!J29</f>
        <v>0.13964945849061713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6.0345921928115552E-6</v>
      </c>
      <c r="M25">
        <f>Table3[[#This Row],[weight]]*(0.9155*Table2[[#This Row],[J2,3]]-B$9)^2</f>
        <v>4.3863507738170972E-2</v>
      </c>
      <c r="N25">
        <f>Table3[[#This Row],[weight]]*(0.9155*Table2[[#This Row],[J34]]-C$9)^2</f>
        <v>2.4582850789056328E-4</v>
      </c>
      <c r="O25">
        <f>Table3[[#This Row],[weight]]*(0.9155*Table2[[#This Row],[J45]]-D$9)^2</f>
        <v>4.2633411028362649E-2</v>
      </c>
      <c r="P25">
        <f>Table3[[#This Row],[weight]]*(0.9155*Table2[[#This Row],[J56]]-E$9)^2</f>
        <v>7.6484730362240516E-2</v>
      </c>
      <c r="Q25">
        <f>Table3[[#This Row],[weight]]*(0.9155*Table2[[#This Row],[J67]]-F$9)^2</f>
        <v>0.11673188201846163</v>
      </c>
      <c r="R25">
        <f>Table3[[#This Row],[weight]]*(0.9155*Table2[[#This Row],[J67'']]-G$9)^2</f>
        <v>4.2958021045404752E-4</v>
      </c>
      <c r="S25">
        <f>chloroform!J30</f>
        <v>1.2704121053403966E-3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1.658568132071212E-5</v>
      </c>
      <c r="M26">
        <f>Table3[[#This Row],[weight]]*(0.9155*Table2[[#This Row],[J2,3]]-B$9)^2</f>
        <v>9.1549693022449797E-3</v>
      </c>
      <c r="N26">
        <f>Table3[[#This Row],[weight]]*(0.9155*Table2[[#This Row],[J34]]-C$9)^2</f>
        <v>2.5534003736266883E-6</v>
      </c>
      <c r="O26">
        <f>Table3[[#This Row],[weight]]*(0.9155*Table2[[#This Row],[J45]]-D$9)^2</f>
        <v>1.9476660265902689E-2</v>
      </c>
      <c r="P26">
        <f>Table3[[#This Row],[weight]]*(0.9155*Table2[[#This Row],[J56]]-E$9)^2</f>
        <v>1.5619365659791845E-4</v>
      </c>
      <c r="Q26">
        <f>Table3[[#This Row],[weight]]*(0.9155*Table2[[#This Row],[J67]]-F$9)^2</f>
        <v>1.0770764832028851E-2</v>
      </c>
      <c r="R26">
        <f>Table3[[#This Row],[weight]]*(0.9155*Table2[[#This Row],[J67'']]-G$9)^2</f>
        <v>1.7896596803910162E-3</v>
      </c>
      <c r="S26">
        <f>chloroform!J31</f>
        <v>1.965733902491591E-4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1.415373599267813E-5</v>
      </c>
      <c r="M27">
        <f>Table3[[#This Row],[weight]]*(0.9155*Table2[[#This Row],[J2,3]]-B$9)^2</f>
        <v>2.1369919255590369E-2</v>
      </c>
      <c r="N27">
        <f>Table3[[#This Row],[weight]]*(0.9155*Table2[[#This Row],[J34]]-C$9)^2</f>
        <v>2.7701797045507178E-6</v>
      </c>
      <c r="O27">
        <f>Table3[[#This Row],[weight]]*(0.9155*Table2[[#This Row],[J45]]-D$9)^2</f>
        <v>4.5573877885725075E-2</v>
      </c>
      <c r="P27">
        <f>Table3[[#This Row],[weight]]*(0.9155*Table2[[#This Row],[J56]]-E$9)^2</f>
        <v>1.1152011040113582E-3</v>
      </c>
      <c r="Q27">
        <f>Table3[[#This Row],[weight]]*(0.9155*Table2[[#This Row],[J67]]-F$9)^2</f>
        <v>1.5304800613458151E-4</v>
      </c>
      <c r="R27">
        <f>Table3[[#This Row],[weight]]*(0.9155*Table2[[#This Row],[J67'']]-G$9)^2</f>
        <v>1.315784758613955E-2</v>
      </c>
      <c r="S27">
        <f>chloroform!J32</f>
        <v>4.5203274200977513E-4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7.6234494624938709E-4</v>
      </c>
      <c r="M28">
        <f>Table3[[#This Row],[weight]]*(0.9155*Table2[[#This Row],[J2,3]]-B$9)^2</f>
        <v>0.13633423929707142</v>
      </c>
      <c r="N28">
        <f>Table3[[#This Row],[weight]]*(0.9155*Table2[[#This Row],[J34]]-C$9)^2</f>
        <v>4.9767193007176688E-3</v>
      </c>
      <c r="O28">
        <f>Table3[[#This Row],[weight]]*(0.9155*Table2[[#This Row],[J45]]-D$9)^2</f>
        <v>0.15419661006587501</v>
      </c>
      <c r="P28">
        <f>Table3[[#This Row],[weight]]*(0.9155*Table2[[#This Row],[J56]]-E$9)^2</f>
        <v>0.29448667455297439</v>
      </c>
      <c r="Q28">
        <f>Table3[[#This Row],[weight]]*(0.9155*Table2[[#This Row],[J67]]-F$9)^2</f>
        <v>3.0783450315247524E-4</v>
      </c>
      <c r="R28">
        <f>Table3[[#This Row],[weight]]*(0.9155*Table2[[#This Row],[J67'']]-G$9)^2</f>
        <v>0.18452908074852095</v>
      </c>
      <c r="S28">
        <f>chloroform!J33</f>
        <v>4.7042140876161192E-3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2.7146789620647687E-5</v>
      </c>
      <c r="M29">
        <f>Table3[[#This Row],[weight]]*(0.9155*Table2[[#This Row],[J2,3]]-B$9)^2</f>
        <v>0.25980416316951471</v>
      </c>
      <c r="N29">
        <f>Table3[[#This Row],[weight]]*(0.9155*Table2[[#This Row],[J34]]-C$9)^2</f>
        <v>1.0336519183425742E-2</v>
      </c>
      <c r="O29">
        <f>Table3[[#This Row],[weight]]*(0.9155*Table2[[#This Row],[J45]]-D$9)^2</f>
        <v>0.34192042804930389</v>
      </c>
      <c r="P29">
        <f>Table3[[#This Row],[weight]]*(0.9155*Table2[[#This Row],[J56]]-E$9)^2</f>
        <v>9.8602056578920758E-4</v>
      </c>
      <c r="Q29">
        <f>Table3[[#This Row],[weight]]*(0.9155*Table2[[#This Row],[J67]]-F$9)^2</f>
        <v>0.40667000498139672</v>
      </c>
      <c r="R29">
        <f>Table3[[#This Row],[weight]]*(0.9155*Table2[[#This Row],[J67'']]-G$9)^2</f>
        <v>3.9594743390292586E-4</v>
      </c>
      <c r="S29">
        <f>chloroform!J34</f>
        <v>5.6494711639667322E-3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3.0821902487444421E-6</v>
      </c>
      <c r="M30">
        <f>Table3[[#This Row],[weight]]*(0.9155*Table2[[#This Row],[J2,3]]-B$9)^2</f>
        <v>1.4221813378009334E-4</v>
      </c>
      <c r="N30">
        <f>Table3[[#This Row],[weight]]*(0.9155*Table2[[#This Row],[J34]]-C$9)^2</f>
        <v>1.7220275536978884E-4</v>
      </c>
      <c r="O30">
        <f>Table3[[#This Row],[weight]]*(0.9155*Table2[[#This Row],[J45]]-D$9)^2</f>
        <v>4.2315446026675669E-6</v>
      </c>
      <c r="P30">
        <f>Table3[[#This Row],[weight]]*(0.9155*Table2[[#This Row],[J56]]-E$9)^2</f>
        <v>1.4391992209043601E-2</v>
      </c>
      <c r="Q30">
        <f>Table3[[#This Row],[weight]]*(0.9155*Table2[[#This Row],[J67]]-F$9)^2</f>
        <v>8.0903488485669966E-4</v>
      </c>
      <c r="R30">
        <f>Table3[[#This Row],[weight]]*(0.9155*Table2[[#This Row],[J67'']]-G$9)^2</f>
        <v>1.0876022004581614E-2</v>
      </c>
      <c r="S30">
        <f>chloroform!J35</f>
        <v>2.0566738505696278E-4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4.5989038016130638E-3</v>
      </c>
      <c r="M31">
        <f>Table3[[#This Row],[weight]]*(0.9155*Table2[[#This Row],[J2,3]]-B$9)^2</f>
        <v>2.6719453059403571</v>
      </c>
      <c r="N31">
        <f>Table3[[#This Row],[weight]]*(0.9155*Table2[[#This Row],[J34]]-C$9)^2</f>
        <v>2.7529402202605326E-2</v>
      </c>
      <c r="O31">
        <f>Table3[[#This Row],[weight]]*(0.9155*Table2[[#This Row],[J45]]-D$9)^2</f>
        <v>5.3945570865159738</v>
      </c>
      <c r="P31">
        <f>Table3[[#This Row],[weight]]*(0.9155*Table2[[#This Row],[J56]]-E$9)^2</f>
        <v>0.12490455287258892</v>
      </c>
      <c r="Q31">
        <f>Table3[[#This Row],[weight]]*(0.9155*Table2[[#This Row],[J67]]-F$9)^2</f>
        <v>5.1031024705041159E-2</v>
      </c>
      <c r="R31">
        <f>Table3[[#This Row],[weight]]*(0.9155*Table2[[#This Row],[J67'']]-G$9)^2</f>
        <v>0.1326972023708814</v>
      </c>
      <c r="S31">
        <f>chloroform!J36</f>
        <v>5.5906938041397652E-2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5.3307704538903491E-7</v>
      </c>
      <c r="M32">
        <f>Table3[[#This Row],[weight]]*(0.9155*Table2[[#This Row],[J2,3]]-B$9)^2</f>
        <v>1.0028362044935686E-2</v>
      </c>
      <c r="N32">
        <f>Table3[[#This Row],[weight]]*(0.9155*Table2[[#This Row],[J34]]-C$9)^2</f>
        <v>9.5483000424817401E-5</v>
      </c>
      <c r="O32">
        <f>Table3[[#This Row],[weight]]*(0.9155*Table2[[#This Row],[J45]]-D$9)^2</f>
        <v>1.8114332265577516E-4</v>
      </c>
      <c r="P32">
        <f>Table3[[#This Row],[weight]]*(0.9155*Table2[[#This Row],[J56]]-E$9)^2</f>
        <v>3.2764255616141397E-4</v>
      </c>
      <c r="Q32">
        <f>Table3[[#This Row],[weight]]*(0.9155*Table2[[#This Row],[J67]]-F$9)^2</f>
        <v>1.2015059028221578E-5</v>
      </c>
      <c r="R32">
        <f>Table3[[#This Row],[weight]]*(0.9155*Table2[[#This Row],[J67'']]-G$9)^2</f>
        <v>5.1213205245856869E-3</v>
      </c>
      <c r="S32">
        <f>chloroform!J37</f>
        <v>6.3222537538593754E-4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2.3074690627093472E-3</v>
      </c>
      <c r="M35">
        <f>Table3[[#This Row],[weight]]*(0.9155*Table2[[#This Row],[J2,3]]-B$9)^2</f>
        <v>1.0180557763472838E-4</v>
      </c>
      <c r="N35">
        <f>Table3[[#This Row],[weight]]*(0.9155*Table2[[#This Row],[J34]]-C$9)^2</f>
        <v>3.7116162325736215E-5</v>
      </c>
      <c r="O35">
        <f>Table3[[#This Row],[weight]]*(0.9155*Table2[[#This Row],[J45]]-D$9)^2</f>
        <v>3.9077033265572954E-4</v>
      </c>
      <c r="P35">
        <f>Table3[[#This Row],[weight]]*(0.9155*Table2[[#This Row],[J56]]-E$9)^2</f>
        <v>2.8974886824279292E-4</v>
      </c>
      <c r="Q35">
        <f>Table3[[#This Row],[weight]]*(0.9155*Table2[[#This Row],[J67]]-F$9)^2</f>
        <v>2.7687262638172623E-2</v>
      </c>
      <c r="R35">
        <f>Table3[[#This Row],[weight]]*(0.9155*Table2[[#This Row],[J67'']]-G$9)^2</f>
        <v>1.2045017643658733</v>
      </c>
      <c r="S35">
        <f>chloroform!J40</f>
        <v>0.18411597419052278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1.3708474600259708E-5</v>
      </c>
      <c r="M36">
        <f>Table3[[#This Row],[weight]]*(0.9155*Table2[[#This Row],[J2,3]]-B$9)^2</f>
        <v>2.9952394911036521E-2</v>
      </c>
      <c r="N36">
        <f>Table3[[#This Row],[weight]]*(0.9155*Table2[[#This Row],[J34]]-C$9)^2</f>
        <v>6.8432014041117334E-5</v>
      </c>
      <c r="O36">
        <f>Table3[[#This Row],[weight]]*(0.9155*Table2[[#This Row],[J45]]-D$9)^2</f>
        <v>2.7263722224462175E-2</v>
      </c>
      <c r="P36">
        <f>Table3[[#This Row],[weight]]*(0.9155*Table2[[#This Row],[J56]]-E$9)^2</f>
        <v>4.9718010000281442E-2</v>
      </c>
      <c r="Q36">
        <f>Table3[[#This Row],[weight]]*(0.9155*Table2[[#This Row],[J67]]-F$9)^2</f>
        <v>8.0407402910099499E-2</v>
      </c>
      <c r="R36">
        <f>Table3[[#This Row],[weight]]*(0.9155*Table2[[#This Row],[J67'']]-G$9)^2</f>
        <v>1.4635962194643492E-3</v>
      </c>
      <c r="S36">
        <f>chloroform!J41</f>
        <v>8.8062915025634259E-4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5.4859630623132782E-6</v>
      </c>
      <c r="M37">
        <f>Table3[[#This Row],[weight]]*(0.9155*Table2[[#This Row],[J2,3]]-B$9)^2</f>
        <v>1.599847885592939E-4</v>
      </c>
      <c r="N37">
        <f>Table3[[#This Row],[weight]]*(0.9155*Table2[[#This Row],[J34]]-C$9)^2</f>
        <v>1.9129937098286842E-4</v>
      </c>
      <c r="O37">
        <f>Table3[[#This Row],[weight]]*(0.9155*Table2[[#This Row],[J45]]-D$9)^2</f>
        <v>6.3013365290046968E-6</v>
      </c>
      <c r="P37">
        <f>Table3[[#This Row],[weight]]*(0.9155*Table2[[#This Row],[J56]]-E$9)^2</f>
        <v>1.6656129825350158E-2</v>
      </c>
      <c r="Q37">
        <f>Table3[[#This Row],[weight]]*(0.9155*Table2[[#This Row],[J67]]-F$9)^2</f>
        <v>4.9361010071069576E-4</v>
      </c>
      <c r="R37">
        <f>Table3[[#This Row],[weight]]*(0.9155*Table2[[#This Row],[J67'']]-G$9)^2</f>
        <v>1.4864365213390318E-2</v>
      </c>
      <c r="S37">
        <f>chloroform!J42</f>
        <v>2.3549036575819417E-4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4.5942570470818237E-3</v>
      </c>
      <c r="M38">
        <f>Table3[[#This Row],[weight]]*(0.9155*Table2[[#This Row],[J2,3]]-B$9)^2</f>
        <v>5.0710025692655716E-6</v>
      </c>
      <c r="N38">
        <f>Table3[[#This Row],[weight]]*(0.9155*Table2[[#This Row],[J34]]-C$9)^2</f>
        <v>1.7934405227918715E-4</v>
      </c>
      <c r="O38">
        <f>Table3[[#This Row],[weight]]*(0.9155*Table2[[#This Row],[J45]]-D$9)^2</f>
        <v>6.9378535069070069E-4</v>
      </c>
      <c r="P38">
        <f>Table3[[#This Row],[weight]]*(0.9155*Table2[[#This Row],[J56]]-E$9)^2</f>
        <v>1.1460756763054399E-3</v>
      </c>
      <c r="Q38">
        <f>Table3[[#This Row],[weight]]*(0.9155*Table2[[#This Row],[J67]]-F$9)^2</f>
        <v>6.1949817038913424E-3</v>
      </c>
      <c r="R38">
        <f>Table3[[#This Row],[weight]]*(0.9155*Table2[[#This Row],[J67'']]-G$9)^2</f>
        <v>1.4088725695992441</v>
      </c>
      <c r="S38">
        <f>chloroform!J43</f>
        <v>4.4310874929088404E-2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1.3052598241652757E-4</v>
      </c>
      <c r="M42">
        <f>Table3[[#This Row],[weight]]*(0.9155*Table2[[#This Row],[J2,3]]-B$9)^2</f>
        <v>1.757066818219916E-6</v>
      </c>
      <c r="N42">
        <f>Table3[[#This Row],[weight]]*(0.9155*Table2[[#This Row],[J34]]-C$9)^2</f>
        <v>3.7211723546149109E-5</v>
      </c>
      <c r="O42">
        <f>Table3[[#This Row],[weight]]*(0.9155*Table2[[#This Row],[J45]]-D$9)^2</f>
        <v>2.3064337720585365E-4</v>
      </c>
      <c r="P42">
        <f>Table3[[#This Row],[weight]]*(0.9155*Table2[[#This Row],[J56]]-E$9)^2</f>
        <v>3.2477809722690201E-3</v>
      </c>
      <c r="Q42">
        <f>Table3[[#This Row],[weight]]*(0.9155*Table2[[#This Row],[J67]]-F$9)^2</f>
        <v>9.7902481982305276E-4</v>
      </c>
      <c r="R42">
        <f>Table3[[#This Row],[weight]]*(0.9155*Table2[[#This Row],[J67'']]-G$9)^2</f>
        <v>1.0103913776375069E-2</v>
      </c>
      <c r="S42">
        <f>chloroform!J47</f>
        <v>2.2811825895973138E-3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4.5976263771453649E-5</v>
      </c>
      <c r="M43">
        <f>Table3[[#This Row],[weight]]*(0.9155*Table2[[#This Row],[J2,3]]-B$9)^2</f>
        <v>0.30004345907945784</v>
      </c>
      <c r="N43">
        <f>Table3[[#This Row],[weight]]*(0.9155*Table2[[#This Row],[J34]]-C$9)^2</f>
        <v>1.1562460783883496E-2</v>
      </c>
      <c r="O43">
        <f>Table3[[#This Row],[weight]]*(0.9155*Table2[[#This Row],[J45]]-D$9)^2</f>
        <v>0.39782950275290496</v>
      </c>
      <c r="P43">
        <f>Table3[[#This Row],[weight]]*(0.9155*Table2[[#This Row],[J56]]-E$9)^2</f>
        <v>6.8619624390876832E-4</v>
      </c>
      <c r="Q43">
        <f>Table3[[#This Row],[weight]]*(0.9155*Table2[[#This Row],[J67]]-F$9)^2</f>
        <v>0.48122737974452667</v>
      </c>
      <c r="R43">
        <f>Table3[[#This Row],[weight]]*(0.9155*Table2[[#This Row],[J67'']]-G$9)^2</f>
        <v>7.4892034801897467E-4</v>
      </c>
      <c r="S43">
        <f>chloroform!J48</f>
        <v>6.5209574072440518E-3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2.57494775147672E-3</v>
      </c>
      <c r="M44">
        <f>Table3[[#This Row],[weight]]*(0.9155*Table2[[#This Row],[J2,3]]-B$9)^2</f>
        <v>4.0041219649793999E-4</v>
      </c>
      <c r="N44">
        <f>Table3[[#This Row],[weight]]*(0.9155*Table2[[#This Row],[J34]]-C$9)^2</f>
        <v>7.9207304238704531E-5</v>
      </c>
      <c r="O44">
        <f>Table3[[#This Row],[weight]]*(0.9155*Table2[[#This Row],[J45]]-D$9)^2</f>
        <v>7.109044655243498E-4</v>
      </c>
      <c r="P44">
        <f>Table3[[#This Row],[weight]]*(0.9155*Table2[[#This Row],[J56]]-E$9)^2</f>
        <v>3.3782964477382356E-3</v>
      </c>
      <c r="Q44">
        <f>Table3[[#This Row],[weight]]*(0.9155*Table2[[#This Row],[J67]]-F$9)^2</f>
        <v>4.6208450126592864E-4</v>
      </c>
      <c r="R44">
        <f>Table3[[#This Row],[weight]]*(0.9155*Table2[[#This Row],[J67'']]-G$9)^2</f>
        <v>0.32859657991890739</v>
      </c>
      <c r="S44">
        <f>chloroform!J49</f>
        <v>3.8555310327115337E-2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 s="4">
        <f>Table3[[#This Row],[weight]]*(0.9155*Table2[[#This Row],[J1,2]]-A$9)^2</f>
        <v>0</v>
      </c>
      <c r="M47" s="4">
        <f>Table3[[#This Row],[weight]]*(0.9155*Table2[[#This Row],[J2,3]]-B$9)^2</f>
        <v>0</v>
      </c>
      <c r="N47" s="4">
        <f>Table3[[#This Row],[weight]]*(0.9155*Table2[[#This Row],[J34]]-C$9)^2</f>
        <v>0</v>
      </c>
      <c r="O47" s="4">
        <f>Table3[[#This Row],[weight]]*(0.9155*Table2[[#This Row],[J45]]-D$9)^2</f>
        <v>0</v>
      </c>
      <c r="P47" s="4">
        <f>Table3[[#This Row],[weight]]*(0.9155*Table2[[#This Row],[J56]]-E$9)^2</f>
        <v>0</v>
      </c>
      <c r="Q47" s="4">
        <f>Table3[[#This Row],[weight]]*(0.9155*Table2[[#This Row],[J67]]-F$9)^2</f>
        <v>0</v>
      </c>
      <c r="R47" s="4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 s="4">
        <f>Table3[[#This Row],[weight]]*(0.9155*Table2[[#This Row],[J1,2]]-A$9)^2</f>
        <v>6.6105823276562672E-4</v>
      </c>
      <c r="M48" s="4">
        <f>Table3[[#This Row],[weight]]*(0.9155*Table2[[#This Row],[J2,3]]-B$9)^2</f>
        <v>6.2158607645821521E-10</v>
      </c>
      <c r="N48" s="4">
        <f>Table3[[#This Row],[weight]]*(0.9155*Table2[[#This Row],[J34]]-C$9)^2</f>
        <v>6.8475228646575575E-5</v>
      </c>
      <c r="O48" s="4">
        <f>Table3[[#This Row],[weight]]*(0.9155*Table2[[#This Row],[J45]]-D$9)^2</f>
        <v>1.9491278228468125E-4</v>
      </c>
      <c r="P48" s="4">
        <f>Table3[[#This Row],[weight]]*(0.9155*Table2[[#This Row],[J56]]-E$9)^2</f>
        <v>2.4744841594882795E-4</v>
      </c>
      <c r="Q48" s="4">
        <f>Table3[[#This Row],[weight]]*(0.9155*Table2[[#This Row],[J67]]-F$9)^2</f>
        <v>0.43361147811133144</v>
      </c>
      <c r="R48" s="4">
        <f>Table3[[#This Row],[weight]]*(0.9155*Table2[[#This Row],[J67'']]-G$9)^2</f>
        <v>5.7666487471538394E-2</v>
      </c>
      <c r="S48">
        <f>chloroform!J53</f>
        <v>7.4801669878503804E-3</v>
      </c>
      <c r="T48" t="str">
        <f>chloroform!F53</f>
        <v>5C12</v>
      </c>
    </row>
    <row r="49" spans="11:20" x14ac:dyDescent="0.25">
      <c r="K49">
        <f>chloroform!E54</f>
        <v>144</v>
      </c>
      <c r="L49" s="4">
        <f>Table3[[#This Row],[weight]]*(0.9155*Table2[[#This Row],[J1,2]]-A$9)^2</f>
        <v>7.8149032853323279E-5</v>
      </c>
      <c r="M49" s="4">
        <f>Table3[[#This Row],[weight]]*(0.9155*Table2[[#This Row],[J2,3]]-B$9)^2</f>
        <v>3.2054626423544311E-8</v>
      </c>
      <c r="N49" s="4">
        <f>Table3[[#This Row],[weight]]*(0.9155*Table2[[#This Row],[J34]]-C$9)^2</f>
        <v>1.2246505913148647E-5</v>
      </c>
      <c r="O49" s="4">
        <f>Table3[[#This Row],[weight]]*(0.9155*Table2[[#This Row],[J45]]-D$9)^2</f>
        <v>1.5075314839231729E-7</v>
      </c>
      <c r="P49" s="4">
        <f>Table3[[#This Row],[weight]]*(0.9155*Table2[[#This Row],[J56]]-E$9)^2</f>
        <v>1.8536070588195789E-4</v>
      </c>
      <c r="Q49" s="4">
        <f>Table3[[#This Row],[weight]]*(0.9155*Table2[[#This Row],[J67]]-F$9)^2</f>
        <v>5.3293721447806577E-4</v>
      </c>
      <c r="R49" s="4">
        <f>Table3[[#This Row],[weight]]*(0.9155*Table2[[#This Row],[J67'']]-G$9)^2</f>
        <v>8.5586170565843432E-4</v>
      </c>
      <c r="S49">
        <f>chloroform!J54</f>
        <v>2.0420972223418954E-4</v>
      </c>
      <c r="T49" t="str">
        <f>chloroform!F54</f>
        <v>5C12</v>
      </c>
    </row>
    <row r="50" spans="11:20" x14ac:dyDescent="0.25">
      <c r="K50">
        <f>chloroform!E55</f>
        <v>155</v>
      </c>
      <c r="L50" s="4">
        <f>Table3[[#This Row],[weight]]*(0.9155*Table2[[#This Row],[J1,2]]-A$9)^2</f>
        <v>3.1674056738352167E-3</v>
      </c>
      <c r="M50" s="4">
        <f>Table3[[#This Row],[weight]]*(0.9155*Table2[[#This Row],[J2,3]]-B$9)^2</f>
        <v>1.0325450457552901E-5</v>
      </c>
      <c r="N50" s="4">
        <f>Table3[[#This Row],[weight]]*(0.9155*Table2[[#This Row],[J34]]-C$9)^2</f>
        <v>1.2342137797441928E-4</v>
      </c>
      <c r="O50" s="4">
        <f>Table3[[#This Row],[weight]]*(0.9155*Table2[[#This Row],[J45]]-D$9)^2</f>
        <v>1.8128777004137323E-3</v>
      </c>
      <c r="P50" s="4">
        <f>Table3[[#This Row],[weight]]*(0.9155*Table2[[#This Row],[J56]]-E$9)^2</f>
        <v>3.0659160777931848E-3</v>
      </c>
      <c r="Q50" s="4">
        <f>Table3[[#This Row],[weight]]*(0.9155*Table2[[#This Row],[J67]]-F$9)^2</f>
        <v>1.0100448195393722E-3</v>
      </c>
      <c r="R50" s="4">
        <f>Table3[[#This Row],[weight]]*(0.9155*Table2[[#This Row],[J67'']]-G$9)^2</f>
        <v>2.1185710470261623</v>
      </c>
      <c r="S50">
        <f>chloroform!J55</f>
        <v>6.0119762672846327E-2</v>
      </c>
      <c r="T50" t="str">
        <f>chloroform!F55</f>
        <v>5C12</v>
      </c>
    </row>
    <row r="51" spans="11:20" x14ac:dyDescent="0.25">
      <c r="K51">
        <f>chloroform!E56</f>
        <v>159</v>
      </c>
      <c r="L51" s="4">
        <f>Table3[[#This Row],[weight]]*(0.9155*Table2[[#This Row],[J1,2]]-A$9)^2</f>
        <v>3.0810043232660305E-6</v>
      </c>
      <c r="M51" s="4">
        <f>Table3[[#This Row],[weight]]*(0.9155*Table2[[#This Row],[J2,3]]-B$9)^2</f>
        <v>9.082800563920417E-7</v>
      </c>
      <c r="N51" s="4">
        <f>Table3[[#This Row],[weight]]*(0.9155*Table2[[#This Row],[J34]]-C$9)^2</f>
        <v>2.4654922262983742E-7</v>
      </c>
      <c r="O51" s="4">
        <f>Table3[[#This Row],[weight]]*(0.9155*Table2[[#This Row],[J45]]-D$9)^2</f>
        <v>4.5445356428864036E-6</v>
      </c>
      <c r="P51" s="4">
        <f>Table3[[#This Row],[weight]]*(0.9155*Table2[[#This Row],[J56]]-E$9)^2</f>
        <v>1.2727269329778916E-4</v>
      </c>
      <c r="Q51" s="4">
        <f>Table3[[#This Row],[weight]]*(0.9155*Table2[[#This Row],[J67]]-F$9)^2</f>
        <v>2.0799906479376067E-2</v>
      </c>
      <c r="R51" s="4">
        <f>Table3[[#This Row],[weight]]*(0.9155*Table2[[#This Row],[J67'']]-G$9)^2</f>
        <v>3.1625174128108178E-3</v>
      </c>
      <c r="S51">
        <f>chloroform!J56</f>
        <v>3.6238035402568207E-4</v>
      </c>
      <c r="T51" t="str">
        <f>chloroform!F56</f>
        <v>5C12</v>
      </c>
    </row>
    <row r="52" spans="11:20" x14ac:dyDescent="0.25">
      <c r="K52">
        <f>chloroform!E57</f>
        <v>164</v>
      </c>
      <c r="L52" s="4">
        <f>Table3[[#This Row],[weight]]*(0.9155*Table2[[#This Row],[J1,2]]-A$9)^2</f>
        <v>1.4001859186203039E-4</v>
      </c>
      <c r="M52" s="4">
        <f>Table3[[#This Row],[weight]]*(0.9155*Table2[[#This Row],[J2,3]]-B$9)^2</f>
        <v>4.8169184911813712E-7</v>
      </c>
      <c r="N52" s="4">
        <f>Table3[[#This Row],[weight]]*(0.9155*Table2[[#This Row],[J34]]-C$9)^2</f>
        <v>2.0276554183780646E-6</v>
      </c>
      <c r="O52" s="4">
        <f>Table3[[#This Row],[weight]]*(0.9155*Table2[[#This Row],[J45]]-D$9)^2</f>
        <v>2.3766754329480602E-5</v>
      </c>
      <c r="P52" s="4">
        <f>Table3[[#This Row],[weight]]*(0.9155*Table2[[#This Row],[J56]]-E$9)^2</f>
        <v>2.2371549858768991E-4</v>
      </c>
      <c r="Q52" s="4">
        <f>Table3[[#This Row],[weight]]*(0.9155*Table2[[#This Row],[J67]]-F$9)^2</f>
        <v>1.3840451161845898E-4</v>
      </c>
      <c r="R52" s="4">
        <f>Table3[[#This Row],[weight]]*(0.9155*Table2[[#This Row],[J67'']]-G$9)^2</f>
        <v>4.0118104874229128E-2</v>
      </c>
      <c r="S52">
        <f>chloroform!J57</f>
        <v>1.2221617734288117E-3</v>
      </c>
      <c r="T52" t="str">
        <f>chloroform!F57</f>
        <v>5C12</v>
      </c>
    </row>
    <row r="53" spans="11:20" x14ac:dyDescent="0.25">
      <c r="K53">
        <f>chloroform!E58</f>
        <v>170</v>
      </c>
      <c r="L53" s="4">
        <f>Table3[[#This Row],[weight]]*(0.9155*Table2[[#This Row],[J1,2]]-A$9)^2</f>
        <v>1.7710440156340761E-6</v>
      </c>
      <c r="M53" s="4">
        <f>Table3[[#This Row],[weight]]*(0.9155*Table2[[#This Row],[J2,3]]-B$9)^2</f>
        <v>1.3339518472155797E-3</v>
      </c>
      <c r="N53" s="4">
        <f>Table3[[#This Row],[weight]]*(0.9155*Table2[[#This Row],[J34]]-C$9)^2</f>
        <v>9.0663497279550478E-8</v>
      </c>
      <c r="O53" s="4">
        <f>Table3[[#This Row],[weight]]*(0.9155*Table2[[#This Row],[J45]]-D$9)^2</f>
        <v>2.3116016146377008E-5</v>
      </c>
      <c r="P53" s="4">
        <f>Table3[[#This Row],[weight]]*(0.9155*Table2[[#This Row],[J56]]-E$9)^2</f>
        <v>1.1743441154003526E-6</v>
      </c>
      <c r="Q53" s="4">
        <f>Table3[[#This Row],[weight]]*(0.9155*Table2[[#This Row],[J67]]-F$9)^2</f>
        <v>1.5911236421477858E-5</v>
      </c>
      <c r="R53" s="4">
        <f>Table3[[#This Row],[weight]]*(0.9155*Table2[[#This Row],[J67'']]-G$9)^2</f>
        <v>8.8426738735883934E-4</v>
      </c>
      <c r="S53">
        <f>chloroform!J58</f>
        <v>8.1234188329494146E-5</v>
      </c>
      <c r="T53" t="str">
        <f>chloroform!F58</f>
        <v>56E</v>
      </c>
    </row>
    <row r="54" spans="11:20" x14ac:dyDescent="0.25">
      <c r="K54">
        <f>chloroform!E59</f>
        <v>184</v>
      </c>
      <c r="L54" s="4">
        <f>Table3[[#This Row],[weight]]*(0.9155*Table2[[#This Row],[J1,2]]-A$9)^2</f>
        <v>9.5980126239917129E-6</v>
      </c>
      <c r="M54" s="4">
        <f>Table3[[#This Row],[weight]]*(0.9155*Table2[[#This Row],[J2,3]]-B$9)^2</f>
        <v>0.43786108994740686</v>
      </c>
      <c r="N54" s="4">
        <f>Table3[[#This Row],[weight]]*(0.9155*Table2[[#This Row],[J34]]-C$9)^2</f>
        <v>8.3553335767252018E-3</v>
      </c>
      <c r="O54" s="4">
        <f>Table3[[#This Row],[weight]]*(0.9155*Table2[[#This Row],[J45]]-D$9)^2</f>
        <v>0.56241564690505375</v>
      </c>
      <c r="P54" s="4">
        <f>Table3[[#This Row],[weight]]*(0.9155*Table2[[#This Row],[J56]]-E$9)^2</f>
        <v>1.3075201863938473E-2</v>
      </c>
      <c r="Q54" s="4">
        <f>Table3[[#This Row],[weight]]*(0.9155*Table2[[#This Row],[J67]]-F$9)^2</f>
        <v>0.88116025057948433</v>
      </c>
      <c r="R54" s="4">
        <f>Table3[[#This Row],[weight]]*(0.9155*Table2[[#This Row],[J67'']]-G$9)^2</f>
        <v>7.2120025854073328E-4</v>
      </c>
      <c r="S54">
        <f>chloroform!J59</f>
        <v>9.7436764796259168E-3</v>
      </c>
      <c r="T54" t="str">
        <f>chloroform!F59</f>
        <v>4H6</v>
      </c>
    </row>
    <row r="55" spans="11:20" x14ac:dyDescent="0.25">
      <c r="K55">
        <f>chloroform!E60</f>
        <v>189</v>
      </c>
      <c r="L55" s="4">
        <f>Table3[[#This Row],[weight]]*(0.9155*Table2[[#This Row],[J1,2]]-A$9)^2</f>
        <v>6.8232797264468345E-5</v>
      </c>
      <c r="M55" s="4">
        <f>Table3[[#This Row],[weight]]*(0.9155*Table2[[#This Row],[J2,3]]-B$9)^2</f>
        <v>6.7322047870373904E-7</v>
      </c>
      <c r="N55" s="4">
        <f>Table3[[#This Row],[weight]]*(0.9155*Table2[[#This Row],[J34]]-C$9)^2</f>
        <v>9.8623716830174672E-7</v>
      </c>
      <c r="O55" s="4">
        <f>Table3[[#This Row],[weight]]*(0.9155*Table2[[#This Row],[J45]]-D$9)^2</f>
        <v>1.7049154660689975E-5</v>
      </c>
      <c r="P55" s="4">
        <f>Table3[[#This Row],[weight]]*(0.9155*Table2[[#This Row],[J56]]-E$9)^2</f>
        <v>1.648171153586733E-8</v>
      </c>
      <c r="Q55" s="4">
        <f>Table3[[#This Row],[weight]]*(0.9155*Table2[[#This Row],[J67]]-F$9)^2</f>
        <v>6.1422601886643065E-2</v>
      </c>
      <c r="R55" s="4">
        <f>Table3[[#This Row],[weight]]*(0.9155*Table2[[#This Row],[J67'']]-G$9)^2</f>
        <v>1.0063231597436646E-2</v>
      </c>
      <c r="S55">
        <f>chloroform!J60</f>
        <v>1.0479670036557668E-3</v>
      </c>
      <c r="T55" t="str">
        <f>chloroform!F60</f>
        <v>5C12</v>
      </c>
    </row>
    <row r="56" spans="11:20" x14ac:dyDescent="0.25">
      <c r="K56">
        <f>chloroform!E61</f>
        <v>190</v>
      </c>
      <c r="L56" s="4">
        <f>Table3[[#This Row],[weight]]*(0.9155*Table2[[#This Row],[J1,2]]-A$9)^2</f>
        <v>7.8931331455551299E-5</v>
      </c>
      <c r="M56" s="4">
        <f>Table3[[#This Row],[weight]]*(0.9155*Table2[[#This Row],[J2,3]]-B$9)^2</f>
        <v>9.9839333640505179E-2</v>
      </c>
      <c r="N56" s="4">
        <f>Table3[[#This Row],[weight]]*(0.9155*Table2[[#This Row],[J34]]-C$9)^2</f>
        <v>1.5079552119881578E-3</v>
      </c>
      <c r="O56" s="4">
        <f>Table3[[#This Row],[weight]]*(0.9155*Table2[[#This Row],[J45]]-D$9)^2</f>
        <v>0.20106521905619928</v>
      </c>
      <c r="P56" s="4">
        <f>Table3[[#This Row],[weight]]*(0.9155*Table2[[#This Row],[J56]]-E$9)^2</f>
        <v>5.8934091617180119E-3</v>
      </c>
      <c r="Q56" s="4">
        <f>Table3[[#This Row],[weight]]*(0.9155*Table2[[#This Row],[J67]]-F$9)^2</f>
        <v>5.8224730477119874E-2</v>
      </c>
      <c r="R56" s="4">
        <f>Table3[[#This Row],[weight]]*(0.9155*Table2[[#This Row],[J67'']]-G$9)^2</f>
        <v>3.7444119625783936E-2</v>
      </c>
      <c r="S56">
        <f>chloroform!J61</f>
        <v>2.1096295378373285E-3</v>
      </c>
      <c r="T56" t="str">
        <f>chloroform!F61</f>
        <v>4H6</v>
      </c>
    </row>
    <row r="57" spans="11:20" x14ac:dyDescent="0.25">
      <c r="K57">
        <f>chloroform!E62</f>
        <v>199</v>
      </c>
      <c r="L57" s="4">
        <f>Table3[[#This Row],[weight]]*(0.9155*Table2[[#This Row],[J1,2]]-A$9)^2</f>
        <v>0</v>
      </c>
      <c r="M57" s="4">
        <f>Table3[[#This Row],[weight]]*(0.9155*Table2[[#This Row],[J2,3]]-B$9)^2</f>
        <v>0</v>
      </c>
      <c r="N57" s="4">
        <f>Table3[[#This Row],[weight]]*(0.9155*Table2[[#This Row],[J34]]-C$9)^2</f>
        <v>0</v>
      </c>
      <c r="O57" s="4">
        <f>Table3[[#This Row],[weight]]*(0.9155*Table2[[#This Row],[J45]]-D$9)^2</f>
        <v>0</v>
      </c>
      <c r="P57" s="4">
        <f>Table3[[#This Row],[weight]]*(0.9155*Table2[[#This Row],[J56]]-E$9)^2</f>
        <v>0</v>
      </c>
      <c r="Q57" s="4">
        <f>Table3[[#This Row],[weight]]*(0.9155*Table2[[#This Row],[J67]]-F$9)^2</f>
        <v>0</v>
      </c>
      <c r="R57" s="4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 s="4">
        <f>Table3[[#This Row],[weight]]*(0.9155*Table2[[#This Row],[J1,2]]-A$9)^2</f>
        <v>1.8110102977822714E-6</v>
      </c>
      <c r="M58" s="4">
        <f>Table3[[#This Row],[weight]]*(0.9155*Table2[[#This Row],[J2,3]]-B$9)^2</f>
        <v>1.8234051230084205E-3</v>
      </c>
      <c r="N58" s="4">
        <f>Table3[[#This Row],[weight]]*(0.9155*Table2[[#This Row],[J34]]-C$9)^2</f>
        <v>9.180816225998614E-5</v>
      </c>
      <c r="O58" s="4">
        <f>Table3[[#This Row],[weight]]*(0.9155*Table2[[#This Row],[J45]]-D$9)^2</f>
        <v>2.9626723178675378E-3</v>
      </c>
      <c r="P58" s="4">
        <f>Table3[[#This Row],[weight]]*(0.9155*Table2[[#This Row],[J56]]-E$9)^2</f>
        <v>5.200544468089813E-5</v>
      </c>
      <c r="Q58" s="4">
        <f>Table3[[#This Row],[weight]]*(0.9155*Table2[[#This Row],[J67]]-F$9)^2</f>
        <v>6.5206839467305067E-7</v>
      </c>
      <c r="R58" s="4">
        <f>Table3[[#This Row],[weight]]*(0.9155*Table2[[#This Row],[J67'']]-G$9)^2</f>
        <v>1.20331643898127E-3</v>
      </c>
      <c r="S58">
        <f>chloroform!J63</f>
        <v>4.1101993376206019E-5</v>
      </c>
      <c r="T58" t="str">
        <f>chloroform!F63</f>
        <v>4H6</v>
      </c>
    </row>
    <row r="59" spans="11:20" x14ac:dyDescent="0.25">
      <c r="K59">
        <f>chloroform!E64</f>
        <v>205</v>
      </c>
      <c r="L59" s="4">
        <f>Table3[[#This Row],[weight]]*(0.9155*Table2[[#This Row],[J1,2]]-A$9)^2</f>
        <v>6.9667260791134787E-6</v>
      </c>
      <c r="M59" s="4">
        <f>Table3[[#This Row],[weight]]*(0.9155*Table2[[#This Row],[J2,3]]-B$9)^2</f>
        <v>2.2009026666892753E-6</v>
      </c>
      <c r="N59" s="4">
        <f>Table3[[#This Row],[weight]]*(0.9155*Table2[[#This Row],[J34]]-C$9)^2</f>
        <v>6.6317022477749205E-6</v>
      </c>
      <c r="O59" s="4">
        <f>Table3[[#This Row],[weight]]*(0.9155*Table2[[#This Row],[J45]]-D$9)^2</f>
        <v>1.4608093326882215E-6</v>
      </c>
      <c r="P59" s="4">
        <f>Table3[[#This Row],[weight]]*(0.9155*Table2[[#This Row],[J56]]-E$9)^2</f>
        <v>2.6066559963277384E-5</v>
      </c>
      <c r="Q59" s="4">
        <f>Table3[[#This Row],[weight]]*(0.9155*Table2[[#This Row],[J67]]-F$9)^2</f>
        <v>1.0557027939495697E-2</v>
      </c>
      <c r="R59" s="4">
        <f>Table3[[#This Row],[weight]]*(0.9155*Table2[[#This Row],[J67'']]-G$9)^2</f>
        <v>2.0284459956221262E-3</v>
      </c>
      <c r="S59">
        <f>chloroform!J64</f>
        <v>1.8029207709489026E-4</v>
      </c>
      <c r="T59" t="str">
        <f>chloroform!F64</f>
        <v>5C12</v>
      </c>
    </row>
    <row r="60" spans="11:20" x14ac:dyDescent="0.25">
      <c r="K60">
        <f>chloroform!E65</f>
        <v>217</v>
      </c>
      <c r="L60" s="4">
        <f>Table3[[#This Row],[weight]]*(0.9155*Table2[[#This Row],[J1,2]]-A$9)^2</f>
        <v>0</v>
      </c>
      <c r="M60" s="4">
        <f>Table3[[#This Row],[weight]]*(0.9155*Table2[[#This Row],[J2,3]]-B$9)^2</f>
        <v>0</v>
      </c>
      <c r="N60" s="4">
        <f>Table3[[#This Row],[weight]]*(0.9155*Table2[[#This Row],[J34]]-C$9)^2</f>
        <v>0</v>
      </c>
      <c r="O60" s="4">
        <f>Table3[[#This Row],[weight]]*(0.9155*Table2[[#This Row],[J45]]-D$9)^2</f>
        <v>0</v>
      </c>
      <c r="P60" s="4">
        <f>Table3[[#This Row],[weight]]*(0.9155*Table2[[#This Row],[J56]]-E$9)^2</f>
        <v>0</v>
      </c>
      <c r="Q60" s="4">
        <f>Table3[[#This Row],[weight]]*(0.9155*Table2[[#This Row],[J67]]-F$9)^2</f>
        <v>0</v>
      </c>
      <c r="R60" s="4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 s="4">
        <f>Table3[[#This Row],[weight]]*(0.9155*Table2[[#This Row],[J1,2]]-A$9)^2</f>
        <v>2.8413446164712794E-5</v>
      </c>
      <c r="M62" s="4">
        <f>Table3[[#This Row],[weight]]*(0.9155*Table2[[#This Row],[J2,3]]-B$9)^2</f>
        <v>1.6853297059305294E-4</v>
      </c>
      <c r="N62" s="4">
        <f>Table3[[#This Row],[weight]]*(0.9155*Table2[[#This Row],[J34]]-C$9)^2</f>
        <v>1.0903050516461667E-3</v>
      </c>
      <c r="O62" s="4">
        <f>Table3[[#This Row],[weight]]*(0.9155*Table2[[#This Row],[J45]]-D$9)^2</f>
        <v>6.0679479502137264E-6</v>
      </c>
      <c r="P62" s="4">
        <f>Table3[[#This Row],[weight]]*(0.9155*Table2[[#This Row],[J56]]-E$9)^2</f>
        <v>1.0515529499616767E-6</v>
      </c>
      <c r="Q62" s="4">
        <f>Table3[[#This Row],[weight]]*(0.9155*Table2[[#This Row],[J67]]-F$9)^2</f>
        <v>5.8320946359130665E-6</v>
      </c>
      <c r="R62" s="4">
        <f>Table3[[#This Row],[weight]]*(0.9155*Table2[[#This Row],[J67'']]-G$9)^2</f>
        <v>4.861481736323909E-4</v>
      </c>
      <c r="S62">
        <f>chloroform!J67</f>
        <v>7.5007340007976264E-5</v>
      </c>
      <c r="T62" t="str">
        <f>chloroform!F67</f>
        <v>5C12</v>
      </c>
    </row>
    <row r="63" spans="11:20" x14ac:dyDescent="0.25">
      <c r="K63">
        <f>chloroform!E68</f>
        <v>376</v>
      </c>
      <c r="L63" s="4">
        <f>Table3[[#This Row],[weight]]*(0.9155*Table2[[#This Row],[J1,2]]-A$9)^2</f>
        <v>2.1016439986444172E-6</v>
      </c>
      <c r="M63" s="4">
        <f>Table3[[#This Row],[weight]]*(0.9155*Table2[[#This Row],[J2,3]]-B$9)^2</f>
        <v>3.6996174294007568E-3</v>
      </c>
      <c r="N63" s="4">
        <f>Table3[[#This Row],[weight]]*(0.9155*Table2[[#This Row],[J34]]-C$9)^2</f>
        <v>1.8767582761873103E-4</v>
      </c>
      <c r="O63" s="4">
        <f>Table3[[#This Row],[weight]]*(0.9155*Table2[[#This Row],[J45]]-D$9)^2</f>
        <v>6.1250279534852516E-3</v>
      </c>
      <c r="P63" s="4">
        <f>Table3[[#This Row],[weight]]*(0.9155*Table2[[#This Row],[J56]]-E$9)^2</f>
        <v>1.3888898171383033E-4</v>
      </c>
      <c r="Q63" s="4">
        <f>Table3[[#This Row],[weight]]*(0.9155*Table2[[#This Row],[J67]]-F$9)^2</f>
        <v>2.7129473160766384E-5</v>
      </c>
      <c r="R63" s="4">
        <f>Table3[[#This Row],[weight]]*(0.9155*Table2[[#This Row],[J67'']]-G$9)^2</f>
        <v>2.2598476209727083E-3</v>
      </c>
      <c r="S63">
        <f>chloroform!J68</f>
        <v>8.3509076082206903E-5</v>
      </c>
      <c r="T63" t="str">
        <f>chloroform!F68</f>
        <v>4H6</v>
      </c>
    </row>
    <row r="64" spans="11:20" x14ac:dyDescent="0.25">
      <c r="K64">
        <f>chloroform!E69</f>
        <v>387</v>
      </c>
      <c r="L64" s="4">
        <f>Table3[[#This Row],[weight]]*(0.9155*Table2[[#This Row],[J1,2]]-A$9)^2</f>
        <v>1.4064160151029939E-3</v>
      </c>
      <c r="M64" s="4">
        <f>Table3[[#This Row],[weight]]*(0.9155*Table2[[#This Row],[J2,3]]-B$9)^2</f>
        <v>0.34432276061464467</v>
      </c>
      <c r="N64" s="4">
        <f>Table3[[#This Row],[weight]]*(0.9155*Table2[[#This Row],[J34]]-C$9)^2</f>
        <v>6.9747275277236059E-4</v>
      </c>
      <c r="O64" s="4">
        <f>Table3[[#This Row],[weight]]*(0.9155*Table2[[#This Row],[J45]]-D$9)^2</f>
        <v>0.26736175539344553</v>
      </c>
      <c r="P64" s="4">
        <f>Table3[[#This Row],[weight]]*(0.9155*Table2[[#This Row],[J56]]-E$9)^2</f>
        <v>0.49361101812256486</v>
      </c>
      <c r="Q64" s="4">
        <f>Table3[[#This Row],[weight]]*(0.9155*Table2[[#This Row],[J67]]-F$9)^2</f>
        <v>3.1214946763333177E-3</v>
      </c>
      <c r="R64" s="4">
        <f>Table3[[#This Row],[weight]]*(0.9155*Table2[[#This Row],[J67'']]-G$9)^2</f>
        <v>0.23798545492728598</v>
      </c>
      <c r="S64">
        <f>chloroform!J69</f>
        <v>9.2777430359169254E-3</v>
      </c>
      <c r="T64" t="str">
        <f>chloroform!F69</f>
        <v>12C5</v>
      </c>
    </row>
    <row r="65" spans="12:18" x14ac:dyDescent="0.25">
      <c r="L65" s="4"/>
      <c r="M65" s="4"/>
      <c r="N65" s="4"/>
      <c r="O65" s="4"/>
      <c r="P65" s="4"/>
      <c r="Q65" s="4"/>
      <c r="R65" s="4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64"/>
  <sheetViews>
    <sheetView topLeftCell="A16" workbookViewId="0">
      <selection activeCell="L63" sqref="L63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0.60755033231745215</v>
      </c>
      <c r="D1" t="s">
        <v>11</v>
      </c>
      <c r="E1" t="s">
        <v>17</v>
      </c>
      <c r="G1">
        <f>COUNTIF(Table3[classification],E1)</f>
        <v>26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1.9767356205472057E-4</v>
      </c>
      <c r="M2">
        <f>Table3[[#This Row],[weight]]*(0.9155*Table2[[#This Row],[J2,3]]-B$9)^2</f>
        <v>0.2603932138360644</v>
      </c>
      <c r="N2">
        <f>Table3[[#This Row],[weight]]*(0.9155*Table2[[#This Row],[J34]]-C$9)^2</f>
        <v>3.5105435796387735E-4</v>
      </c>
      <c r="O2">
        <f>Table3[[#This Row],[weight]]*(0.9155*Table2[[#This Row],[J45]]-D$9)^2</f>
        <v>0.41451822964911345</v>
      </c>
      <c r="P2">
        <f>Table3[[#This Row],[weight]]*(0.9155*Table2[[#This Row],[J56]]-E$9)^2</f>
        <v>0.786008148913238</v>
      </c>
      <c r="Q2">
        <f>Table3[[#This Row],[weight]]*(0.9155*Table2[[#This Row],[J67]]-F$9)^2</f>
        <v>0.4681594620232688</v>
      </c>
      <c r="R2">
        <f>Table3[[#This Row],[weight]]*(0.9155*Table2[[#This Row],[J67'']]-G$9)^2</f>
        <v>4.0218129172335859E-2</v>
      </c>
      <c r="S2">
        <f>chloroform!J7</f>
        <v>7.006629610623147E-3</v>
      </c>
      <c r="T2" t="str">
        <f>chloroform!F7</f>
        <v>6H4</v>
      </c>
    </row>
    <row r="3" spans="1:20" x14ac:dyDescent="0.25">
      <c r="A3" t="s">
        <v>60</v>
      </c>
      <c r="K3">
        <f>chloroform!E8</f>
        <v>2</v>
      </c>
      <c r="L3">
        <f>Table3[[#This Row],[weight]]*(0.9155*Table2[[#This Row],[J1,2]]-A$9)^2</f>
        <v>9.8967402086642156E-5</v>
      </c>
      <c r="M3">
        <f>Table3[[#This Row],[weight]]*(0.9155*Table2[[#This Row],[J2,3]]-B$9)^2</f>
        <v>2.0308619410346605E-4</v>
      </c>
      <c r="N3">
        <f>Table3[[#This Row],[weight]]*(0.9155*Table2[[#This Row],[J34]]-C$9)^2</f>
        <v>1.1263120754756214E-3</v>
      </c>
      <c r="O3">
        <f>Table3[[#This Row],[weight]]*(0.9155*Table2[[#This Row],[J45]]-D$9)^2</f>
        <v>1.5493654236841485E-2</v>
      </c>
      <c r="P3">
        <f>Table3[[#This Row],[weight]]*(0.9155*Table2[[#This Row],[J56]]-E$9)^2</f>
        <v>1.1478085296595242E-2</v>
      </c>
      <c r="Q3">
        <f>Table3[[#This Row],[weight]]*(0.9155*Table2[[#This Row],[J67]]-F$9)^2</f>
        <v>9.4984481714148139E-2</v>
      </c>
      <c r="R3">
        <f>Table3[[#This Row],[weight]]*(0.9155*Table2[[#This Row],[J67'']]-G$9)^2</f>
        <v>0.33330561133709952</v>
      </c>
      <c r="S3">
        <f>chloroform!J8</f>
        <v>3.7030869616405469E-2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2.5641278791968722E-5</v>
      </c>
      <c r="M4">
        <f>Table3[[#This Row],[weight]]*(0.9155*Table2[[#This Row],[J2,3]]-B$9)^2</f>
        <v>2.7719785892555941E-5</v>
      </c>
      <c r="N4">
        <f>Table3[[#This Row],[weight]]*(0.9155*Table2[[#This Row],[J34]]-C$9)^2</f>
        <v>2.397087108794352E-3</v>
      </c>
      <c r="O4">
        <f>Table3[[#This Row],[weight]]*(0.9155*Table2[[#This Row],[J45]]-D$9)^2</f>
        <v>1.4305172414786334E-3</v>
      </c>
      <c r="P4">
        <f>Table3[[#This Row],[weight]]*(0.9155*Table2[[#This Row],[J56]]-E$9)^2</f>
        <v>5.6358062038323897E-4</v>
      </c>
      <c r="Q4">
        <f>Table3[[#This Row],[weight]]*(0.9155*Table2[[#This Row],[J67]]-F$9)^2</f>
        <v>6.7191651872938361E-4</v>
      </c>
      <c r="R4">
        <f>Table3[[#This Row],[weight]]*(0.9155*Table2[[#This Row],[J67'']]-G$9)^2</f>
        <v>0.97453561220976515</v>
      </c>
      <c r="S4">
        <f>chloroform!J9</f>
        <v>0.1448766628446449</v>
      </c>
      <c r="T4" t="str">
        <f>chloroform!F9</f>
        <v>4H6</v>
      </c>
    </row>
    <row r="5" spans="1:20" x14ac:dyDescent="0.25">
      <c r="A5">
        <f>SUMIF(Table1[Classification],E1,Table2[J1,23])/$B$1</f>
        <v>7.5587968557341689</v>
      </c>
      <c r="B5">
        <f>SUMIF(Table1[Classification],E1,Table2[J2,34])/$B$1</f>
        <v>1.9318048420225284</v>
      </c>
      <c r="C5">
        <f>SUMIF(Table1[Classification],E1,Table2[J345])/$B$1</f>
        <v>1.8708266248965166</v>
      </c>
      <c r="D5">
        <f>SUMIF(Table1[Classification],E1,Table2[J456])/$B$1</f>
        <v>1.4853623209239515</v>
      </c>
      <c r="E5">
        <f>SUMIF(Table1[Classification],E1,Table2[J567])/$B$1</f>
        <v>10.759987940101336</v>
      </c>
      <c r="F5">
        <f>SUMIF(Table1[Classification],E1,Table2[J678])/$B$1</f>
        <v>1.9045947766845297</v>
      </c>
      <c r="G5">
        <f>SUMIF(Table1[Classification],E1,Table2[J67''9])/$B$1</f>
        <v>4.4703549502299484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7.8060748038494098E-5</v>
      </c>
      <c r="M7">
        <f>Table3[[#This Row],[weight]]*(0.9155*Table2[[#This Row],[J2,3]]-B$9)^2</f>
        <v>1.813877220372738E-6</v>
      </c>
      <c r="N7">
        <f>Table3[[#This Row],[weight]]*(0.9155*Table2[[#This Row],[J34]]-C$9)^2</f>
        <v>7.6191360215900291E-4</v>
      </c>
      <c r="O7">
        <f>Table3[[#This Row],[weight]]*(0.9155*Table2[[#This Row],[J45]]-D$9)^2</f>
        <v>5.76149355523426E-4</v>
      </c>
      <c r="P7">
        <f>Table3[[#This Row],[weight]]*(0.9155*Table2[[#This Row],[J56]]-E$9)^2</f>
        <v>1.9316328410089975E-4</v>
      </c>
      <c r="Q7">
        <f>Table3[[#This Row],[weight]]*(0.9155*Table2[[#This Row],[J67]]-F$9)^2</f>
        <v>8.8948639937528034E-4</v>
      </c>
      <c r="R7">
        <f>Table3[[#This Row],[weight]]*(0.9155*Table2[[#This Row],[J67'']]-G$9)^2</f>
        <v>1.12811296910162E-3</v>
      </c>
      <c r="S7">
        <f>chloroform!J12</f>
        <v>7.4517732155956139E-4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2.9124194926538087E-3</v>
      </c>
      <c r="M8">
        <f>Table3[[#This Row],[weight]]*(0.9155*Table2[[#This Row],[J2,3]]-B$9)^2</f>
        <v>0.73797315052223333</v>
      </c>
      <c r="N8">
        <f>Table3[[#This Row],[weight]]*(0.9155*Table2[[#This Row],[J34]]-C$9)^2</f>
        <v>4.3218347108793661E-4</v>
      </c>
      <c r="O8">
        <f>Table3[[#This Row],[weight]]*(0.9155*Table2[[#This Row],[J45]]-D$9)^2</f>
        <v>1.5131455013923938</v>
      </c>
      <c r="P8">
        <f>Table3[[#This Row],[weight]]*(0.9155*Table2[[#This Row],[J56]]-E$9)^2</f>
        <v>2.2539663779652241</v>
      </c>
      <c r="Q8">
        <f>Table3[[#This Row],[weight]]*(0.9155*Table2[[#This Row],[J67]]-F$9)^2</f>
        <v>0.10395454543611167</v>
      </c>
      <c r="R8">
        <f>Table3[[#This Row],[weight]]*(0.9155*Table2[[#This Row],[J67'']]-G$9)^2</f>
        <v>1.2862801280608012</v>
      </c>
      <c r="S8">
        <f>chloroform!J13</f>
        <v>2.188514232521567E-2</v>
      </c>
      <c r="T8" t="str">
        <f>chloroform!F13</f>
        <v>6H4</v>
      </c>
    </row>
    <row r="9" spans="1:20" x14ac:dyDescent="0.25">
      <c r="A9">
        <f>A5</f>
        <v>7.5587968557341689</v>
      </c>
      <c r="B9">
        <f t="shared" ref="B9:G9" si="0">B5</f>
        <v>1.9318048420225284</v>
      </c>
      <c r="C9">
        <f>C5</f>
        <v>1.8708266248965166</v>
      </c>
      <c r="D9">
        <f t="shared" si="0"/>
        <v>1.4853623209239515</v>
      </c>
      <c r="E9">
        <f t="shared" si="0"/>
        <v>10.759987940101336</v>
      </c>
      <c r="F9">
        <f t="shared" si="0"/>
        <v>1.9045947766845297</v>
      </c>
      <c r="G9">
        <f t="shared" si="0"/>
        <v>4.4703549502299484</v>
      </c>
      <c r="K9">
        <f>chloroform!E14</f>
        <v>21</v>
      </c>
      <c r="L9">
        <f>Table3[[#This Row],[weight]]*(0.9155*Table2[[#This Row],[J1,2]]-A$9)^2</f>
        <v>9.4602112653638002E-4</v>
      </c>
      <c r="M9">
        <f>Table3[[#This Row],[weight]]*(0.9155*Table2[[#This Row],[J2,3]]-B$9)^2</f>
        <v>5.7351240109209276E-5</v>
      </c>
      <c r="N9">
        <f>Table3[[#This Row],[weight]]*(0.9155*Table2[[#This Row],[J34]]-C$9)^2</f>
        <v>5.3194565611235888E-3</v>
      </c>
      <c r="O9">
        <f>Table3[[#This Row],[weight]]*(0.9155*Table2[[#This Row],[J45]]-D$9)^2</f>
        <v>3.9881114697582341E-2</v>
      </c>
      <c r="P9">
        <f>Table3[[#This Row],[weight]]*(0.9155*Table2[[#This Row],[J56]]-E$9)^2</f>
        <v>8.2813588097090888E-3</v>
      </c>
      <c r="Q9">
        <f>Table3[[#This Row],[weight]]*(0.9155*Table2[[#This Row],[J67]]-F$9)^2</f>
        <v>6.6949001741939879E-2</v>
      </c>
      <c r="R9">
        <f>Table3[[#This Row],[weight]]*(0.9155*Table2[[#This Row],[J67'']]-G$9)^2</f>
        <v>0.1097288838692347</v>
      </c>
      <c r="S9">
        <f>chloroform!J14</f>
        <v>5.8814807620270089E-2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1.105942612395428E-5</v>
      </c>
      <c r="M10">
        <f>Table3[[#This Row],[weight]]*(0.9155*Table2[[#This Row],[J2,3]]-B$9)^2</f>
        <v>6.8248583478981635E-6</v>
      </c>
      <c r="N10">
        <f>Table3[[#This Row],[weight]]*(0.9155*Table2[[#This Row],[J34]]-C$9)^2</f>
        <v>2.505603647354114E-4</v>
      </c>
      <c r="O10">
        <f>Table3[[#This Row],[weight]]*(0.9155*Table2[[#This Row],[J45]]-D$9)^2</f>
        <v>3.7451142177364222E-4</v>
      </c>
      <c r="P10">
        <f>Table3[[#This Row],[weight]]*(0.9155*Table2[[#This Row],[J56]]-E$9)^2</f>
        <v>2.8423531603448719E-4</v>
      </c>
      <c r="Q10">
        <f>Table3[[#This Row],[weight]]*(0.9155*Table2[[#This Row],[J67]]-F$9)^2</f>
        <v>1.1999375901769419E-3</v>
      </c>
      <c r="R10">
        <f>Table3[[#This Row],[weight]]*(0.9155*Table2[[#This Row],[J67'']]-G$9)^2</f>
        <v>2.8951387407970216E-3</v>
      </c>
      <c r="S10">
        <f>chloroform!J15</f>
        <v>4.2825797948773352E-4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4.2839616616660861E-6</v>
      </c>
      <c r="M11">
        <f>Table3[[#This Row],[weight]]*(0.9155*Table2[[#This Row],[J2,3]]-B$9)^2</f>
        <v>4.8242600712727986E-7</v>
      </c>
      <c r="N11">
        <f>Table3[[#This Row],[weight]]*(0.9155*Table2[[#This Row],[J34]]-C$9)^2</f>
        <v>1.5009871045614068E-4</v>
      </c>
      <c r="O11">
        <f>Table3[[#This Row],[weight]]*(0.9155*Table2[[#This Row],[J45]]-D$9)^2</f>
        <v>1.6699117657378659E-4</v>
      </c>
      <c r="P11">
        <f>Table3[[#This Row],[weight]]*(0.9155*Table2[[#This Row],[J56]]-E$9)^2</f>
        <v>6.8342061980567711E-6</v>
      </c>
      <c r="Q11">
        <f>Table3[[#This Row],[weight]]*(0.9155*Table2[[#This Row],[J67]]-F$9)^2</f>
        <v>9.5385497913548344E-3</v>
      </c>
      <c r="R11">
        <f>Table3[[#This Row],[weight]]*(0.9155*Table2[[#This Row],[J67'']]-G$9)^2</f>
        <v>1.4611709448157412E-3</v>
      </c>
      <c r="S11">
        <f>chloroform!J16</f>
        <v>1.7783930625614133E-4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1.7740224358883569E-4</v>
      </c>
      <c r="M12">
        <f>Table3[[#This Row],[weight]]*(0.9155*Table2[[#This Row],[J2,3]]-B$9)^2</f>
        <v>2.5814791141734255E-4</v>
      </c>
      <c r="N12">
        <f>Table3[[#This Row],[weight]]*(0.9155*Table2[[#This Row],[J34]]-C$9)^2</f>
        <v>3.1862872484541816E-5</v>
      </c>
      <c r="O12">
        <f>Table3[[#This Row],[weight]]*(0.9155*Table2[[#This Row],[J45]]-D$9)^2</f>
        <v>1.9942464127909475E-2</v>
      </c>
      <c r="P12">
        <f>Table3[[#This Row],[weight]]*(0.9155*Table2[[#This Row],[J56]]-E$9)^2</f>
        <v>5.2179784741349752E-2</v>
      </c>
      <c r="Q12">
        <f>Table3[[#This Row],[weight]]*(0.9155*Table2[[#This Row],[J67]]-F$9)^2</f>
        <v>0.8650357006624575</v>
      </c>
      <c r="R12">
        <f>Table3[[#This Row],[weight]]*(0.9155*Table2[[#This Row],[J67'']]-G$9)^2</f>
        <v>2.0642220845076033E-3</v>
      </c>
      <c r="S12">
        <f>chloroform!J17</f>
        <v>9.732944469965539E-3</v>
      </c>
      <c r="T12" t="str">
        <f>chloroform!F17</f>
        <v>4H6</v>
      </c>
    </row>
    <row r="13" spans="1:20" x14ac:dyDescent="0.25">
      <c r="A13">
        <f>SQRT(SUMIF($T$2:$T$46,$E$1,L$2:L$46)/(($G$1-1)*$B$1/$G$1))</f>
        <v>0.10058380207950199</v>
      </c>
      <c r="B13">
        <f>SQRT(SUMIF($T$2:$T$46,$E$1,M$2:M$46)/(($G$1-1)*$B$1/$G$1))</f>
        <v>3.6747288472257715E-2</v>
      </c>
      <c r="C13">
        <f>SQRT(SUMIF($T$2:$T$46,$E$1,N$2:N$46)/(($G$1-1)*$B$1/$G$1))</f>
        <v>0.23657678611869695</v>
      </c>
      <c r="D13">
        <f t="shared" ref="D13:F13" si="1">SQRT(SUMIF($T$2:$T$46,$E$1,O$2:O$46)/(($G$1-1)*$B$1/$G$1))</f>
        <v>0.58591354327060541</v>
      </c>
      <c r="E13">
        <f t="shared" si="1"/>
        <v>0.46946253158874202</v>
      </c>
      <c r="F13">
        <f t="shared" si="1"/>
        <v>1.9374224281330934</v>
      </c>
      <c r="G13">
        <f>SQRT(SUMIF($T$2:$T$46,$E$1,R$2:R$46)/(($G$1-1)*$B$1/$G$1))</f>
        <v>3.3475049201078519</v>
      </c>
      <c r="K13">
        <f>chloroform!E18</f>
        <v>30</v>
      </c>
      <c r="L13">
        <f>Table3[[#This Row],[weight]]*(0.9155*Table2[[#This Row],[J1,2]]-A$9)^2</f>
        <v>6.0373700719463335E-6</v>
      </c>
      <c r="M13">
        <f>Table3[[#This Row],[weight]]*(0.9155*Table2[[#This Row],[J2,3]]-B$9)^2</f>
        <v>0.14265877108463179</v>
      </c>
      <c r="N13">
        <f>Table3[[#This Row],[weight]]*(0.9155*Table2[[#This Row],[J34]]-C$9)^2</f>
        <v>4.7977466545910192E-4</v>
      </c>
      <c r="O13">
        <f>Table3[[#This Row],[weight]]*(0.9155*Table2[[#This Row],[J45]]-D$9)^2</f>
        <v>0.12300389408711083</v>
      </c>
      <c r="P13">
        <f>Table3[[#This Row],[weight]]*(0.9155*Table2[[#This Row],[J56]]-E$9)^2</f>
        <v>0.41752052137862317</v>
      </c>
      <c r="Q13">
        <f>Table3[[#This Row],[weight]]*(0.9155*Table2[[#This Row],[J67]]-F$9)^2</f>
        <v>9.4076091341953956E-4</v>
      </c>
      <c r="R13">
        <f>Table3[[#This Row],[weight]]*(0.9155*Table2[[#This Row],[J67'']]-G$9)^2</f>
        <v>0.24497097838035095</v>
      </c>
      <c r="S13">
        <f>chloroform!J18</f>
        <v>3.8122644132718006E-3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3.3606157528343029E-6</v>
      </c>
      <c r="M14">
        <f>Table3[[#This Row],[weight]]*(0.9155*Table2[[#This Row],[J2,3]]-B$9)^2</f>
        <v>2.728413559537933E-6</v>
      </c>
      <c r="N14">
        <f>Table3[[#This Row],[weight]]*(0.9155*Table2[[#This Row],[J34]]-C$9)^2</f>
        <v>3.2285928728076986E-4</v>
      </c>
      <c r="O14">
        <f>Table3[[#This Row],[weight]]*(0.9155*Table2[[#This Row],[J45]]-D$9)^2</f>
        <v>9.2451454622146571E-4</v>
      </c>
      <c r="P14">
        <f>Table3[[#This Row],[weight]]*(0.9155*Table2[[#This Row],[J56]]-E$9)^2</f>
        <v>3.9857718286219175E-4</v>
      </c>
      <c r="Q14">
        <f>Table3[[#This Row],[weight]]*(0.9155*Table2[[#This Row],[J67]]-F$9)^2</f>
        <v>5.6570866444290168E-4</v>
      </c>
      <c r="R14">
        <f>Table3[[#This Row],[weight]]*(0.9155*Table2[[#This Row],[J67'']]-G$9)^2</f>
        <v>2.6049635573559705E-2</v>
      </c>
      <c r="S14">
        <f>chloroform!J19</f>
        <v>9.0755134518669838E-4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1.0487783068136436E-6</v>
      </c>
      <c r="M15">
        <f>Table3[[#This Row],[weight]]*(0.9155*Table2[[#This Row],[J2,3]]-B$9)^2</f>
        <v>1.8731890651285641E-3</v>
      </c>
      <c r="N15">
        <f>Table3[[#This Row],[weight]]*(0.9155*Table2[[#This Row],[J34]]-C$9)^2</f>
        <v>1.1305747520056623E-5</v>
      </c>
      <c r="O15">
        <f>Table3[[#This Row],[weight]]*(0.9155*Table2[[#This Row],[J45]]-D$9)^2</f>
        <v>5.9796796838602452E-3</v>
      </c>
      <c r="P15">
        <f>Table3[[#This Row],[weight]]*(0.9155*Table2[[#This Row],[J56]]-E$9)^2</f>
        <v>5.2701457643033094E-3</v>
      </c>
      <c r="Q15">
        <f>Table3[[#This Row],[weight]]*(0.9155*Table2[[#This Row],[J67]]-F$9)^2</f>
        <v>3.3314906785459779E-4</v>
      </c>
      <c r="R15">
        <f>Table3[[#This Row],[weight]]*(0.9155*Table2[[#This Row],[J67'']]-G$9)^2</f>
        <v>8.7452059697583134E-4</v>
      </c>
      <c r="S15">
        <f>chloroform!J20</f>
        <v>6.9203215301698665E-5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5.6269032465370326E-8</v>
      </c>
      <c r="M16">
        <f>Table3[[#This Row],[weight]]*(0.9155*Table2[[#This Row],[J2,3]]-B$9)^2</f>
        <v>4.7721519415766324E-7</v>
      </c>
      <c r="N16">
        <f>Table3[[#This Row],[weight]]*(0.9155*Table2[[#This Row],[J34]]-C$9)^2</f>
        <v>5.6638978111434798E-5</v>
      </c>
      <c r="O16">
        <f>Table3[[#This Row],[weight]]*(0.9155*Table2[[#This Row],[J45]]-D$9)^2</f>
        <v>1.3082875371551433E-3</v>
      </c>
      <c r="P16">
        <f>Table3[[#This Row],[weight]]*(0.9155*Table2[[#This Row],[J56]]-E$9)^2</f>
        <v>6.2906695797934262E-4</v>
      </c>
      <c r="Q16">
        <f>Table3[[#This Row],[weight]]*(0.9155*Table2[[#This Row],[J67]]-F$9)^2</f>
        <v>5.9635155658019218E-2</v>
      </c>
      <c r="R16">
        <f>Table3[[#This Row],[weight]]*(0.9155*Table2[[#This Row],[J67'']]-G$9)^2</f>
        <v>3.5715218813744787E-2</v>
      </c>
      <c r="S16">
        <f>chloroform!J21</f>
        <v>2.1941045049983883E-3</v>
      </c>
      <c r="T16" t="str">
        <f>chloroform!F21</f>
        <v>4H6</v>
      </c>
    </row>
    <row r="17" spans="7:20" x14ac:dyDescent="0.25">
      <c r="K17">
        <f>chloroform!E22</f>
        <v>40</v>
      </c>
      <c r="L17">
        <f>Table3[[#This Row],[weight]]*(0.9155*Table2[[#This Row],[J1,2]]-A$9)^2</f>
        <v>5.7993058302964714E-7</v>
      </c>
      <c r="M17">
        <f>Table3[[#This Row],[weight]]*(0.9155*Table2[[#This Row],[J2,3]]-B$9)^2</f>
        <v>8.7487126478062919E-7</v>
      </c>
      <c r="N17">
        <f>Table3[[#This Row],[weight]]*(0.9155*Table2[[#This Row],[J34]]-C$9)^2</f>
        <v>2.2562214251165458E-4</v>
      </c>
      <c r="O17">
        <f>Table3[[#This Row],[weight]]*(0.9155*Table2[[#This Row],[J45]]-D$9)^2</f>
        <v>2.4030061458312662E-4</v>
      </c>
      <c r="P17">
        <f>Table3[[#This Row],[weight]]*(0.9155*Table2[[#This Row],[J56]]-E$9)^2</f>
        <v>1.3495065427384544E-4</v>
      </c>
      <c r="Q17">
        <f>Table3[[#This Row],[weight]]*(0.9155*Table2[[#This Row],[J67]]-F$9)^2</f>
        <v>5.6465302487857417E-4</v>
      </c>
      <c r="R17">
        <f>Table3[[#This Row],[weight]]*(0.9155*Table2[[#This Row],[J67'']]-G$9)^2</f>
        <v>1.3195849235228181E-3</v>
      </c>
      <c r="S17">
        <f>chloroform!J22</f>
        <v>2.0196638814690861E-4</v>
      </c>
      <c r="T17" t="str">
        <f>chloroform!F22</f>
        <v>4H6</v>
      </c>
    </row>
    <row r="18" spans="7:20" x14ac:dyDescent="0.25">
      <c r="G18" t="s">
        <v>36</v>
      </c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7:20" x14ac:dyDescent="0.25">
      <c r="G19" t="s">
        <v>37</v>
      </c>
      <c r="K19">
        <f>chloroform!E24</f>
        <v>43</v>
      </c>
      <c r="L19">
        <f>Table3[[#This Row],[weight]]*(0.9155*Table2[[#This Row],[J1,2]]-A$9)^2</f>
        <v>1.6349496045185883E-5</v>
      </c>
      <c r="M19">
        <f>Table3[[#This Row],[weight]]*(0.9155*Table2[[#This Row],[J2,3]]-B$9)^2</f>
        <v>2.0229056193682656E-3</v>
      </c>
      <c r="N19">
        <f>Table3[[#This Row],[weight]]*(0.9155*Table2[[#This Row],[J34]]-C$9)^2</f>
        <v>1.2809959428014628E-3</v>
      </c>
      <c r="O19">
        <f>Table3[[#This Row],[weight]]*(0.9155*Table2[[#This Row],[J45]]-D$9)^2</f>
        <v>2.9135998067041511E-2</v>
      </c>
      <c r="P19">
        <f>Table3[[#This Row],[weight]]*(0.9155*Table2[[#This Row],[J56]]-E$9)^2</f>
        <v>0.17399303562247542</v>
      </c>
      <c r="Q19">
        <f>Table3[[#This Row],[weight]]*(0.9155*Table2[[#This Row],[J67]]-F$9)^2</f>
        <v>0.25610806453949858</v>
      </c>
      <c r="R19">
        <f>Table3[[#This Row],[weight]]*(0.9155*Table2[[#This Row],[J67'']]-G$9)^2</f>
        <v>2.8994401642142302E-4</v>
      </c>
      <c r="S19">
        <f>chloroform!J24</f>
        <v>2.4335224570074033E-3</v>
      </c>
      <c r="T19" t="str">
        <f>chloroform!F24</f>
        <v>12C5</v>
      </c>
    </row>
    <row r="20" spans="7:20" x14ac:dyDescent="0.25">
      <c r="G20" t="s">
        <v>38</v>
      </c>
      <c r="K20">
        <f>chloroform!E25</f>
        <v>44</v>
      </c>
      <c r="L20">
        <f>Table3[[#This Row],[weight]]*(0.9155*Table2[[#This Row],[J1,2]]-A$9)^2</f>
        <v>1.1223124339064111E-3</v>
      </c>
      <c r="M20">
        <f>Table3[[#This Row],[weight]]*(0.9155*Table2[[#This Row],[J2,3]]-B$9)^2</f>
        <v>3.4990268541902638E-5</v>
      </c>
      <c r="N20">
        <f>Table3[[#This Row],[weight]]*(0.9155*Table2[[#This Row],[J34]]-C$9)^2</f>
        <v>5.9496429624703905E-3</v>
      </c>
      <c r="O20">
        <f>Table3[[#This Row],[weight]]*(0.9155*Table2[[#This Row],[J45]]-D$9)^2</f>
        <v>3.8863015992927602E-2</v>
      </c>
      <c r="P20">
        <f>Table3[[#This Row],[weight]]*(0.9155*Table2[[#This Row],[J56]]-E$9)^2</f>
        <v>9.5505381207078403E-3</v>
      </c>
      <c r="Q20">
        <f>Table3[[#This Row],[weight]]*(0.9155*Table2[[#This Row],[J67]]-F$9)^2</f>
        <v>6.4220362668788764E-2</v>
      </c>
      <c r="R20">
        <f>Table3[[#This Row],[weight]]*(0.9155*Table2[[#This Row],[J67'']]-G$9)^2</f>
        <v>0.10260066196412131</v>
      </c>
      <c r="S20">
        <f>chloroform!J25</f>
        <v>5.680698566240476E-2</v>
      </c>
      <c r="T20" t="str">
        <f>chloroform!F25</f>
        <v>4H6</v>
      </c>
    </row>
    <row r="21" spans="7:20" x14ac:dyDescent="0.25">
      <c r="G21" t="s">
        <v>39</v>
      </c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7:20" x14ac:dyDescent="0.25">
      <c r="G22" t="s">
        <v>40</v>
      </c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7:20" x14ac:dyDescent="0.25">
      <c r="G23" t="s">
        <v>41</v>
      </c>
      <c r="K23">
        <f>chloroform!E28</f>
        <v>52</v>
      </c>
      <c r="L23">
        <f>Table3[[#This Row],[weight]]*(0.9155*Table2[[#This Row],[J1,2]]-A$9)^2</f>
        <v>5.8717256039260239E-4</v>
      </c>
      <c r="M23">
        <f>Table3[[#This Row],[weight]]*(0.9155*Table2[[#This Row],[J2,3]]-B$9)^2</f>
        <v>2.3547437823718164E-6</v>
      </c>
      <c r="N23">
        <f>Table3[[#This Row],[weight]]*(0.9155*Table2[[#This Row],[J34]]-C$9)^2</f>
        <v>2.1246121841213702E-3</v>
      </c>
      <c r="O23">
        <f>Table3[[#This Row],[weight]]*(0.9155*Table2[[#This Row],[J45]]-D$9)^2</f>
        <v>2.5122003949840646E-3</v>
      </c>
      <c r="P23">
        <f>Table3[[#This Row],[weight]]*(0.9155*Table2[[#This Row],[J56]]-E$9)^2</f>
        <v>2.0928823401283208E-3</v>
      </c>
      <c r="Q23">
        <f>Table3[[#This Row],[weight]]*(0.9155*Table2[[#This Row],[J67]]-F$9)^2</f>
        <v>2.0256645127259602E-2</v>
      </c>
      <c r="R23">
        <f>Table3[[#This Row],[weight]]*(0.9155*Table2[[#This Row],[J67'']]-G$9)^2</f>
        <v>0.8437950766840735</v>
      </c>
      <c r="S23">
        <f>chloroform!J28</f>
        <v>7.5279816935719612E-2</v>
      </c>
      <c r="T23" t="str">
        <f>chloroform!F28</f>
        <v>4H6</v>
      </c>
    </row>
    <row r="24" spans="7:20" x14ac:dyDescent="0.25">
      <c r="G24" t="s">
        <v>43</v>
      </c>
      <c r="K24">
        <f>chloroform!E29</f>
        <v>54</v>
      </c>
      <c r="L24">
        <f>Table3[[#This Row],[weight]]*(0.9155*Table2[[#This Row],[J1,2]]-A$9)^2</f>
        <v>1.0892472037942566E-3</v>
      </c>
      <c r="M24">
        <f>Table3[[#This Row],[weight]]*(0.9155*Table2[[#This Row],[J2,3]]-B$9)^2</f>
        <v>2.7998907805635142E-6</v>
      </c>
      <c r="N24">
        <f>Table3[[#This Row],[weight]]*(0.9155*Table2[[#This Row],[J34]]-C$9)^2</f>
        <v>6.3817439117994186E-3</v>
      </c>
      <c r="O24">
        <f>Table3[[#This Row],[weight]]*(0.9155*Table2[[#This Row],[J45]]-D$9)^2</f>
        <v>2.1495040173681562E-2</v>
      </c>
      <c r="P24">
        <f>Table3[[#This Row],[weight]]*(0.9155*Table2[[#This Row],[J56]]-E$9)^2</f>
        <v>7.78335909006989E-3</v>
      </c>
      <c r="Q24">
        <f>Table3[[#This Row],[weight]]*(0.9155*Table2[[#This Row],[J67]]-F$9)^2</f>
        <v>6.7141686407475323E-2</v>
      </c>
      <c r="R24">
        <f>Table3[[#This Row],[weight]]*(0.9155*Table2[[#This Row],[J67'']]-G$9)^2</f>
        <v>3.986498901505847</v>
      </c>
      <c r="S24">
        <f>chloroform!J29</f>
        <v>0.13964945849061713</v>
      </c>
      <c r="T24" t="str">
        <f>chloroform!F29</f>
        <v>4H6</v>
      </c>
    </row>
    <row r="25" spans="7:20" x14ac:dyDescent="0.25">
      <c r="K25">
        <f>chloroform!E30</f>
        <v>55</v>
      </c>
      <c r="L25">
        <f>Table3[[#This Row],[weight]]*(0.9155*Table2[[#This Row],[J1,2]]-A$9)^2</f>
        <v>6.7243557731295121E-6</v>
      </c>
      <c r="M25">
        <f>Table3[[#This Row],[weight]]*(0.9155*Table2[[#This Row],[J2,3]]-B$9)^2</f>
        <v>1.2648161652392071E-3</v>
      </c>
      <c r="N25">
        <f>Table3[[#This Row],[weight]]*(0.9155*Table2[[#This Row],[J34]]-C$9)^2</f>
        <v>4.2596980778635934E-4</v>
      </c>
      <c r="O25">
        <f>Table3[[#This Row],[weight]]*(0.9155*Table2[[#This Row],[J45]]-D$9)^2</f>
        <v>1.2921200694061994E-2</v>
      </c>
      <c r="P25">
        <f>Table3[[#This Row],[weight]]*(0.9155*Table2[[#This Row],[J56]]-E$9)^2</f>
        <v>9.9445834058018281E-2</v>
      </c>
      <c r="Q25">
        <f>Table3[[#This Row],[weight]]*(0.9155*Table2[[#This Row],[J67]]-F$9)^2</f>
        <v>0.11456121907187927</v>
      </c>
      <c r="R25">
        <f>Table3[[#This Row],[weight]]*(0.9155*Table2[[#This Row],[J67'']]-G$9)^2</f>
        <v>6.9349842827993969E-4</v>
      </c>
      <c r="S25">
        <f>chloroform!J30</f>
        <v>1.2704121053403966E-3</v>
      </c>
      <c r="T25" t="str">
        <f>chloroform!F30</f>
        <v>12C5</v>
      </c>
    </row>
    <row r="26" spans="7:20" x14ac:dyDescent="0.25">
      <c r="K26">
        <f>chloroform!E31</f>
        <v>57</v>
      </c>
      <c r="L26">
        <f>Table3[[#This Row],[weight]]*(0.9155*Table2[[#This Row],[J1,2]]-A$9)^2</f>
        <v>4.3522801158727478E-6</v>
      </c>
      <c r="M26">
        <f>Table3[[#This Row],[weight]]*(0.9155*Table2[[#This Row],[J2,3]]-B$9)^2</f>
        <v>4.7849013166175724E-7</v>
      </c>
      <c r="N26">
        <f>Table3[[#This Row],[weight]]*(0.9155*Table2[[#This Row],[J34]]-C$9)^2</f>
        <v>1.6098762486126158E-4</v>
      </c>
      <c r="O26">
        <f>Table3[[#This Row],[weight]]*(0.9155*Table2[[#This Row],[J45]]-D$9)^2</f>
        <v>1.8563029787920126E-4</v>
      </c>
      <c r="P26">
        <f>Table3[[#This Row],[weight]]*(0.9155*Table2[[#This Row],[J56]]-E$9)^2</f>
        <v>7.6248626298185764E-6</v>
      </c>
      <c r="Q26">
        <f>Table3[[#This Row],[weight]]*(0.9155*Table2[[#This Row],[J67]]-F$9)^2</f>
        <v>1.0511759078527756E-2</v>
      </c>
      <c r="R26">
        <f>Table3[[#This Row],[weight]]*(0.9155*Table2[[#This Row],[J67'']]-G$9)^2</f>
        <v>1.6078809651404867E-3</v>
      </c>
      <c r="S26">
        <f>chloroform!J31</f>
        <v>1.965733902491591E-4</v>
      </c>
      <c r="T26" t="str">
        <f>chloroform!F31</f>
        <v>4H6</v>
      </c>
    </row>
    <row r="27" spans="7:20" x14ac:dyDescent="0.25">
      <c r="K27">
        <f>chloroform!E32</f>
        <v>58</v>
      </c>
      <c r="L27">
        <f>Table3[[#This Row],[weight]]*(0.9155*Table2[[#This Row],[J1,2]]-A$9)^2</f>
        <v>5.624964706329869E-7</v>
      </c>
      <c r="M27">
        <f>Table3[[#This Row],[weight]]*(0.9155*Table2[[#This Row],[J2,3]]-B$9)^2</f>
        <v>1.6852462811682833E-9</v>
      </c>
      <c r="N27">
        <f>Table3[[#This Row],[weight]]*(0.9155*Table2[[#This Row],[J34]]-C$9)^2</f>
        <v>5.4420281900228865E-4</v>
      </c>
      <c r="O27">
        <f>Table3[[#This Row],[weight]]*(0.9155*Table2[[#This Row],[J45]]-D$9)^2</f>
        <v>5.0669658671769781E-4</v>
      </c>
      <c r="P27">
        <f>Table3[[#This Row],[weight]]*(0.9155*Table2[[#This Row],[J56]]-E$9)^2</f>
        <v>1.0517152425010284E-4</v>
      </c>
      <c r="Q27">
        <f>Table3[[#This Row],[weight]]*(0.9155*Table2[[#This Row],[J67]]-F$9)^2</f>
        <v>2.037762771938081E-4</v>
      </c>
      <c r="R27">
        <f>Table3[[#This Row],[weight]]*(0.9155*Table2[[#This Row],[J67'']]-G$9)^2</f>
        <v>1.393648129319809E-2</v>
      </c>
      <c r="S27">
        <f>chloroform!J32</f>
        <v>4.5203274200977513E-4</v>
      </c>
      <c r="T27" t="str">
        <f>chloroform!F32</f>
        <v>4H6</v>
      </c>
    </row>
    <row r="28" spans="7:20" x14ac:dyDescent="0.25">
      <c r="K28">
        <f>chloroform!E33</f>
        <v>60</v>
      </c>
      <c r="L28">
        <f>Table3[[#This Row],[weight]]*(0.9155*Table2[[#This Row],[J1,2]]-A$9)^2</f>
        <v>1.3933537151820923E-3</v>
      </c>
      <c r="M28">
        <f>Table3[[#This Row],[weight]]*(0.9155*Table2[[#This Row],[J2,3]]-B$9)^2</f>
        <v>1.0448510634178433E-2</v>
      </c>
      <c r="N28">
        <f>Table3[[#This Row],[weight]]*(0.9155*Table2[[#This Row],[J34]]-C$9)^2</f>
        <v>4.3490754088680172E-7</v>
      </c>
      <c r="O28">
        <f>Table3[[#This Row],[weight]]*(0.9155*Table2[[#This Row],[J45]]-D$9)^2</f>
        <v>4.9900317424332735E-2</v>
      </c>
      <c r="P28">
        <f>Table3[[#This Row],[weight]]*(0.9155*Table2[[#This Row],[J56]]-E$9)^2</f>
        <v>0.38107495308000799</v>
      </c>
      <c r="Q28">
        <f>Table3[[#This Row],[weight]]*(0.9155*Table2[[#This Row],[J67]]-F$9)^2</f>
        <v>1.3004544413723574E-4</v>
      </c>
      <c r="R28">
        <f>Table3[[#This Row],[weight]]*(0.9155*Table2[[#This Row],[J67'']]-G$9)^2</f>
        <v>0.19391692752237549</v>
      </c>
      <c r="S28">
        <f>chloroform!J33</f>
        <v>4.7042140876161192E-3</v>
      </c>
      <c r="T28" t="str">
        <f>chloroform!F33</f>
        <v>12C5</v>
      </c>
    </row>
    <row r="29" spans="7:20" x14ac:dyDescent="0.25">
      <c r="K29">
        <f>chloroform!E34</f>
        <v>65</v>
      </c>
      <c r="L29">
        <f>Table3[[#This Row],[weight]]*(0.9155*Table2[[#This Row],[J1,2]]-A$9)^2</f>
        <v>2.5150545750242951E-4</v>
      </c>
      <c r="M29">
        <f>Table3[[#This Row],[weight]]*(0.9155*Table2[[#This Row],[J2,3]]-B$9)^2</f>
        <v>4.8197981751356418E-5</v>
      </c>
      <c r="N29">
        <f>Table3[[#This Row],[weight]]*(0.9155*Table2[[#This Row],[J34]]-C$9)^2</f>
        <v>6.2910877145518898E-4</v>
      </c>
      <c r="O29">
        <f>Table3[[#This Row],[weight]]*(0.9155*Table2[[#This Row],[J45]]-D$9)^2</f>
        <v>8.169791264686881E-3</v>
      </c>
      <c r="P29">
        <f>Table3[[#This Row],[weight]]*(0.9155*Table2[[#This Row],[J56]]-E$9)^2</f>
        <v>1.2815142882548406E-2</v>
      </c>
      <c r="Q29">
        <f>Table3[[#This Row],[weight]]*(0.9155*Table2[[#This Row],[J67]]-F$9)^2</f>
        <v>0.39813142442729682</v>
      </c>
      <c r="R29">
        <f>Table3[[#This Row],[weight]]*(0.9155*Table2[[#This Row],[J67'']]-G$9)^2</f>
        <v>1.0064478414461399E-3</v>
      </c>
      <c r="S29">
        <f>chloroform!J34</f>
        <v>5.6494711639667322E-3</v>
      </c>
      <c r="T29" t="str">
        <f>chloroform!F34</f>
        <v>4H6</v>
      </c>
    </row>
    <row r="30" spans="7:20" x14ac:dyDescent="0.25">
      <c r="K30">
        <f>chloroform!E35</f>
        <v>69</v>
      </c>
      <c r="L30">
        <f>Table3[[#This Row],[weight]]*(0.9155*Table2[[#This Row],[J1,2]]-A$9)^2</f>
        <v>1.434427926733886E-5</v>
      </c>
      <c r="M30">
        <f>Table3[[#This Row],[weight]]*(0.9155*Table2[[#This Row],[J2,3]]-B$9)^2</f>
        <v>7.5085424791815035E-3</v>
      </c>
      <c r="N30">
        <f>Table3[[#This Row],[weight]]*(0.9155*Table2[[#This Row],[J34]]-C$9)^2</f>
        <v>2.2205164475526782E-6</v>
      </c>
      <c r="O30">
        <f>Table3[[#This Row],[weight]]*(0.9155*Table2[[#This Row],[J45]]-D$9)^2</f>
        <v>1.6067387850971122E-2</v>
      </c>
      <c r="P30">
        <f>Table3[[#This Row],[weight]]*(0.9155*Table2[[#This Row],[J56]]-E$9)^2</f>
        <v>1.8380489093519799E-2</v>
      </c>
      <c r="Q30">
        <f>Table3[[#This Row],[weight]]*(0.9155*Table2[[#This Row],[J67]]-F$9)^2</f>
        <v>7.3763311161605723E-4</v>
      </c>
      <c r="R30">
        <f>Table3[[#This Row],[weight]]*(0.9155*Table2[[#This Row],[J67'']]-G$9)^2</f>
        <v>1.1351751109114848E-2</v>
      </c>
      <c r="S30">
        <f>chloroform!J35</f>
        <v>2.0566738505696278E-4</v>
      </c>
      <c r="T30" t="str">
        <f>chloroform!F35</f>
        <v>6H4</v>
      </c>
    </row>
    <row r="31" spans="7:20" x14ac:dyDescent="0.25">
      <c r="K31">
        <f>chloroform!E36</f>
        <v>70</v>
      </c>
      <c r="L31">
        <f>Table3[[#This Row],[weight]]*(0.9155*Table2[[#This Row],[J1,2]]-A$9)^2</f>
        <v>1.1776436030866196E-3</v>
      </c>
      <c r="M31">
        <f>Table3[[#This Row],[weight]]*(0.9155*Table2[[#This Row],[J2,3]]-B$9)^2</f>
        <v>8.7080207971366013E-5</v>
      </c>
      <c r="N31">
        <f>Table3[[#This Row],[weight]]*(0.9155*Table2[[#This Row],[J34]]-C$9)^2</f>
        <v>5.6257752681775786E-3</v>
      </c>
      <c r="O31">
        <f>Table3[[#This Row],[weight]]*(0.9155*Table2[[#This Row],[J45]]-D$9)^2</f>
        <v>3.952784115515378E-2</v>
      </c>
      <c r="P31">
        <f>Table3[[#This Row],[weight]]*(0.9155*Table2[[#This Row],[J56]]-E$9)^2</f>
        <v>9.2320786257610501E-3</v>
      </c>
      <c r="Q31">
        <f>Table3[[#This Row],[weight]]*(0.9155*Table2[[#This Row],[J67]]-F$9)^2</f>
        <v>6.1044795813382291E-2</v>
      </c>
      <c r="R31">
        <f>Table3[[#This Row],[weight]]*(0.9155*Table2[[#This Row],[J67'']]-G$9)^2</f>
        <v>0.1069772729395774</v>
      </c>
      <c r="S31">
        <f>chloroform!J36</f>
        <v>5.5906938041397652E-2</v>
      </c>
      <c r="T31" t="str">
        <f>chloroform!F36</f>
        <v>4H6</v>
      </c>
    </row>
    <row r="32" spans="7:20" x14ac:dyDescent="0.25">
      <c r="K32">
        <f>chloroform!E37</f>
        <v>86</v>
      </c>
      <c r="L32">
        <f>Table3[[#This Row],[weight]]*(0.9155*Table2[[#This Row],[J1,2]]-A$9)^2</f>
        <v>1.842465182962337E-5</v>
      </c>
      <c r="M32">
        <f>Table3[[#This Row],[weight]]*(0.9155*Table2[[#This Row],[J2,3]]-B$9)^2</f>
        <v>5.2842441525036048E-3</v>
      </c>
      <c r="N32">
        <f>Table3[[#This Row],[weight]]*(0.9155*Table2[[#This Row],[J34]]-C$9)^2</f>
        <v>2.5118473145426364E-4</v>
      </c>
      <c r="O32">
        <f>Table3[[#This Row],[weight]]*(0.9155*Table2[[#This Row],[J45]]-D$9)^2</f>
        <v>4.5109326024857288E-2</v>
      </c>
      <c r="P32">
        <f>Table3[[#This Row],[weight]]*(0.9155*Table2[[#This Row],[J56]]-E$9)^2</f>
        <v>2.0671821887600574E-3</v>
      </c>
      <c r="Q32">
        <f>Table3[[#This Row],[weight]]*(0.9155*Table2[[#This Row],[J67]]-F$9)^2</f>
        <v>3.2692502906077925E-5</v>
      </c>
      <c r="R32">
        <f>Table3[[#This Row],[weight]]*(0.9155*Table2[[#This Row],[J67'']]-G$9)^2</f>
        <v>4.5707379341998018E-3</v>
      </c>
      <c r="S32">
        <f>chloroform!J37</f>
        <v>6.3222537538593754E-4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1.6267880788196711E-4</v>
      </c>
      <c r="M35">
        <f>Table3[[#This Row],[weight]]*(0.9155*Table2[[#This Row],[J2,3]]-B$9)^2</f>
        <v>8.7588446980031254</v>
      </c>
      <c r="N35">
        <f>Table3[[#This Row],[weight]]*(0.9155*Table2[[#This Row],[J34]]-C$9)^2</f>
        <v>0.1965211503635074</v>
      </c>
      <c r="O35">
        <f>Table3[[#This Row],[weight]]*(0.9155*Table2[[#This Row],[J45]]-D$9)^2</f>
        <v>15.00712950657312</v>
      </c>
      <c r="P35">
        <f>Table3[[#This Row],[weight]]*(0.9155*Table2[[#This Row],[J56]]-E$9)^2</f>
        <v>0.23427138692355215</v>
      </c>
      <c r="Q35">
        <f>Table3[[#This Row],[weight]]*(0.9155*Table2[[#This Row],[J67]]-F$9)^2</f>
        <v>4.1949755565163373E-2</v>
      </c>
      <c r="R35">
        <f>Table3[[#This Row],[weight]]*(0.9155*Table2[[#This Row],[J67'']]-G$9)^2</f>
        <v>1.0608698965786139</v>
      </c>
      <c r="S35">
        <f>chloroform!J40</f>
        <v>0.18411597419052278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2.5175037396210745E-7</v>
      </c>
      <c r="M36">
        <f>Table3[[#This Row],[weight]]*(0.9155*Table2[[#This Row],[J2,3]]-B$9)^2</f>
        <v>9.5567678321091998E-4</v>
      </c>
      <c r="N36">
        <f>Table3[[#This Row],[weight]]*(0.9155*Table2[[#This Row],[J34]]-C$9)^2</f>
        <v>4.8246633617352985E-4</v>
      </c>
      <c r="O36">
        <f>Table3[[#This Row],[weight]]*(0.9155*Table2[[#This Row],[J45]]-D$9)^2</f>
        <v>1.0288482498502201E-2</v>
      </c>
      <c r="P36">
        <f>Table3[[#This Row],[weight]]*(0.9155*Table2[[#This Row],[J56]]-E$9)^2</f>
        <v>6.5163968959896387E-2</v>
      </c>
      <c r="Q36">
        <f>Table3[[#This Row],[weight]]*(0.9155*Table2[[#This Row],[J67]]-F$9)^2</f>
        <v>7.8907498990286387E-2</v>
      </c>
      <c r="R36">
        <f>Table3[[#This Row],[weight]]*(0.9155*Table2[[#This Row],[J67'']]-G$9)^2</f>
        <v>1.842650092144914E-3</v>
      </c>
      <c r="S36">
        <f>chloroform!J41</f>
        <v>8.8062915025634259E-4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2.0397010700494267E-5</v>
      </c>
      <c r="M37">
        <f>Table3[[#This Row],[weight]]*(0.9155*Table2[[#This Row],[J2,3]]-B$9)^2</f>
        <v>8.618180285821021E-3</v>
      </c>
      <c r="N37">
        <f>Table3[[#This Row],[weight]]*(0.9155*Table2[[#This Row],[J34]]-C$9)^2</f>
        <v>3.2589564878609758E-6</v>
      </c>
      <c r="O37">
        <f>Table3[[#This Row],[weight]]*(0.9155*Table2[[#This Row],[J45]]-D$9)^2</f>
        <v>1.831350473058482E-2</v>
      </c>
      <c r="P37">
        <f>Table3[[#This Row],[weight]]*(0.9155*Table2[[#This Row],[J56]]-E$9)^2</f>
        <v>2.1245976670988098E-2</v>
      </c>
      <c r="Q37">
        <f>Table3[[#This Row],[weight]]*(0.9155*Table2[[#This Row],[J67]]-F$9)^2</f>
        <v>4.3444099128471731E-4</v>
      </c>
      <c r="R37">
        <f>Table3[[#This Row],[weight]]*(0.9155*Table2[[#This Row],[J67'']]-G$9)^2</f>
        <v>1.5458941907606282E-2</v>
      </c>
      <c r="S37">
        <f>chloroform!J42</f>
        <v>2.3549036575819417E-4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9.5264654464322814E-3</v>
      </c>
      <c r="M38">
        <f>Table3[[#This Row],[weight]]*(0.9155*Table2[[#This Row],[J2,3]]-B$9)^2</f>
        <v>2.1001489967117841</v>
      </c>
      <c r="N38">
        <f>Table3[[#This Row],[weight]]*(0.9155*Table2[[#This Row],[J34]]-C$9)^2</f>
        <v>4.0439871801802911E-2</v>
      </c>
      <c r="O38">
        <f>Table3[[#This Row],[weight]]*(0.9155*Table2[[#This Row],[J45]]-D$9)^2</f>
        <v>3.4760631127425095</v>
      </c>
      <c r="P38">
        <f>Table3[[#This Row],[weight]]*(0.9155*Table2[[#This Row],[J56]]-E$9)^2</f>
        <v>3.8120181731620871E-2</v>
      </c>
      <c r="Q38">
        <f>Table3[[#This Row],[weight]]*(0.9155*Table2[[#This Row],[J67]]-F$9)^2</f>
        <v>3.5831485904284665E-3</v>
      </c>
      <c r="R38">
        <f>Table3[[#This Row],[weight]]*(0.9155*Table2[[#This Row],[J67'']]-G$9)^2</f>
        <v>1.4885943891299527</v>
      </c>
      <c r="S38">
        <f>chloroform!J43</f>
        <v>4.4310874929088404E-2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2.1698680673726186E-5</v>
      </c>
      <c r="M42">
        <f>Table3[[#This Row],[weight]]*(0.9155*Table2[[#This Row],[J2,3]]-B$9)^2</f>
        <v>0.10691410379341167</v>
      </c>
      <c r="N42">
        <f>Table3[[#This Row],[weight]]*(0.9155*Table2[[#This Row],[J34]]-C$9)^2</f>
        <v>2.9993725718826182E-3</v>
      </c>
      <c r="O42">
        <f>Table3[[#This Row],[weight]]*(0.9155*Table2[[#This Row],[J45]]-D$9)^2</f>
        <v>0.19730555730868443</v>
      </c>
      <c r="P42">
        <f>Table3[[#This Row],[weight]]*(0.9155*Table2[[#This Row],[J56]]-E$9)^2</f>
        <v>1.187454975999442E-2</v>
      </c>
      <c r="Q42">
        <f>Table3[[#This Row],[weight]]*(0.9155*Table2[[#This Row],[J67]]-F$9)^2</f>
        <v>1.2649453337952976E-3</v>
      </c>
      <c r="R42">
        <f>Table3[[#This Row],[weight]]*(0.9155*Table2[[#This Row],[J67'']]-G$9)^2</f>
        <v>8.6496324304890272E-3</v>
      </c>
      <c r="S42">
        <f>chloroform!J47</f>
        <v>2.2811825895973138E-3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3.3200963649468088E-4</v>
      </c>
      <c r="M43">
        <f>Table3[[#This Row],[weight]]*(0.9155*Table2[[#This Row],[J2,3]]-B$9)^2</f>
        <v>5.3449185815773741E-5</v>
      </c>
      <c r="N43">
        <f>Table3[[#This Row],[weight]]*(0.9155*Table2[[#This Row],[J34]]-C$9)^2</f>
        <v>6.374058936808425E-4</v>
      </c>
      <c r="O43">
        <f>Table3[[#This Row],[weight]]*(0.9155*Table2[[#This Row],[J45]]-D$9)^2</f>
        <v>8.9481994004243382E-3</v>
      </c>
      <c r="P43">
        <f>Table3[[#This Row],[weight]]*(0.9155*Table2[[#This Row],[J56]]-E$9)^2</f>
        <v>1.3014620434634904E-2</v>
      </c>
      <c r="Q43">
        <f>Table3[[#This Row],[weight]]*(0.9155*Table2[[#This Row],[J67]]-F$9)^2</f>
        <v>0.47124762110719703</v>
      </c>
      <c r="R43">
        <f>Table3[[#This Row],[weight]]*(0.9155*Table2[[#This Row],[J67'']]-G$9)^2</f>
        <v>1.6057645257183948E-3</v>
      </c>
      <c r="S43">
        <f>chloroform!J48</f>
        <v>6.5209574072440518E-3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5.2557688024269518E-4</v>
      </c>
      <c r="M44">
        <f>Table3[[#This Row],[weight]]*(0.9155*Table2[[#This Row],[J2,3]]-B$9)^2</f>
        <v>1.7680694967444632</v>
      </c>
      <c r="N44">
        <f>Table3[[#This Row],[weight]]*(0.9155*Table2[[#This Row],[J34]]-C$9)^2</f>
        <v>4.3670170267732858E-2</v>
      </c>
      <c r="O44">
        <f>Table3[[#This Row],[weight]]*(0.9155*Table2[[#This Row],[J45]]-D$9)^2</f>
        <v>3.2053794073178472</v>
      </c>
      <c r="P44">
        <f>Table3[[#This Row],[weight]]*(0.9155*Table2[[#This Row],[J56]]-E$9)^2</f>
        <v>7.3888618081986504E-2</v>
      </c>
      <c r="Q44">
        <f>Table3[[#This Row],[weight]]*(0.9155*Table2[[#This Row],[J67]]-F$9)^2</f>
        <v>1.5271093131140315E-3</v>
      </c>
      <c r="R44">
        <f>Table3[[#This Row],[weight]]*(0.9155*Table2[[#This Row],[J67'']]-G$9)^2</f>
        <v>0.29413154157953786</v>
      </c>
      <c r="S44">
        <f>chloroform!J49</f>
        <v>3.8555310327115337E-2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L47">
        <f>Table3[[#This Row],[weight]]*(0.9155*Table2[[#This Row],[J1,2]]-A$9)^2</f>
        <v>0</v>
      </c>
      <c r="M47">
        <f>Table3[[#This Row],[weight]]*(0.9155*Table2[[#This Row],[J2,3]]-B$9)^2</f>
        <v>0</v>
      </c>
      <c r="N47">
        <f>Table3[[#This Row],[weight]]*(0.9155*Table2[[#This Row],[J34]]-C$9)^2</f>
        <v>0</v>
      </c>
      <c r="O47">
        <f>Table3[[#This Row],[weight]]*(0.9155*Table2[[#This Row],[J45]]-D$9)^2</f>
        <v>0</v>
      </c>
      <c r="P47">
        <f>Table3[[#This Row],[weight]]*(0.9155*Table2[[#This Row],[J56]]-E$9)^2</f>
        <v>0</v>
      </c>
      <c r="Q47">
        <f>Table3[[#This Row],[weight]]*(0.9155*Table2[[#This Row],[J67]]-F$9)^2</f>
        <v>0</v>
      </c>
      <c r="R47">
        <f>Table3[[#This Row],[weight]]*(0.9155*Table2[[#This Row],[J67'']]-G$9)^2</f>
        <v>0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L48">
        <f>Table3[[#This Row],[weight]]*(0.9155*Table2[[#This Row],[J1,2]]-A$9)^2</f>
        <v>1.4412789380840651E-3</v>
      </c>
      <c r="M48">
        <f>Table3[[#This Row],[weight]]*(0.9155*Table2[[#This Row],[J2,3]]-B$9)^2</f>
        <v>0.35339784884491776</v>
      </c>
      <c r="N48">
        <f>Table3[[#This Row],[weight]]*(0.9155*Table2[[#This Row],[J34]]-C$9)^2</f>
        <v>9.293174232362568E-3</v>
      </c>
      <c r="O48">
        <f>Table3[[#This Row],[weight]]*(0.9155*Table2[[#This Row],[J45]]-D$9)^2</f>
        <v>0.62538150843195139</v>
      </c>
      <c r="P48">
        <f>Table3[[#This Row],[weight]]*(0.9155*Table2[[#This Row],[J56]]-E$9)^2</f>
        <v>6.1462463303797827E-3</v>
      </c>
      <c r="Q48">
        <f>Table3[[#This Row],[weight]]*(0.9155*Table2[[#This Row],[J67]]-F$9)^2</f>
        <v>0.42347228937778369</v>
      </c>
      <c r="R48">
        <f>Table3[[#This Row],[weight]]*(0.9155*Table2[[#This Row],[J67'']]-G$9)^2</f>
        <v>5.1316052827449152E-2</v>
      </c>
      <c r="S48">
        <f>chloroform!J53</f>
        <v>7.4801669878503804E-3</v>
      </c>
      <c r="T48" t="str">
        <f>chloroform!F53</f>
        <v>5C12</v>
      </c>
    </row>
    <row r="49" spans="11:20" x14ac:dyDescent="0.25">
      <c r="K49">
        <f>chloroform!E54</f>
        <v>144</v>
      </c>
      <c r="L49">
        <f>Table3[[#This Row],[weight]]*(0.9155*Table2[[#This Row],[J1,2]]-A$9)^2</f>
        <v>1.1804276565695523E-4</v>
      </c>
      <c r="M49">
        <f>Table3[[#This Row],[weight]]*(0.9155*Table2[[#This Row],[J2,3]]-B$9)^2</f>
        <v>9.6838304454449648E-3</v>
      </c>
      <c r="N49">
        <f>Table3[[#This Row],[weight]]*(0.9155*Table2[[#This Row],[J34]]-C$9)^2</f>
        <v>1.2235385882867651E-4</v>
      </c>
      <c r="O49">
        <f>Table3[[#This Row],[weight]]*(0.9155*Table2[[#This Row],[J45]]-D$9)^2</f>
        <v>1.6375989976901192E-2</v>
      </c>
      <c r="P49">
        <f>Table3[[#This Row],[weight]]*(0.9155*Table2[[#This Row],[J56]]-E$9)^2</f>
        <v>3.7554558907946505E-6</v>
      </c>
      <c r="Q49">
        <f>Table3[[#This Row],[weight]]*(0.9155*Table2[[#This Row],[J67]]-F$9)^2</f>
        <v>5.936537540042401E-4</v>
      </c>
      <c r="R49">
        <f>Table3[[#This Row],[weight]]*(0.9155*Table2[[#This Row],[J67'']]-G$9)^2</f>
        <v>9.924725588186579E-4</v>
      </c>
      <c r="S49">
        <f>chloroform!J54</f>
        <v>2.0420972223418954E-4</v>
      </c>
      <c r="T49" t="str">
        <f>chloroform!F54</f>
        <v>5C12</v>
      </c>
    </row>
    <row r="50" spans="11:20" x14ac:dyDescent="0.25">
      <c r="K50">
        <f>chloroform!E55</f>
        <v>155</v>
      </c>
      <c r="L50">
        <f>Table3[[#This Row],[weight]]*(0.9155*Table2[[#This Row],[J1,2]]-A$9)^2</f>
        <v>8.2841521089756075E-3</v>
      </c>
      <c r="M50">
        <f>Table3[[#This Row],[weight]]*(0.9155*Table2[[#This Row],[J2,3]]-B$9)^2</f>
        <v>2.8297540616943522</v>
      </c>
      <c r="N50">
        <f>Table3[[#This Row],[weight]]*(0.9155*Table2[[#This Row],[J34]]-C$9)^2</f>
        <v>5.6991071800019645E-2</v>
      </c>
      <c r="O50">
        <f>Table3[[#This Row],[weight]]*(0.9155*Table2[[#This Row],[J45]]-D$9)^2</f>
        <v>4.664693524254254</v>
      </c>
      <c r="P50">
        <f>Table3[[#This Row],[weight]]*(0.9155*Table2[[#This Row],[J56]]-E$9)^2</f>
        <v>4.4725275872582522E-2</v>
      </c>
      <c r="Q50">
        <f>Table3[[#This Row],[weight]]*(0.9155*Table2[[#This Row],[J67]]-F$9)^2</f>
        <v>2.8875996090296677E-3</v>
      </c>
      <c r="R50">
        <f>Table3[[#This Row],[weight]]*(0.9155*Table2[[#This Row],[J67'']]-G$9)^2</f>
        <v>2.2323643506129183</v>
      </c>
      <c r="S50">
        <f>chloroform!J55</f>
        <v>6.0119762672846327E-2</v>
      </c>
      <c r="T50" t="str">
        <f>chloroform!F55</f>
        <v>5C12</v>
      </c>
    </row>
    <row r="51" spans="11:20" x14ac:dyDescent="0.25">
      <c r="K51">
        <f>chloroform!E56</f>
        <v>159</v>
      </c>
      <c r="L51">
        <f>Table3[[#This Row],[weight]]*(0.9155*Table2[[#This Row],[J1,2]]-A$9)^2</f>
        <v>1.9822382409769823E-5</v>
      </c>
      <c r="M51">
        <f>Table3[[#This Row],[weight]]*(0.9155*Table2[[#This Row],[J2,3]]-B$9)^2</f>
        <v>1.7372287897972686E-2</v>
      </c>
      <c r="N51">
        <f>Table3[[#This Row],[weight]]*(0.9155*Table2[[#This Row],[J34]]-C$9)^2</f>
        <v>3.5722214773962243E-4</v>
      </c>
      <c r="O51">
        <f>Table3[[#This Row],[weight]]*(0.9155*Table2[[#This Row],[J45]]-D$9)^2</f>
        <v>2.9970184313406256E-2</v>
      </c>
      <c r="P51">
        <f>Table3[[#This Row],[weight]]*(0.9155*Table2[[#This Row],[J56]]-E$9)^2</f>
        <v>1.0239691316026752E-3</v>
      </c>
      <c r="Q51">
        <f>Table3[[#This Row],[weight]]*(0.9155*Table2[[#This Row],[J67]]-F$9)^2</f>
        <v>2.0311144447490641E-2</v>
      </c>
      <c r="R51">
        <f>Table3[[#This Row],[weight]]*(0.9155*Table2[[#This Row],[J67'']]-G$9)^2</f>
        <v>2.8346142968923697E-3</v>
      </c>
      <c r="S51">
        <f>chloroform!J56</f>
        <v>3.6238035402568207E-4</v>
      </c>
      <c r="T51" t="str">
        <f>chloroform!F56</f>
        <v>5C12</v>
      </c>
    </row>
    <row r="52" spans="11:20" x14ac:dyDescent="0.25">
      <c r="K52">
        <f>chloroform!E57</f>
        <v>164</v>
      </c>
      <c r="L52">
        <f>Table3[[#This Row],[weight]]*(0.9155*Table2[[#This Row],[J1,2]]-A$9)^2</f>
        <v>2.8176309571842644E-4</v>
      </c>
      <c r="M52">
        <f>Table3[[#This Row],[weight]]*(0.9155*Table2[[#This Row],[J2,3]]-B$9)^2</f>
        <v>5.8079486179925817E-2</v>
      </c>
      <c r="N52">
        <f>Table3[[#This Row],[weight]]*(0.9155*Table2[[#This Row],[J34]]-C$9)^2</f>
        <v>1.1694787565979981E-3</v>
      </c>
      <c r="O52">
        <f>Table3[[#This Row],[weight]]*(0.9155*Table2[[#This Row],[J45]]-D$9)^2</f>
        <v>0.10168870396993894</v>
      </c>
      <c r="P52">
        <f>Table3[[#This Row],[weight]]*(0.9155*Table2[[#This Row],[J56]]-E$9)^2</f>
        <v>2.8095241305536403E-3</v>
      </c>
      <c r="Q52">
        <f>Table3[[#This Row],[weight]]*(0.9155*Table2[[#This Row],[J67]]-F$9)^2</f>
        <v>2.218578823148747E-4</v>
      </c>
      <c r="R52">
        <f>Table3[[#This Row],[weight]]*(0.9155*Table2[[#This Row],[J67'']]-G$9)^2</f>
        <v>4.2351811807188944E-2</v>
      </c>
      <c r="S52">
        <f>chloroform!J57</f>
        <v>1.2221617734288117E-3</v>
      </c>
      <c r="T52" t="str">
        <f>chloroform!F57</f>
        <v>5C12</v>
      </c>
    </row>
    <row r="53" spans="11:20" x14ac:dyDescent="0.25">
      <c r="K53">
        <f>chloroform!E58</f>
        <v>170</v>
      </c>
      <c r="L53">
        <f>Table3[[#This Row],[weight]]*(0.9155*Table2[[#This Row],[J1,2]]-A$9)^2</f>
        <v>2.9046214612111381E-9</v>
      </c>
      <c r="M53">
        <f>Table3[[#This Row],[weight]]*(0.9155*Table2[[#This Row],[J2,3]]-B$9)^2</f>
        <v>6.4668096203560608E-4</v>
      </c>
      <c r="N53">
        <f>Table3[[#This Row],[weight]]*(0.9155*Table2[[#This Row],[J34]]-C$9)^2</f>
        <v>7.8900820220621613E-5</v>
      </c>
      <c r="O53">
        <f>Table3[[#This Row],[weight]]*(0.9155*Table2[[#This Row],[J45]]-D$9)^2</f>
        <v>5.7985782343415839E-3</v>
      </c>
      <c r="P53">
        <f>Table3[[#This Row],[weight]]*(0.9155*Table2[[#This Row],[J56]]-E$9)^2</f>
        <v>1.1865528676251244E-4</v>
      </c>
      <c r="Q53">
        <f>Table3[[#This Row],[weight]]*(0.9155*Table2[[#This Row],[J67]]-F$9)^2</f>
        <v>1.0124129683133171E-5</v>
      </c>
      <c r="R53">
        <f>Table3[[#This Row],[weight]]*(0.9155*Table2[[#This Row],[J67'']]-G$9)^2</f>
        <v>8.0193908240671502E-4</v>
      </c>
      <c r="S53">
        <f>chloroform!J58</f>
        <v>8.1234188329494146E-5</v>
      </c>
      <c r="T53" t="str">
        <f>chloroform!F58</f>
        <v>56E</v>
      </c>
    </row>
    <row r="54" spans="11:20" x14ac:dyDescent="0.25">
      <c r="K54">
        <f>chloroform!E59</f>
        <v>184</v>
      </c>
      <c r="L54">
        <f>Table3[[#This Row],[weight]]*(0.9155*Table2[[#This Row],[J1,2]]-A$9)^2</f>
        <v>1.1851849209386391E-4</v>
      </c>
      <c r="M54">
        <f>Table3[[#This Row],[weight]]*(0.9155*Table2[[#This Row],[J2,3]]-B$9)^2</f>
        <v>2.821993520370201E-4</v>
      </c>
      <c r="N54">
        <f>Table3[[#This Row],[weight]]*(0.9155*Table2[[#This Row],[J34]]-C$9)^2</f>
        <v>8.4129718939875305E-5</v>
      </c>
      <c r="O54">
        <f>Table3[[#This Row],[weight]]*(0.9155*Table2[[#This Row],[J45]]-D$9)^2</f>
        <v>1.8683282062123066E-2</v>
      </c>
      <c r="P54">
        <f>Table3[[#This Row],[weight]]*(0.9155*Table2[[#This Row],[J56]]-E$9)^2</f>
        <v>4.918511444596995E-2</v>
      </c>
      <c r="Q54">
        <f>Table3[[#This Row],[weight]]*(0.9155*Table2[[#This Row],[J67]]-F$9)^2</f>
        <v>0.86464451467355941</v>
      </c>
      <c r="R54">
        <f>Table3[[#This Row],[weight]]*(0.9155*Table2[[#This Row],[J67'']]-G$9)^2</f>
        <v>1.7965903360922654E-3</v>
      </c>
      <c r="S54">
        <f>chloroform!J59</f>
        <v>9.7436764796259168E-3</v>
      </c>
      <c r="T54" t="str">
        <f>chloroform!F59</f>
        <v>4H6</v>
      </c>
    </row>
    <row r="55" spans="11:20" x14ac:dyDescent="0.25">
      <c r="K55">
        <f>chloroform!E60</f>
        <v>189</v>
      </c>
      <c r="L55">
        <f>Table3[[#This Row],[weight]]*(0.9155*Table2[[#This Row],[J1,2]]-A$9)^2</f>
        <v>1.6503622046118042E-4</v>
      </c>
      <c r="M55">
        <f>Table3[[#This Row],[weight]]*(0.9155*Table2[[#This Row],[J2,3]]-B$9)^2</f>
        <v>4.9880812107618605E-2</v>
      </c>
      <c r="N55">
        <f>Table3[[#This Row],[weight]]*(0.9155*Table2[[#This Row],[J34]]-C$9)^2</f>
        <v>1.1545439205252637E-3</v>
      </c>
      <c r="O55">
        <f>Table3[[#This Row],[weight]]*(0.9155*Table2[[#This Row],[J45]]-D$9)^2</f>
        <v>8.6967620463588927E-2</v>
      </c>
      <c r="P55">
        <f>Table3[[#This Row],[weight]]*(0.9155*Table2[[#This Row],[J56]]-E$9)^2</f>
        <v>1.2503678253896677E-3</v>
      </c>
      <c r="Q55">
        <f>Table3[[#This Row],[weight]]*(0.9155*Table2[[#This Row],[J67]]-F$9)^2</f>
        <v>5.999420394552353E-2</v>
      </c>
      <c r="R55">
        <f>Table3[[#This Row],[weight]]*(0.9155*Table2[[#This Row],[J67'']]-G$9)^2</f>
        <v>9.0672677581049976E-3</v>
      </c>
      <c r="S55">
        <f>chloroform!J60</f>
        <v>1.0479670036557668E-3</v>
      </c>
      <c r="T55" t="str">
        <f>chloroform!F60</f>
        <v>5C12</v>
      </c>
    </row>
    <row r="56" spans="11:20" x14ac:dyDescent="0.25">
      <c r="K56">
        <f>chloroform!E61</f>
        <v>190</v>
      </c>
      <c r="L56">
        <f>Table3[[#This Row],[weight]]*(0.9155*Table2[[#This Row],[J1,2]]-A$9)^2</f>
        <v>5.6507338595968449E-6</v>
      </c>
      <c r="M56">
        <f>Table3[[#This Row],[weight]]*(0.9155*Table2[[#This Row],[J2,3]]-B$9)^2</f>
        <v>6.5988962773012237E-8</v>
      </c>
      <c r="N56">
        <f>Table3[[#This Row],[weight]]*(0.9155*Table2[[#This Row],[J34]]-C$9)^2</f>
        <v>6.3493524186796356E-5</v>
      </c>
      <c r="O56">
        <f>Table3[[#This Row],[weight]]*(0.9155*Table2[[#This Row],[J45]]-D$9)^2</f>
        <v>1.2849053186408305E-3</v>
      </c>
      <c r="P56">
        <f>Table3[[#This Row],[weight]]*(0.9155*Table2[[#This Row],[J56]]-E$9)^2</f>
        <v>7.1718023839334824E-4</v>
      </c>
      <c r="Q56">
        <f>Table3[[#This Row],[weight]]*(0.9155*Table2[[#This Row],[J67]]-F$9)^2</f>
        <v>5.6256851479523778E-2</v>
      </c>
      <c r="R56">
        <f>Table3[[#This Row],[weight]]*(0.9155*Table2[[#This Row],[J67'']]-G$9)^2</f>
        <v>3.4699529838417426E-2</v>
      </c>
      <c r="S56">
        <f>chloroform!J61</f>
        <v>2.1096295378373285E-3</v>
      </c>
      <c r="T56" t="str">
        <f>chloroform!F61</f>
        <v>4H6</v>
      </c>
    </row>
    <row r="57" spans="11:20" x14ac:dyDescent="0.25">
      <c r="K57">
        <f>chloroform!E62</f>
        <v>199</v>
      </c>
      <c r="L57">
        <f>Table3[[#This Row],[weight]]*(0.9155*Table2[[#This Row],[J1,2]]-A$9)^2</f>
        <v>0</v>
      </c>
      <c r="M57">
        <f>Table3[[#This Row],[weight]]*(0.9155*Table2[[#This Row],[J2,3]]-B$9)^2</f>
        <v>0</v>
      </c>
      <c r="N57">
        <f>Table3[[#This Row],[weight]]*(0.9155*Table2[[#This Row],[J34]]-C$9)^2</f>
        <v>0</v>
      </c>
      <c r="O57">
        <f>Table3[[#This Row],[weight]]*(0.9155*Table2[[#This Row],[J45]]-D$9)^2</f>
        <v>0</v>
      </c>
      <c r="P57">
        <f>Table3[[#This Row],[weight]]*(0.9155*Table2[[#This Row],[J56]]-E$9)^2</f>
        <v>0</v>
      </c>
      <c r="Q57">
        <f>Table3[[#This Row],[weight]]*(0.9155*Table2[[#This Row],[J67]]-F$9)^2</f>
        <v>0</v>
      </c>
      <c r="R57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>
        <f>Table3[[#This Row],[weight]]*(0.9155*Table2[[#This Row],[J1,2]]-A$9)^2</f>
        <v>1.9136390244376957E-7</v>
      </c>
      <c r="M58">
        <f>Table3[[#This Row],[weight]]*(0.9155*Table2[[#This Row],[J2,3]]-B$9)^2</f>
        <v>1.8684641934170928E-6</v>
      </c>
      <c r="N58">
        <f>Table3[[#This Row],[weight]]*(0.9155*Table2[[#This Row],[J34]]-C$9)^2</f>
        <v>9.2972610052813469E-6</v>
      </c>
      <c r="O58">
        <f>Table3[[#This Row],[weight]]*(0.9155*Table2[[#This Row],[J45]]-D$9)^2</f>
        <v>9.9540729489039398E-6</v>
      </c>
      <c r="P58">
        <f>Table3[[#This Row],[weight]]*(0.9155*Table2[[#This Row],[J56]]-E$9)^2</f>
        <v>5.4768812478311325E-8</v>
      </c>
      <c r="Q58">
        <f>Table3[[#This Row],[weight]]*(0.9155*Table2[[#This Row],[J67]]-F$9)^2</f>
        <v>1.9087386047718883E-6</v>
      </c>
      <c r="R58">
        <f>Table3[[#This Row],[weight]]*(0.9155*Table2[[#This Row],[J67'']]-G$9)^2</f>
        <v>1.274316584964912E-3</v>
      </c>
      <c r="S58">
        <f>chloroform!J63</f>
        <v>4.1101993376206019E-5</v>
      </c>
      <c r="T58" t="str">
        <f>chloroform!F63</f>
        <v>4H6</v>
      </c>
    </row>
    <row r="59" spans="11:20" x14ac:dyDescent="0.25">
      <c r="K59">
        <f>chloroform!E64</f>
        <v>205</v>
      </c>
      <c r="L59">
        <f>Table3[[#This Row],[weight]]*(0.9155*Table2[[#This Row],[J1,2]]-A$9)^2</f>
        <v>2.0627568138258997E-5</v>
      </c>
      <c r="M59">
        <f>Table3[[#This Row],[weight]]*(0.9155*Table2[[#This Row],[J2,3]]-B$9)^2</f>
        <v>8.7946012370006838E-3</v>
      </c>
      <c r="N59">
        <f>Table3[[#This Row],[weight]]*(0.9155*Table2[[#This Row],[J34]]-C$9)^2</f>
        <v>1.2335227378004713E-4</v>
      </c>
      <c r="O59">
        <f>Table3[[#This Row],[weight]]*(0.9155*Table2[[#This Row],[J45]]-D$9)^2</f>
        <v>1.483885227137699E-2</v>
      </c>
      <c r="P59">
        <f>Table3[[#This Row],[weight]]*(0.9155*Table2[[#This Row],[J56]]-E$9)^2</f>
        <v>3.8884000353312214E-4</v>
      </c>
      <c r="Q59">
        <f>Table3[[#This Row],[weight]]*(0.9155*Table2[[#This Row],[J67]]-F$9)^2</f>
        <v>1.0311404821285801E-2</v>
      </c>
      <c r="R59">
        <f>Table3[[#This Row],[weight]]*(0.9155*Table2[[#This Row],[J67'']]-G$9)^2</f>
        <v>1.8426092097488733E-3</v>
      </c>
      <c r="S59">
        <f>chloroform!J64</f>
        <v>1.8029207709489026E-4</v>
      </c>
      <c r="T59" t="str">
        <f>chloroform!F64</f>
        <v>5C12</v>
      </c>
    </row>
    <row r="60" spans="11:20" x14ac:dyDescent="0.25">
      <c r="K60">
        <f>chloroform!E65</f>
        <v>217</v>
      </c>
      <c r="L60">
        <f>Table3[[#This Row],[weight]]*(0.9155*Table2[[#This Row],[J1,2]]-A$9)^2</f>
        <v>0</v>
      </c>
      <c r="M60">
        <f>Table3[[#This Row],[weight]]*(0.9155*Table2[[#This Row],[J2,3]]-B$9)^2</f>
        <v>0</v>
      </c>
      <c r="N60">
        <f>Table3[[#This Row],[weight]]*(0.9155*Table2[[#This Row],[J34]]-C$9)^2</f>
        <v>0</v>
      </c>
      <c r="O60">
        <f>Table3[[#This Row],[weight]]*(0.9155*Table2[[#This Row],[J45]]-D$9)^2</f>
        <v>0</v>
      </c>
      <c r="P60">
        <f>Table3[[#This Row],[weight]]*(0.9155*Table2[[#This Row],[J56]]-E$9)^2</f>
        <v>0</v>
      </c>
      <c r="Q60">
        <f>Table3[[#This Row],[weight]]*(0.9155*Table2[[#This Row],[J67]]-F$9)^2</f>
        <v>0</v>
      </c>
      <c r="R60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>
        <f>Table3[[#This Row],[weight]]*(0.9155*Table2[[#This Row],[J1,2]]-A$9)^2</f>
        <v>1.6838140986237699E-5</v>
      </c>
      <c r="M62">
        <f>Table3[[#This Row],[weight]]*(0.9155*Table2[[#This Row],[J2,3]]-B$9)^2</f>
        <v>2.1668482001637609E-3</v>
      </c>
      <c r="N62">
        <f>Table3[[#This Row],[weight]]*(0.9155*Table2[[#This Row],[J34]]-C$9)^2</f>
        <v>1.7509611840903954E-3</v>
      </c>
      <c r="O62">
        <f>Table3[[#This Row],[weight]]*(0.9155*Table2[[#This Row],[J45]]-D$9)^2</f>
        <v>5.6743618124851835E-3</v>
      </c>
      <c r="P62">
        <f>Table3[[#This Row],[weight]]*(0.9155*Table2[[#This Row],[J56]]-E$9)^2</f>
        <v>1.092282805636678E-4</v>
      </c>
      <c r="Q62">
        <f>Table3[[#This Row],[weight]]*(0.9155*Table2[[#This Row],[J67]]-F$9)^2</f>
        <v>1.0179102133152862E-5</v>
      </c>
      <c r="R62">
        <f>Table3[[#This Row],[weight]]*(0.9155*Table2[[#This Row],[J67'']]-G$9)^2</f>
        <v>4.2791464165035551E-4</v>
      </c>
      <c r="S62">
        <f>chloroform!J67</f>
        <v>7.5007340007976264E-5</v>
      </c>
      <c r="T62" t="str">
        <f>chloroform!F67</f>
        <v>5C12</v>
      </c>
    </row>
    <row r="63" spans="11:20" x14ac:dyDescent="0.25">
      <c r="K63">
        <f>chloroform!E68</f>
        <v>376</v>
      </c>
      <c r="L63">
        <f>Table3[[#This Row],[weight]]*(0.9155*Table2[[#This Row],[J1,2]]-A$9)^2</f>
        <v>2.4036675023863467E-8</v>
      </c>
      <c r="M63">
        <f>Table3[[#This Row],[weight]]*(0.9155*Table2[[#This Row],[J2,3]]-B$9)^2</f>
        <v>3.9610122950629185E-6</v>
      </c>
      <c r="N63">
        <f>Table3[[#This Row],[weight]]*(0.9155*Table2[[#This Row],[J34]]-C$9)^2</f>
        <v>1.9255094617859023E-5</v>
      </c>
      <c r="O63">
        <f>Table3[[#This Row],[weight]]*(0.9155*Table2[[#This Row],[J45]]-D$9)^2</f>
        <v>1.458839951445319E-5</v>
      </c>
      <c r="P63">
        <f>Table3[[#This Row],[weight]]*(0.9155*Table2[[#This Row],[J56]]-E$9)^2</f>
        <v>3.383712375590185E-6</v>
      </c>
      <c r="Q63">
        <f>Table3[[#This Row],[weight]]*(0.9155*Table2[[#This Row],[J67]]-F$9)^2</f>
        <v>3.6323086075910936E-5</v>
      </c>
      <c r="R63">
        <f>Table3[[#This Row],[weight]]*(0.9155*Table2[[#This Row],[J67'']]-G$9)^2</f>
        <v>2.3986171003417332E-3</v>
      </c>
      <c r="S63">
        <f>chloroform!J68</f>
        <v>8.3509076082206903E-5</v>
      </c>
      <c r="T63" t="str">
        <f>chloroform!F68</f>
        <v>4H6</v>
      </c>
    </row>
    <row r="64" spans="11:20" x14ac:dyDescent="0.25">
      <c r="K64">
        <f>chloroform!E69</f>
        <v>387</v>
      </c>
      <c r="L64">
        <f>Table3[[#This Row],[weight]]*(0.9155*Table2[[#This Row],[J1,2]]-A$9)^2</f>
        <v>5.6910829352149099E-4</v>
      </c>
      <c r="M64">
        <f>Table3[[#This Row],[weight]]*(0.9155*Table2[[#This Row],[J2,3]]-B$9)^2</f>
        <v>5.6697492329738459E-3</v>
      </c>
      <c r="N64">
        <f>Table3[[#This Row],[weight]]*(0.9155*Table2[[#This Row],[J34]]-C$9)^2</f>
        <v>5.1460189579444239E-3</v>
      </c>
      <c r="O64">
        <f>Table3[[#This Row],[weight]]*(0.9155*Table2[[#This Row],[J45]]-D$9)^2</f>
        <v>0.12117473255983582</v>
      </c>
      <c r="P64">
        <f>Table3[[#This Row],[weight]]*(0.9155*Table2[[#This Row],[J56]]-E$9)^2</f>
        <v>0.65190253623448957</v>
      </c>
      <c r="Q64">
        <f>Table3[[#This Row],[weight]]*(0.9155*Table2[[#This Row],[J67]]-F$9)^2</f>
        <v>4.1596245314409015E-3</v>
      </c>
      <c r="R64">
        <f>Table3[[#This Row],[weight]]*(0.9155*Table2[[#This Row],[J67'']]-G$9)^2</f>
        <v>0.25300162957414257</v>
      </c>
      <c r="S64">
        <f>chloroform!J69</f>
        <v>9.2777430359169254E-3</v>
      </c>
      <c r="T64" t="str">
        <f>chloroform!F69</f>
        <v>12C5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64"/>
  <sheetViews>
    <sheetView workbookViewId="0">
      <selection activeCell="A6" sqref="A6"/>
    </sheetView>
  </sheetViews>
  <sheetFormatPr defaultRowHeight="15" x14ac:dyDescent="0.25"/>
  <cols>
    <col min="7" max="7" width="27.28515625" customWidth="1"/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46</v>
      </c>
      <c r="B1">
        <f>SUMIF(Table1[Classification],E1,Table1[weight])</f>
        <v>3.3214397315227469E-2</v>
      </c>
      <c r="D1" t="s">
        <v>11</v>
      </c>
      <c r="E1" t="s">
        <v>18</v>
      </c>
      <c r="G1">
        <f>COUNTIF(Table3[classification],E1)</f>
        <v>10</v>
      </c>
      <c r="K1" t="s">
        <v>45</v>
      </c>
      <c r="L1" t="s">
        <v>36</v>
      </c>
      <c r="M1" t="s">
        <v>37</v>
      </c>
      <c r="N1" t="s">
        <v>38</v>
      </c>
      <c r="O1" t="s">
        <v>39</v>
      </c>
      <c r="P1" t="s">
        <v>40</v>
      </c>
      <c r="Q1" t="s">
        <v>41</v>
      </c>
      <c r="R1" t="s">
        <v>43</v>
      </c>
      <c r="S1" t="s">
        <v>15</v>
      </c>
      <c r="T1" t="s">
        <v>44</v>
      </c>
    </row>
    <row r="2" spans="1:20" x14ac:dyDescent="0.25">
      <c r="K2">
        <f>chloroform!E7</f>
        <v>1</v>
      </c>
      <c r="L2">
        <f>Table3[[#This Row],[weight]]*(0.9155*Table2[[#This Row],[J1,2]]-A$9)^2</f>
        <v>9.4900674263975344E-5</v>
      </c>
      <c r="M2">
        <f>Table3[[#This Row],[weight]]*(0.9155*Table2[[#This Row],[J2,3]]-B$9)^2</f>
        <v>2.5488767980268292E-4</v>
      </c>
      <c r="N2">
        <f>Table3[[#This Row],[weight]]*(0.9155*Table2[[#This Row],[J34]]-C$9)^2</f>
        <v>1.1770826747140326E-5</v>
      </c>
      <c r="O2">
        <f>Table3[[#This Row],[weight]]*(0.9155*Table2[[#This Row],[J45]]-D$9)^2</f>
        <v>2.7573041109311145E-4</v>
      </c>
      <c r="P2">
        <f>Table3[[#This Row],[weight]]*(0.9155*Table2[[#This Row],[J56]]-E$9)^2</f>
        <v>7.4073670720824637E-4</v>
      </c>
      <c r="Q2">
        <f>Table3[[#This Row],[weight]]*(0.9155*Table2[[#This Row],[J67]]-F$9)^2</f>
        <v>0.1703506439663077</v>
      </c>
      <c r="R2">
        <f>Table3[[#This Row],[weight]]*(0.9155*Table2[[#This Row],[J67'']]-G$9)^2</f>
        <v>0.44372734941834352</v>
      </c>
      <c r="S2">
        <f>chloroform!J7</f>
        <v>7.006629610623147E-3</v>
      </c>
      <c r="T2" t="str">
        <f>chloroform!F7</f>
        <v>6H4</v>
      </c>
    </row>
    <row r="3" spans="1:20" x14ac:dyDescent="0.25">
      <c r="K3">
        <f>chloroform!E8</f>
        <v>2</v>
      </c>
      <c r="L3">
        <f>Table3[[#This Row],[weight]]*(0.9155*Table2[[#This Row],[J1,2]]-A$9)^2</f>
        <v>2.0043157603088979E-3</v>
      </c>
      <c r="M3">
        <f>Table3[[#This Row],[weight]]*(0.9155*Table2[[#This Row],[J2,3]]-B$9)^2</f>
        <v>1.259255455428447</v>
      </c>
      <c r="N3">
        <f>Table3[[#This Row],[weight]]*(0.9155*Table2[[#This Row],[J34]]-C$9)^2</f>
        <v>2.6439329539569594E-6</v>
      </c>
      <c r="O3">
        <f>Table3[[#This Row],[weight]]*(0.9155*Table2[[#This Row],[J45]]-D$9)^2</f>
        <v>1.9427575891079276</v>
      </c>
      <c r="P3">
        <f>Table3[[#This Row],[weight]]*(0.9155*Table2[[#This Row],[J56]]-E$9)^2</f>
        <v>3.4911707321096994</v>
      </c>
      <c r="Q3">
        <f>Table3[[#This Row],[weight]]*(0.9155*Table2[[#This Row],[J67]]-F$9)^2</f>
        <v>0.86923122192577695</v>
      </c>
      <c r="R3">
        <f>Table3[[#This Row],[weight]]*(0.9155*Table2[[#This Row],[J67'']]-G$9)^2</f>
        <v>0.24307156377063893</v>
      </c>
      <c r="S3">
        <f>chloroform!J8</f>
        <v>3.7030869616405469E-2</v>
      </c>
      <c r="T3" t="str">
        <f>chloroform!F8</f>
        <v>4H6</v>
      </c>
    </row>
    <row r="4" spans="1:20" x14ac:dyDescent="0.25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 t="s">
        <v>43</v>
      </c>
      <c r="K4">
        <f>chloroform!E9</f>
        <v>4</v>
      </c>
      <c r="L4">
        <f>Table3[[#This Row],[weight]]*(0.9155*Table2[[#This Row],[J1,2]]-A$9)^2</f>
        <v>1.2835377059961316E-2</v>
      </c>
      <c r="M4">
        <f>Table3[[#This Row],[weight]]*(0.9155*Table2[[#This Row],[J2,3]]-B$9)^2</f>
        <v>5.076233339716584</v>
      </c>
      <c r="N4">
        <f>Table3[[#This Row],[weight]]*(0.9155*Table2[[#This Row],[J34]]-C$9)^2</f>
        <v>1.4055924979008308E-2</v>
      </c>
      <c r="O4">
        <f>Table3[[#This Row],[weight]]*(0.9155*Table2[[#This Row],[J45]]-D$9)^2</f>
        <v>8.7931023409520144</v>
      </c>
      <c r="P4">
        <f>Table3[[#This Row],[weight]]*(0.9155*Table2[[#This Row],[J56]]-E$9)^2</f>
        <v>15.08485226225037</v>
      </c>
      <c r="Q4">
        <f>Table3[[#This Row],[weight]]*(0.9155*Table2[[#This Row],[J67]]-F$9)^2</f>
        <v>1.5886716680077677</v>
      </c>
      <c r="R4">
        <f>Table3[[#This Row],[weight]]*(0.9155*Table2[[#This Row],[J67'']]-G$9)^2</f>
        <v>9.6366307489795009</v>
      </c>
      <c r="S4">
        <f>chloroform!J9</f>
        <v>0.1448766628446449</v>
      </c>
      <c r="T4" t="str">
        <f>chloroform!F9</f>
        <v>4H6</v>
      </c>
    </row>
    <row r="5" spans="1:20" x14ac:dyDescent="0.25">
      <c r="A5">
        <f>SUMIF(Table1[Classification],E1,Table2[J1,23])/$B$1</f>
        <v>7.2744510401219413</v>
      </c>
      <c r="B5">
        <f>SUMIF(Table1[Classification],E1,Table2[J2,34])/$B$1</f>
        <v>7.837289134095319</v>
      </c>
      <c r="C5">
        <f>SUMIF(Table1[Classification],E1,Table2[J345])/$B$1</f>
        <v>2.0536767383977521</v>
      </c>
      <c r="D5">
        <f>SUMIF(Table1[Classification],E1,Table2[J456])/$B$1</f>
        <v>9.3753473719702622</v>
      </c>
      <c r="E5">
        <f>SUMIF(Table1[Classification],E1,Table2[J567])/$B$1</f>
        <v>0.49359720464461715</v>
      </c>
      <c r="F5">
        <f>SUMIF(Table1[Classification],E1,Table2[J678])/$B$1</f>
        <v>5.1479403804422015</v>
      </c>
      <c r="G5">
        <f>SUMIF(Table1[Classification],E1,Table2[J67''9])/$B$1</f>
        <v>10.03251537556338</v>
      </c>
      <c r="K5">
        <f>chloroform!E10</f>
        <v>5</v>
      </c>
      <c r="L5">
        <f>Table3[[#This Row],[weight]]*(0.9155*Table2[[#This Row],[J1,2]]-A$9)^2</f>
        <v>0</v>
      </c>
      <c r="M5">
        <f>Table3[[#This Row],[weight]]*(0.9155*Table2[[#This Row],[J2,3]]-B$9)^2</f>
        <v>0</v>
      </c>
      <c r="N5">
        <f>Table3[[#This Row],[weight]]*(0.9155*Table2[[#This Row],[J34]]-C$9)^2</f>
        <v>0</v>
      </c>
      <c r="O5">
        <f>Table3[[#This Row],[weight]]*(0.9155*Table2[[#This Row],[J45]]-D$9)^2</f>
        <v>0</v>
      </c>
      <c r="P5">
        <f>Table3[[#This Row],[weight]]*(0.9155*Table2[[#This Row],[J56]]-E$9)^2</f>
        <v>0</v>
      </c>
      <c r="Q5">
        <f>Table3[[#This Row],[weight]]*(0.9155*Table2[[#This Row],[J67]]-F$9)^2</f>
        <v>0</v>
      </c>
      <c r="R5">
        <f>Table3[[#This Row],[weight]]*(0.9155*Table2[[#This Row],[J67'']]-G$9)^2</f>
        <v>0</v>
      </c>
      <c r="S5">
        <f>chloroform!J10</f>
        <v>0</v>
      </c>
      <c r="T5" t="str">
        <f>chloroform!F10</f>
        <v>6H4</v>
      </c>
    </row>
    <row r="6" spans="1:20" x14ac:dyDescent="0.25">
      <c r="K6">
        <f>chloroform!E11</f>
        <v>8</v>
      </c>
      <c r="L6">
        <f>Table3[[#This Row],[weight]]*(0.9155*Table2[[#This Row],[J1,2]]-A$9)^2</f>
        <v>0</v>
      </c>
      <c r="M6">
        <f>Table3[[#This Row],[weight]]*(0.9155*Table2[[#This Row],[J2,3]]-B$9)^2</f>
        <v>0</v>
      </c>
      <c r="N6">
        <f>Table3[[#This Row],[weight]]*(0.9155*Table2[[#This Row],[J34]]-C$9)^2</f>
        <v>0</v>
      </c>
      <c r="O6">
        <f>Table3[[#This Row],[weight]]*(0.9155*Table2[[#This Row],[J45]]-D$9)^2</f>
        <v>0</v>
      </c>
      <c r="P6">
        <f>Table3[[#This Row],[weight]]*(0.9155*Table2[[#This Row],[J56]]-E$9)^2</f>
        <v>0</v>
      </c>
      <c r="Q6">
        <f>Table3[[#This Row],[weight]]*(0.9155*Table2[[#This Row],[J67]]-F$9)^2</f>
        <v>0</v>
      </c>
      <c r="R6">
        <f>Table3[[#This Row],[weight]]*(0.9155*Table2[[#This Row],[J67'']]-G$9)^2</f>
        <v>0</v>
      </c>
      <c r="S6">
        <f>chloroform!J11</f>
        <v>0</v>
      </c>
      <c r="T6" t="str">
        <f>chloroform!F11</f>
        <v>6H4</v>
      </c>
    </row>
    <row r="7" spans="1:20" x14ac:dyDescent="0.25">
      <c r="A7" t="s">
        <v>61</v>
      </c>
      <c r="K7">
        <f>chloroform!E12</f>
        <v>14</v>
      </c>
      <c r="L7">
        <f>Table3[[#This Row],[weight]]*(0.9155*Table2[[#This Row],[J1,2]]-A$9)^2</f>
        <v>2.7546881759524971E-4</v>
      </c>
      <c r="M7">
        <f>Table3[[#This Row],[weight]]*(0.9155*Table2[[#This Row],[J2,3]]-B$9)^2</f>
        <v>2.5555453292848366E-2</v>
      </c>
      <c r="N7">
        <f>Table3[[#This Row],[weight]]*(0.9155*Table2[[#This Row],[J34]]-C$9)^2</f>
        <v>5.1127322897590803E-4</v>
      </c>
      <c r="O7">
        <f>Table3[[#This Row],[weight]]*(0.9155*Table2[[#This Row],[J45]]-D$9)^2</f>
        <v>5.7304421783777822E-2</v>
      </c>
      <c r="P7">
        <f>Table3[[#This Row],[weight]]*(0.9155*Table2[[#This Row],[J56]]-E$9)^2</f>
        <v>7.0943899288568757E-2</v>
      </c>
      <c r="Q7">
        <f>Table3[[#This Row],[weight]]*(0.9155*Table2[[#This Row],[J67]]-F$9)^2</f>
        <v>1.400930264511201E-2</v>
      </c>
      <c r="R7">
        <f>Table3[[#This Row],[weight]]*(0.9155*Table2[[#This Row],[J67'']]-G$9)^2</f>
        <v>3.4381649438668588E-2</v>
      </c>
      <c r="S7">
        <f>chloroform!J12</f>
        <v>7.4517732155956139E-4</v>
      </c>
      <c r="T7" t="str">
        <f>chloroform!F12</f>
        <v>4H6</v>
      </c>
    </row>
    <row r="8" spans="1:20" x14ac:dyDescent="0.25">
      <c r="A8" t="s">
        <v>36</v>
      </c>
      <c r="B8" t="s">
        <v>37</v>
      </c>
      <c r="C8" t="s">
        <v>38</v>
      </c>
      <c r="D8" t="s">
        <v>39</v>
      </c>
      <c r="E8" t="s">
        <v>40</v>
      </c>
      <c r="F8" t="s">
        <v>41</v>
      </c>
      <c r="G8" t="s">
        <v>43</v>
      </c>
      <c r="K8">
        <f>chloroform!E13</f>
        <v>20</v>
      </c>
      <c r="L8">
        <f>Table3[[#This Row],[weight]]*(0.9155*Table2[[#This Row],[J1,2]]-A$9)^2</f>
        <v>1.4165225688217604E-4</v>
      </c>
      <c r="M8">
        <f>Table3[[#This Row],[weight]]*(0.9155*Table2[[#This Row],[J2,3]]-B$9)^2</f>
        <v>2.1262681805059514E-4</v>
      </c>
      <c r="N8">
        <f>Table3[[#This Row],[weight]]*(0.9155*Table2[[#This Row],[J34]]-C$9)^2</f>
        <v>3.9201903628899971E-5</v>
      </c>
      <c r="O8">
        <f>Table3[[#This Row],[weight]]*(0.9155*Table2[[#This Row],[J45]]-D$9)^2</f>
        <v>3.9544945443404471E-3</v>
      </c>
      <c r="P8">
        <f>Table3[[#This Row],[weight]]*(0.9155*Table2[[#This Row],[J56]]-E$9)^2</f>
        <v>3.0450561519602672E-4</v>
      </c>
      <c r="Q8">
        <f>Table3[[#This Row],[weight]]*(0.9155*Table2[[#This Row],[J67]]-F$9)^2</f>
        <v>2.4771186743443762E-2</v>
      </c>
      <c r="R8">
        <f>Table3[[#This Row],[weight]]*(0.9155*Table2[[#This Row],[J67'']]-G$9)^2</f>
        <v>9.6906192078528561E-2</v>
      </c>
      <c r="S8">
        <f>chloroform!J13</f>
        <v>2.188514232521567E-2</v>
      </c>
      <c r="T8" t="str">
        <f>chloroform!F13</f>
        <v>6H4</v>
      </c>
    </row>
    <row r="9" spans="1:20" x14ac:dyDescent="0.25">
      <c r="A9">
        <f t="shared" ref="A9:G9" si="0">A5</f>
        <v>7.2744510401219413</v>
      </c>
      <c r="B9">
        <f t="shared" si="0"/>
        <v>7.837289134095319</v>
      </c>
      <c r="C9">
        <f t="shared" si="0"/>
        <v>2.0536767383977521</v>
      </c>
      <c r="D9">
        <f t="shared" si="0"/>
        <v>9.3753473719702622</v>
      </c>
      <c r="E9">
        <f t="shared" si="0"/>
        <v>0.49359720464461715</v>
      </c>
      <c r="F9">
        <f t="shared" si="0"/>
        <v>5.1479403804422015</v>
      </c>
      <c r="G9">
        <f t="shared" si="0"/>
        <v>10.03251537556338</v>
      </c>
      <c r="K9">
        <f>chloroform!E14</f>
        <v>21</v>
      </c>
      <c r="L9">
        <f>Table3[[#This Row],[weight]]*(0.9155*Table2[[#This Row],[J1,2]]-A$9)^2</f>
        <v>9.9433472072385527E-3</v>
      </c>
      <c r="M9">
        <f>Table3[[#This Row],[weight]]*(0.9155*Table2[[#This Row],[J2,3]]-B$9)^2</f>
        <v>2.0729007862252842</v>
      </c>
      <c r="N9">
        <f>Table3[[#This Row],[weight]]*(0.9155*Table2[[#This Row],[J34]]-C$9)^2</f>
        <v>8.1740102096604546E-4</v>
      </c>
      <c r="O9">
        <f>Table3[[#This Row],[weight]]*(0.9155*Table2[[#This Row],[J45]]-D$9)^2</f>
        <v>4.4654585020929813</v>
      </c>
      <c r="P9">
        <f>Table3[[#This Row],[weight]]*(0.9155*Table2[[#This Row],[J56]]-E$9)^2</f>
        <v>6.6604401929222741</v>
      </c>
      <c r="Q9">
        <f>Table3[[#This Row],[weight]]*(0.9155*Table2[[#This Row],[J67]]-F$9)^2</f>
        <v>1.0926804929119278</v>
      </c>
      <c r="R9">
        <f>Table3[[#This Row],[weight]]*(0.9155*Table2[[#This Row],[J67'']]-G$9)^2</f>
        <v>2.8229898636322801</v>
      </c>
      <c r="S9">
        <f>chloroform!J14</f>
        <v>5.8814807620270089E-2</v>
      </c>
      <c r="T9" t="str">
        <f>chloroform!F14</f>
        <v>4H6</v>
      </c>
    </row>
    <row r="10" spans="1:20" x14ac:dyDescent="0.25">
      <c r="K10">
        <f>chloroform!E15</f>
        <v>25</v>
      </c>
      <c r="L10">
        <f>Table3[[#This Row],[weight]]*(0.9155*Table2[[#This Row],[J1,2]]-A$9)^2</f>
        <v>8.4822923693351755E-5</v>
      </c>
      <c r="M10">
        <f>Table3[[#This Row],[weight]]*(0.9155*Table2[[#This Row],[J2,3]]-B$9)^2</f>
        <v>1.4303677039816306E-2</v>
      </c>
      <c r="N10">
        <f>Table3[[#This Row],[weight]]*(0.9155*Table2[[#This Row],[J34]]-C$9)^2</f>
        <v>1.4508506561132148E-4</v>
      </c>
      <c r="O10">
        <f>Table3[[#This Row],[weight]]*(0.9155*Table2[[#This Row],[J45]]-D$9)^2</f>
        <v>3.335399589888477E-2</v>
      </c>
      <c r="P10">
        <f>Table3[[#This Row],[weight]]*(0.9155*Table2[[#This Row],[J56]]-E$9)^2</f>
        <v>5.2585838726037011E-2</v>
      </c>
      <c r="Q10">
        <f>Table3[[#This Row],[weight]]*(0.9155*Table2[[#This Row],[J67]]-F$9)^2</f>
        <v>1.03549327476124E-2</v>
      </c>
      <c r="R10">
        <f>Table3[[#This Row],[weight]]*(0.9155*Table2[[#This Row],[J67'']]-G$9)^2</f>
        <v>3.7575736229990449E-3</v>
      </c>
      <c r="S10">
        <f>chloroform!J15</f>
        <v>4.2825797948773352E-4</v>
      </c>
      <c r="T10" t="str">
        <f>chloroform!F15</f>
        <v>4H6</v>
      </c>
    </row>
    <row r="11" spans="1:20" x14ac:dyDescent="0.25">
      <c r="A11" t="s">
        <v>62</v>
      </c>
      <c r="K11">
        <f>chloroform!E16</f>
        <v>27</v>
      </c>
      <c r="L11">
        <f>Table3[[#This Row],[weight]]*(0.9155*Table2[[#This Row],[J1,2]]-A$9)^2</f>
        <v>3.4359607743516903E-5</v>
      </c>
      <c r="M11">
        <f>Table3[[#This Row],[weight]]*(0.9155*Table2[[#This Row],[J2,3]]-B$9)^2</f>
        <v>6.0931834819176718E-3</v>
      </c>
      <c r="N11">
        <f>Table3[[#This Row],[weight]]*(0.9155*Table2[[#This Row],[J34]]-C$9)^2</f>
        <v>9.6296038982140176E-5</v>
      </c>
      <c r="O11">
        <f>Table3[[#This Row],[weight]]*(0.9155*Table2[[#This Row],[J45]]-D$9)^2</f>
        <v>1.3957180197568551E-2</v>
      </c>
      <c r="P11">
        <f>Table3[[#This Row],[weight]]*(0.9155*Table2[[#This Row],[J56]]-E$9)^2</f>
        <v>1.8035056808601079E-2</v>
      </c>
      <c r="Q11">
        <f>Table3[[#This Row],[weight]]*(0.9155*Table2[[#This Row],[J67]]-F$9)^2</f>
        <v>2.9608190421630842E-3</v>
      </c>
      <c r="R11">
        <f>Table3[[#This Row],[weight]]*(0.9155*Table2[[#This Row],[J67'']]-G$9)^2</f>
        <v>1.2633813358144055E-2</v>
      </c>
      <c r="S11">
        <f>chloroform!J16</f>
        <v>1.7783930625614133E-4</v>
      </c>
      <c r="T11" t="str">
        <f>chloroform!F16</f>
        <v>4H6</v>
      </c>
    </row>
    <row r="12" spans="1:20" x14ac:dyDescent="0.25">
      <c r="A12" t="s">
        <v>36</v>
      </c>
      <c r="B12" t="s">
        <v>37</v>
      </c>
      <c r="C12" t="s">
        <v>38</v>
      </c>
      <c r="D12" t="s">
        <v>39</v>
      </c>
      <c r="E12" t="s">
        <v>40</v>
      </c>
      <c r="F12" t="s">
        <v>41</v>
      </c>
      <c r="G12" t="s">
        <v>43</v>
      </c>
      <c r="K12">
        <f>chloroform!E17</f>
        <v>29</v>
      </c>
      <c r="L12">
        <f>Table3[[#This Row],[weight]]*(0.9155*Table2[[#This Row],[J1,2]]-A$9)^2</f>
        <v>2.1706389007316492E-4</v>
      </c>
      <c r="M12">
        <f>Table3[[#This Row],[weight]]*(0.9155*Table2[[#This Row],[J2,3]]-B$9)^2</f>
        <v>0.3209705455561952</v>
      </c>
      <c r="N12">
        <f>Table3[[#This Row],[weight]]*(0.9155*Table2[[#This Row],[J34]]-C$9)^2</f>
        <v>1.5362320148922559E-4</v>
      </c>
      <c r="O12">
        <f>Table3[[#This Row],[weight]]*(0.9155*Table2[[#This Row],[J45]]-D$9)^2</f>
        <v>0.40599083579110634</v>
      </c>
      <c r="P12">
        <f>Table3[[#This Row],[weight]]*(0.9155*Table2[[#This Row],[J56]]-E$9)^2</f>
        <v>0.61529728541360384</v>
      </c>
      <c r="Q12">
        <f>Table3[[#This Row],[weight]]*(0.9155*Table2[[#This Row],[J67]]-F$9)^2</f>
        <v>0.37222014008666143</v>
      </c>
      <c r="R12">
        <f>Table3[[#This Row],[weight]]*(0.9155*Table2[[#This Row],[J67'']]-G$9)^2</f>
        <v>0.25331596736996154</v>
      </c>
      <c r="S12">
        <f>chloroform!J17</f>
        <v>9.732944469965539E-3</v>
      </c>
      <c r="T12" t="str">
        <f>chloroform!F17</f>
        <v>4H6</v>
      </c>
    </row>
    <row r="13" spans="1:20" x14ac:dyDescent="0.25">
      <c r="A13">
        <f>SQRT(SUMIF($T$2:$T$46,$E$1,L$2:L$46)/(($G$1-1)*$B$1/$G$1))</f>
        <v>0.12491627980174097</v>
      </c>
      <c r="B13">
        <f>SQRT(SUMIF($T$2:$T$46,$E$1,M$2:M$46)/(($G$1-1)*$B$1/$G$1))</f>
        <v>0.15098121434938072</v>
      </c>
      <c r="C13">
        <f>SQRT(SUMIF($T$2:$T$46,$E$1,N$2:N$46)/(($G$1-1)*$B$1/$G$1))</f>
        <v>7.525697186200335E-2</v>
      </c>
      <c r="D13">
        <f t="shared" ref="D13:F13" si="1">SQRT(SUMIF($T$2:$T$46,$E$1,O$2:O$46)/(($G$1-1)*$B$1/$G$1))</f>
        <v>0.88418953822585555</v>
      </c>
      <c r="E13">
        <f t="shared" si="1"/>
        <v>0.23385181914777151</v>
      </c>
      <c r="F13">
        <f t="shared" si="1"/>
        <v>2.7445363019843909</v>
      </c>
      <c r="G13">
        <f>SQRT(SUMIF($T$2:$T$46,$E$1,R$2:R$46)/(($G$1-1)*$B$1/$G$1))</f>
        <v>4.3727432525736871</v>
      </c>
      <c r="K13">
        <f>chloroform!E18</f>
        <v>30</v>
      </c>
      <c r="L13">
        <f>Table3[[#This Row],[weight]]*(0.9155*Table2[[#This Row],[J1,2]]-A$9)^2</f>
        <v>2.2799219656661357E-4</v>
      </c>
      <c r="M13">
        <f>Table3[[#This Row],[weight]]*(0.9155*Table2[[#This Row],[J2,3]]-B$9)^2</f>
        <v>1.7099407499117378E-4</v>
      </c>
      <c r="N13">
        <f>Table3[[#This Row],[weight]]*(0.9155*Table2[[#This Row],[J34]]-C$9)^2</f>
        <v>1.1265585685145918E-4</v>
      </c>
      <c r="O13">
        <f>Table3[[#This Row],[weight]]*(0.9155*Table2[[#This Row],[J45]]-D$9)^2</f>
        <v>1.8614912337214611E-2</v>
      </c>
      <c r="P13">
        <f>Table3[[#This Row],[weight]]*(0.9155*Table2[[#This Row],[J56]]-E$9)^2</f>
        <v>1.50675584149378E-4</v>
      </c>
      <c r="Q13">
        <f>Table3[[#This Row],[weight]]*(0.9155*Table2[[#This Row],[J67]]-F$9)^2</f>
        <v>2.8758666783389668E-2</v>
      </c>
      <c r="R13">
        <f>Table3[[#This Row],[weight]]*(0.9155*Table2[[#This Row],[J67'']]-G$9)^2</f>
        <v>2.2957695031597513E-2</v>
      </c>
      <c r="S13">
        <f>chloroform!J18</f>
        <v>3.8122644132718006E-3</v>
      </c>
      <c r="T13" t="str">
        <f>chloroform!F18</f>
        <v>6H4</v>
      </c>
    </row>
    <row r="14" spans="1:20" x14ac:dyDescent="0.25">
      <c r="K14">
        <f>chloroform!E19</f>
        <v>32</v>
      </c>
      <c r="L14">
        <f>Table3[[#This Row],[weight]]*(0.9155*Table2[[#This Row],[J1,2]]-A$9)^2</f>
        <v>4.5331781386517925E-5</v>
      </c>
      <c r="M14">
        <f>Table3[[#This Row],[weight]]*(0.9155*Table2[[#This Row],[J2,3]]-B$9)^2</f>
        <v>3.106562212423945E-2</v>
      </c>
      <c r="N14">
        <f>Table3[[#This Row],[weight]]*(0.9155*Table2[[#This Row],[J34]]-C$9)^2</f>
        <v>1.5524705270121751E-4</v>
      </c>
      <c r="O14">
        <f>Table3[[#This Row],[weight]]*(0.9155*Table2[[#This Row],[J45]]-D$9)^2</f>
        <v>7.1875630424947365E-2</v>
      </c>
      <c r="P14">
        <f>Table3[[#This Row],[weight]]*(0.9155*Table2[[#This Row],[J56]]-E$9)^2</f>
        <v>0.10840260277689732</v>
      </c>
      <c r="Q14">
        <f>Table3[[#This Row],[weight]]*(0.9155*Table2[[#This Row],[J67]]-F$9)^2</f>
        <v>1.4760388680952958E-2</v>
      </c>
      <c r="R14">
        <f>Table3[[#This Row],[weight]]*(0.9155*Table2[[#This Row],[J67'']]-G$9)^2</f>
        <v>3.7999647842201115E-5</v>
      </c>
      <c r="S14">
        <f>chloroform!J19</f>
        <v>9.0755134518669838E-4</v>
      </c>
      <c r="T14" t="str">
        <f>chloroform!F19</f>
        <v>4H6</v>
      </c>
    </row>
    <row r="15" spans="1:20" x14ac:dyDescent="0.25">
      <c r="K15">
        <f>chloroform!E20</f>
        <v>35</v>
      </c>
      <c r="L15">
        <f>Table3[[#This Row],[weight]]*(0.9155*Table2[[#This Row],[J1,2]]-A$9)^2</f>
        <v>1.7991676590317082E-6</v>
      </c>
      <c r="M15">
        <f>Table3[[#This Row],[weight]]*(0.9155*Table2[[#This Row],[J2,3]]-B$9)^2</f>
        <v>3.4181164519036906E-5</v>
      </c>
      <c r="N15">
        <f>Table3[[#This Row],[weight]]*(0.9155*Table2[[#This Row],[J34]]-C$9)^2</f>
        <v>3.3903854292706005E-6</v>
      </c>
      <c r="O15">
        <f>Table3[[#This Row],[weight]]*(0.9155*Table2[[#This Row],[J45]]-D$9)^2</f>
        <v>1.3672180994395158E-4</v>
      </c>
      <c r="P15">
        <f>Table3[[#This Row],[weight]]*(0.9155*Table2[[#This Row],[J56]]-E$9)^2</f>
        <v>1.6406443778646486E-4</v>
      </c>
      <c r="Q15">
        <f>Table3[[#This Row],[weight]]*(0.9155*Table2[[#This Row],[J67]]-F$9)^2</f>
        <v>7.6187135702126803E-5</v>
      </c>
      <c r="R15">
        <f>Table3[[#This Row],[weight]]*(0.9155*Table2[[#This Row],[J67'']]-G$9)^2</f>
        <v>5.7521691353701982E-3</v>
      </c>
      <c r="S15">
        <f>chloroform!J20</f>
        <v>6.9203215301698665E-5</v>
      </c>
      <c r="T15" t="str">
        <f>chloroform!F20</f>
        <v>6H4</v>
      </c>
    </row>
    <row r="16" spans="1:20" x14ac:dyDescent="0.25">
      <c r="K16">
        <f>chloroform!E21</f>
        <v>36</v>
      </c>
      <c r="L16">
        <f>Table3[[#This Row],[weight]]*(0.9155*Table2[[#This Row],[J1,2]]-A$9)^2</f>
        <v>1.8377407912200869E-4</v>
      </c>
      <c r="M16">
        <f>Table3[[#This Row],[weight]]*(0.9155*Table2[[#This Row],[J2,3]]-B$9)^2</f>
        <v>7.6901494667544909E-2</v>
      </c>
      <c r="N16">
        <f>Table3[[#This Row],[weight]]*(0.9155*Table2[[#This Row],[J34]]-C$9)^2</f>
        <v>1.0796128523965019E-6</v>
      </c>
      <c r="O16">
        <f>Table3[[#This Row],[weight]]*(0.9155*Table2[[#This Row],[J45]]-D$9)^2</f>
        <v>0.16463076741589777</v>
      </c>
      <c r="P16">
        <f>Table3[[#This Row],[weight]]*(0.9155*Table2[[#This Row],[J56]]-E$9)^2</f>
        <v>0.25600764448198454</v>
      </c>
      <c r="Q16">
        <f>Table3[[#This Row],[weight]]*(0.9155*Table2[[#This Row],[J67]]-F$9)^2</f>
        <v>8.5157236419761435E-3</v>
      </c>
      <c r="R16">
        <f>Table3[[#This Row],[weight]]*(0.9155*Table2[[#This Row],[J67'']]-G$9)^2</f>
        <v>0.2020712505879651</v>
      </c>
      <c r="S16">
        <f>chloroform!J21</f>
        <v>2.1941045049983883E-3</v>
      </c>
      <c r="T16" t="str">
        <f>chloroform!F21</f>
        <v>4H6</v>
      </c>
    </row>
    <row r="17" spans="11:20" x14ac:dyDescent="0.25">
      <c r="K17">
        <f>chloroform!E22</f>
        <v>40</v>
      </c>
      <c r="L17">
        <f>Table3[[#This Row],[weight]]*(0.9155*Table2[[#This Row],[J1,2]]-A$9)^2</f>
        <v>2.3064091262853318E-5</v>
      </c>
      <c r="M17">
        <f>Table3[[#This Row],[weight]]*(0.9155*Table2[[#This Row],[J2,3]]-B$9)^2</f>
        <v>6.8874020089719577E-3</v>
      </c>
      <c r="N17">
        <f>Table3[[#This Row],[weight]]*(0.9155*Table2[[#This Row],[J34]]-C$9)^2</f>
        <v>1.5430985021330041E-4</v>
      </c>
      <c r="O17">
        <f>Table3[[#This Row],[weight]]*(0.9155*Table2[[#This Row],[J45]]-D$9)^2</f>
        <v>1.6289432132718523E-2</v>
      </c>
      <c r="P17">
        <f>Table3[[#This Row],[weight]]*(0.9155*Table2[[#This Row],[J56]]-E$9)^2</f>
        <v>2.4811767213401961E-2</v>
      </c>
      <c r="Q17">
        <f>Table3[[#This Row],[weight]]*(0.9155*Table2[[#This Row],[J67]]-F$9)^2</f>
        <v>4.879748356895466E-3</v>
      </c>
      <c r="R17">
        <f>Table3[[#This Row],[weight]]*(0.9155*Table2[[#This Row],[J67'']]-G$9)^2</f>
        <v>1.8250397573184828E-3</v>
      </c>
      <c r="S17">
        <f>chloroform!J22</f>
        <v>2.0196638814690861E-4</v>
      </c>
      <c r="T17" t="str">
        <f>chloroform!F22</f>
        <v>4H6</v>
      </c>
    </row>
    <row r="18" spans="11:20" x14ac:dyDescent="0.25">
      <c r="K18">
        <f>chloroform!E23</f>
        <v>42</v>
      </c>
      <c r="L18">
        <f>Table3[[#This Row],[weight]]*(0.9155*Table2[[#This Row],[J1,2]]-A$9)^2</f>
        <v>0</v>
      </c>
      <c r="M18">
        <f>Table3[[#This Row],[weight]]*(0.9155*Table2[[#This Row],[J2,3]]-B$9)^2</f>
        <v>0</v>
      </c>
      <c r="N18">
        <f>Table3[[#This Row],[weight]]*(0.9155*Table2[[#This Row],[J34]]-C$9)^2</f>
        <v>0</v>
      </c>
      <c r="O18">
        <f>Table3[[#This Row],[weight]]*(0.9155*Table2[[#This Row],[J45]]-D$9)^2</f>
        <v>0</v>
      </c>
      <c r="P18">
        <f>Table3[[#This Row],[weight]]*(0.9155*Table2[[#This Row],[J56]]-E$9)^2</f>
        <v>0</v>
      </c>
      <c r="Q18">
        <f>Table3[[#This Row],[weight]]*(0.9155*Table2[[#This Row],[J67]]-F$9)^2</f>
        <v>0</v>
      </c>
      <c r="R18">
        <f>Table3[[#This Row],[weight]]*(0.9155*Table2[[#This Row],[J67'']]-G$9)^2</f>
        <v>0</v>
      </c>
      <c r="S18">
        <f>chloroform!J23</f>
        <v>0</v>
      </c>
      <c r="T18" t="str">
        <f>chloroform!F23</f>
        <v>6H4</v>
      </c>
    </row>
    <row r="19" spans="11:20" x14ac:dyDescent="0.25">
      <c r="K19">
        <f>chloroform!E24</f>
        <v>43</v>
      </c>
      <c r="L19">
        <f>Table3[[#This Row],[weight]]*(0.9155*Table2[[#This Row],[J1,2]]-A$9)^2</f>
        <v>3.2654087720083628E-4</v>
      </c>
      <c r="M19">
        <f>Table3[[#This Row],[weight]]*(0.9155*Table2[[#This Row],[J2,3]]-B$9)^2</f>
        <v>6.0685967371067968E-2</v>
      </c>
      <c r="N19">
        <f>Table3[[#This Row],[weight]]*(0.9155*Table2[[#This Row],[J34]]-C$9)^2</f>
        <v>7.1667954660282009E-4</v>
      </c>
      <c r="O19">
        <f>Table3[[#This Row],[weight]]*(0.9155*Table2[[#This Row],[J45]]-D$9)^2</f>
        <v>4.7753675742985002E-2</v>
      </c>
      <c r="P19">
        <f>Table3[[#This Row],[weight]]*(0.9155*Table2[[#This Row],[J56]]-E$9)^2</f>
        <v>7.9787742674073993E-3</v>
      </c>
      <c r="Q19">
        <f>Table3[[#This Row],[weight]]*(0.9155*Table2[[#This Row],[J67]]-F$9)^2</f>
        <v>0.11976759296962371</v>
      </c>
      <c r="R19">
        <f>Table3[[#This Row],[weight]]*(0.9155*Table2[[#This Row],[J67'']]-G$9)^2</f>
        <v>6.623302596185987E-2</v>
      </c>
      <c r="S19">
        <f>chloroform!J24</f>
        <v>2.4335224570074033E-3</v>
      </c>
      <c r="T19" t="str">
        <f>chloroform!F24</f>
        <v>12C5</v>
      </c>
    </row>
    <row r="20" spans="11:20" x14ac:dyDescent="0.25">
      <c r="K20">
        <f>chloroform!E25</f>
        <v>44</v>
      </c>
      <c r="L20">
        <f>Table3[[#This Row],[weight]]*(0.9155*Table2[[#This Row],[J1,2]]-A$9)^2</f>
        <v>1.025612492188711E-2</v>
      </c>
      <c r="M20">
        <f>Table3[[#This Row],[weight]]*(0.9155*Table2[[#This Row],[J2,3]]-B$9)^2</f>
        <v>1.9978158692489656</v>
      </c>
      <c r="N20">
        <f>Table3[[#This Row],[weight]]*(0.9155*Table2[[#This Row],[J34]]-C$9)^2</f>
        <v>1.1258063298222769E-3</v>
      </c>
      <c r="O20">
        <f>Table3[[#This Row],[weight]]*(0.9155*Table2[[#This Row],[J45]]-D$9)^2</f>
        <v>4.3166425505869537</v>
      </c>
      <c r="P20">
        <f>Table3[[#This Row],[weight]]*(0.9155*Table2[[#This Row],[J56]]-E$9)^2</f>
        <v>6.4751958197377864</v>
      </c>
      <c r="Q20">
        <f>Table3[[#This Row],[weight]]*(0.9155*Table2[[#This Row],[J67]]-F$9)^2</f>
        <v>1.0535859882591792</v>
      </c>
      <c r="R20">
        <f>Table3[[#This Row],[weight]]*(0.9155*Table2[[#This Row],[J67'']]-G$9)^2</f>
        <v>2.7093512769075048</v>
      </c>
      <c r="S20">
        <f>chloroform!J25</f>
        <v>5.680698566240476E-2</v>
      </c>
      <c r="T20" t="str">
        <f>chloroform!F25</f>
        <v>4H6</v>
      </c>
    </row>
    <row r="21" spans="11:20" x14ac:dyDescent="0.25">
      <c r="K21">
        <f>chloroform!E26</f>
        <v>47</v>
      </c>
      <c r="L21">
        <f>Table3[[#This Row],[weight]]*(0.9155*Table2[[#This Row],[J1,2]]-A$9)^2</f>
        <v>0</v>
      </c>
      <c r="M21">
        <f>Table3[[#This Row],[weight]]*(0.9155*Table2[[#This Row],[J2,3]]-B$9)^2</f>
        <v>0</v>
      </c>
      <c r="N21">
        <f>Table3[[#This Row],[weight]]*(0.9155*Table2[[#This Row],[J34]]-C$9)^2</f>
        <v>0</v>
      </c>
      <c r="O21">
        <f>Table3[[#This Row],[weight]]*(0.9155*Table2[[#This Row],[J45]]-D$9)^2</f>
        <v>0</v>
      </c>
      <c r="P21">
        <f>Table3[[#This Row],[weight]]*(0.9155*Table2[[#This Row],[J56]]-E$9)^2</f>
        <v>0</v>
      </c>
      <c r="Q21">
        <f>Table3[[#This Row],[weight]]*(0.9155*Table2[[#This Row],[J67]]-F$9)^2</f>
        <v>0</v>
      </c>
      <c r="R21">
        <f>Table3[[#This Row],[weight]]*(0.9155*Table2[[#This Row],[J67'']]-G$9)^2</f>
        <v>0</v>
      </c>
      <c r="S21">
        <f>chloroform!J26</f>
        <v>0</v>
      </c>
      <c r="T21" t="str">
        <f>chloroform!F26</f>
        <v>6H4</v>
      </c>
    </row>
    <row r="22" spans="11:20" x14ac:dyDescent="0.25">
      <c r="K22">
        <f>chloroform!E27</f>
        <v>51</v>
      </c>
      <c r="L22">
        <f>Table3[[#This Row],[weight]]*(0.9155*Table2[[#This Row],[J1,2]]-A$9)^2</f>
        <v>0</v>
      </c>
      <c r="M22">
        <f>Table3[[#This Row],[weight]]*(0.9155*Table2[[#This Row],[J2,3]]-B$9)^2</f>
        <v>0</v>
      </c>
      <c r="N22">
        <f>Table3[[#This Row],[weight]]*(0.9155*Table2[[#This Row],[J34]]-C$9)^2</f>
        <v>0</v>
      </c>
      <c r="O22">
        <f>Table3[[#This Row],[weight]]*(0.9155*Table2[[#This Row],[J45]]-D$9)^2</f>
        <v>0</v>
      </c>
      <c r="P22">
        <f>Table3[[#This Row],[weight]]*(0.9155*Table2[[#This Row],[J56]]-E$9)^2</f>
        <v>0</v>
      </c>
      <c r="Q22">
        <f>Table3[[#This Row],[weight]]*(0.9155*Table2[[#This Row],[J67]]-F$9)^2</f>
        <v>0</v>
      </c>
      <c r="R22">
        <f>Table3[[#This Row],[weight]]*(0.9155*Table2[[#This Row],[J67'']]-G$9)^2</f>
        <v>0</v>
      </c>
      <c r="S22">
        <f>chloroform!J27</f>
        <v>0</v>
      </c>
      <c r="T22" t="str">
        <f>chloroform!F27</f>
        <v>45E</v>
      </c>
    </row>
    <row r="23" spans="11:20" x14ac:dyDescent="0.25">
      <c r="K23">
        <f>chloroform!E28</f>
        <v>52</v>
      </c>
      <c r="L23">
        <f>Table3[[#This Row],[weight]]*(0.9155*Table2[[#This Row],[J1,2]]-A$9)^2</f>
        <v>2.8928041075108224E-3</v>
      </c>
      <c r="M23">
        <f>Table3[[#This Row],[weight]]*(0.9155*Table2[[#This Row],[J2,3]]-B$9)^2</f>
        <v>2.6303395031812737</v>
      </c>
      <c r="N23">
        <f>Table3[[#This Row],[weight]]*(0.9155*Table2[[#This Row],[J34]]-C$9)^2</f>
        <v>9.2664511657910772E-3</v>
      </c>
      <c r="O23">
        <f>Table3[[#This Row],[weight]]*(0.9155*Table2[[#This Row],[J45]]-D$9)^2</f>
        <v>4.4718147088901938</v>
      </c>
      <c r="P23">
        <f>Table3[[#This Row],[weight]]*(0.9155*Table2[[#This Row],[J56]]-E$9)^2</f>
        <v>7.6787669174457145</v>
      </c>
      <c r="Q23">
        <f>Table3[[#This Row],[weight]]*(0.9155*Table2[[#This Row],[J67]]-F$9)^2</f>
        <v>0.55884046622074468</v>
      </c>
      <c r="R23">
        <f>Table3[[#This Row],[weight]]*(0.9155*Table2[[#This Row],[J67'']]-G$9)^2</f>
        <v>5.9764723861082318</v>
      </c>
      <c r="S23">
        <f>chloroform!J28</f>
        <v>7.5279816935719612E-2</v>
      </c>
      <c r="T23" t="str">
        <f>chloroform!F28</f>
        <v>4H6</v>
      </c>
    </row>
    <row r="24" spans="11:20" x14ac:dyDescent="0.25">
      <c r="K24">
        <f>chloroform!E29</f>
        <v>54</v>
      </c>
      <c r="L24">
        <f>Table3[[#This Row],[weight]]*(0.9155*Table2[[#This Row],[J1,2]]-A$9)^2</f>
        <v>5.3663590531612335E-3</v>
      </c>
      <c r="M24">
        <f>Table3[[#This Row],[weight]]*(0.9155*Table2[[#This Row],[J2,3]]-B$9)^2</f>
        <v>4.8628565872613354</v>
      </c>
      <c r="N24">
        <f>Table3[[#This Row],[weight]]*(0.9155*Table2[[#This Row],[J34]]-C$9)^2</f>
        <v>2.1968089206379281E-2</v>
      </c>
      <c r="O24">
        <f>Table3[[#This Row],[weight]]*(0.9155*Table2[[#This Row],[J45]]-D$9)^2</f>
        <v>7.8503745583996025</v>
      </c>
      <c r="P24">
        <f>Table3[[#This Row],[weight]]*(0.9155*Table2[[#This Row],[J56]]-E$9)^2</f>
        <v>15.40360693435119</v>
      </c>
      <c r="Q24">
        <f>Table3[[#This Row],[weight]]*(0.9155*Table2[[#This Row],[J67]]-F$9)^2</f>
        <v>2.1642696623391209</v>
      </c>
      <c r="R24">
        <f>Table3[[#This Row],[weight]]*(0.9155*Table2[[#This Row],[J67'']]-G$9)^2</f>
        <v>6.7143064253239442E-3</v>
      </c>
      <c r="S24">
        <f>chloroform!J29</f>
        <v>0.13964945849061713</v>
      </c>
      <c r="T24" t="str">
        <f>chloroform!F29</f>
        <v>4H6</v>
      </c>
    </row>
    <row r="25" spans="11:20" x14ac:dyDescent="0.25">
      <c r="K25">
        <f>chloroform!E30</f>
        <v>55</v>
      </c>
      <c r="L25">
        <f>Table3[[#This Row],[weight]]*(0.9155*Table2[[#This Row],[J1,2]]-A$9)^2</f>
        <v>5.6878089248397958E-5</v>
      </c>
      <c r="M25">
        <f>Table3[[#This Row],[weight]]*(0.9155*Table2[[#This Row],[J2,3]]-B$9)^2</f>
        <v>3.0598399776058258E-2</v>
      </c>
      <c r="N25">
        <f>Table3[[#This Row],[weight]]*(0.9155*Table2[[#This Row],[J34]]-C$9)^2</f>
        <v>1.9942349882992987E-4</v>
      </c>
      <c r="O25">
        <f>Table3[[#This Row],[weight]]*(0.9155*Table2[[#This Row],[J45]]-D$9)^2</f>
        <v>2.8073009937493367E-2</v>
      </c>
      <c r="P25">
        <f>Table3[[#This Row],[weight]]*(0.9155*Table2[[#This Row],[J56]]-E$9)^2</f>
        <v>2.5576279110376319E-3</v>
      </c>
      <c r="Q25">
        <f>Table3[[#This Row],[weight]]*(0.9155*Table2[[#This Row],[J67]]-F$9)^2</f>
        <v>4.966964729042956E-2</v>
      </c>
      <c r="R25">
        <f>Table3[[#This Row],[weight]]*(0.9155*Table2[[#This Row],[J67'']]-G$9)^2</f>
        <v>2.9555400087057215E-2</v>
      </c>
      <c r="S25">
        <f>chloroform!J30</f>
        <v>1.2704121053403966E-3</v>
      </c>
      <c r="T25" t="str">
        <f>chloroform!F30</f>
        <v>12C5</v>
      </c>
    </row>
    <row r="26" spans="11:20" x14ac:dyDescent="0.25">
      <c r="K26">
        <f>chloroform!E31</f>
        <v>57</v>
      </c>
      <c r="L26">
        <f>Table3[[#This Row],[weight]]*(0.9155*Table2[[#This Row],[J1,2]]-A$9)^2</f>
        <v>3.6879773951768773E-5</v>
      </c>
      <c r="M26">
        <f>Table3[[#This Row],[weight]]*(0.9155*Table2[[#This Row],[J2,3]]-B$9)^2</f>
        <v>6.7413781227475449E-3</v>
      </c>
      <c r="N26">
        <f>Table3[[#This Row],[weight]]*(0.9155*Table2[[#This Row],[J34]]-C$9)^2</f>
        <v>1.0250441859997258E-4</v>
      </c>
      <c r="O26">
        <f>Table3[[#This Row],[weight]]*(0.9155*Table2[[#This Row],[J45]]-D$9)^2</f>
        <v>1.5437035369926607E-2</v>
      </c>
      <c r="P26">
        <f>Table3[[#This Row],[weight]]*(0.9155*Table2[[#This Row],[J56]]-E$9)^2</f>
        <v>1.9931295116593705E-2</v>
      </c>
      <c r="Q26">
        <f>Table3[[#This Row],[weight]]*(0.9155*Table2[[#This Row],[J67]]-F$9)^2</f>
        <v>3.2551203623251103E-3</v>
      </c>
      <c r="R26">
        <f>Table3[[#This Row],[weight]]*(0.9155*Table2[[#This Row],[J67'']]-G$9)^2</f>
        <v>1.3943466648402436E-2</v>
      </c>
      <c r="S26">
        <f>chloroform!J31</f>
        <v>1.965733902491591E-4</v>
      </c>
      <c r="T26" t="str">
        <f>chloroform!F31</f>
        <v>4H6</v>
      </c>
    </row>
    <row r="27" spans="11:20" x14ac:dyDescent="0.25">
      <c r="K27">
        <f>chloroform!E32</f>
        <v>58</v>
      </c>
      <c r="L27">
        <f>Table3[[#This Row],[weight]]*(0.9155*Table2[[#This Row],[J1,2]]-A$9)^2</f>
        <v>4.6178705536018095E-5</v>
      </c>
      <c r="M27">
        <f>Table3[[#This Row],[weight]]*(0.9155*Table2[[#This Row],[J2,3]]-B$9)^2</f>
        <v>1.5774836828115368E-2</v>
      </c>
      <c r="N27">
        <f>Table3[[#This Row],[weight]]*(0.9155*Table2[[#This Row],[J34]]-C$9)^2</f>
        <v>3.7793566615589366E-4</v>
      </c>
      <c r="O27">
        <f>Table3[[#This Row],[weight]]*(0.9155*Table2[[#This Row],[J45]]-D$9)^2</f>
        <v>3.6198631853512242E-2</v>
      </c>
      <c r="P27">
        <f>Table3[[#This Row],[weight]]*(0.9155*Table2[[#This Row],[J56]]-E$9)^2</f>
        <v>5.222581606322145E-2</v>
      </c>
      <c r="Q27">
        <f>Table3[[#This Row],[weight]]*(0.9155*Table2[[#This Row],[J67]]-F$9)^2</f>
        <v>6.9275647655205755E-3</v>
      </c>
      <c r="R27">
        <f>Table3[[#This Row],[weight]]*(0.9155*Table2[[#This Row],[J67'']]-G$9)^2</f>
        <v>4.1845063170930857E-8</v>
      </c>
      <c r="S27">
        <f>chloroform!J32</f>
        <v>4.5203274200977513E-4</v>
      </c>
      <c r="T27" t="str">
        <f>chloroform!F32</f>
        <v>4H6</v>
      </c>
    </row>
    <row r="28" spans="11:20" x14ac:dyDescent="0.25">
      <c r="K28">
        <f>chloroform!E33</f>
        <v>60</v>
      </c>
      <c r="L28">
        <f>Table3[[#This Row],[weight]]*(0.9155*Table2[[#This Row],[J1,2]]-A$9)^2</f>
        <v>3.1773594630245857E-4</v>
      </c>
      <c r="M28">
        <f>Table3[[#This Row],[weight]]*(0.9155*Table2[[#This Row],[J2,3]]-B$9)^2</f>
        <v>9.1701835851655852E-2</v>
      </c>
      <c r="N28">
        <f>Table3[[#This Row],[weight]]*(0.9155*Table2[[#This Row],[J34]]-C$9)^2</f>
        <v>1.742575814513356E-4</v>
      </c>
      <c r="O28">
        <f>Table3[[#This Row],[weight]]*(0.9155*Table2[[#This Row],[J45]]-D$9)^2</f>
        <v>0.10097699319660774</v>
      </c>
      <c r="P28">
        <f>Table3[[#This Row],[weight]]*(0.9155*Table2[[#This Row],[J56]]-E$9)^2</f>
        <v>7.5396334504355686E-3</v>
      </c>
      <c r="Q28">
        <f>Table3[[#This Row],[weight]]*(0.9155*Table2[[#This Row],[J67]]-F$9)^2</f>
        <v>4.4541463054638117E-2</v>
      </c>
      <c r="R28">
        <f>Table3[[#This Row],[weight]]*(0.9155*Table2[[#This Row],[J67'']]-G$9)^2</f>
        <v>3.4652741512878268E-3</v>
      </c>
      <c r="S28">
        <f>chloroform!J33</f>
        <v>4.7042140876161192E-3</v>
      </c>
      <c r="T28" t="str">
        <f>chloroform!F33</f>
        <v>12C5</v>
      </c>
    </row>
    <row r="29" spans="11:20" x14ac:dyDescent="0.25">
      <c r="K29">
        <f>chloroform!E34</f>
        <v>65</v>
      </c>
      <c r="L29">
        <f>Table3[[#This Row],[weight]]*(0.9155*Table2[[#This Row],[J1,2]]-A$9)^2</f>
        <v>3.0397036193855696E-5</v>
      </c>
      <c r="M29">
        <f>Table3[[#This Row],[weight]]*(0.9155*Table2[[#This Row],[J2,3]]-B$9)^2</f>
        <v>0.19090889702406874</v>
      </c>
      <c r="N29">
        <f>Table3[[#This Row],[weight]]*(0.9155*Table2[[#This Row],[J34]]-C$9)^2</f>
        <v>1.5074270073974546E-3</v>
      </c>
      <c r="O29">
        <f>Table3[[#This Row],[weight]]*(0.9155*Table2[[#This Row],[J45]]-D$9)^2</f>
        <v>0.25265477572554845</v>
      </c>
      <c r="P29">
        <f>Table3[[#This Row],[weight]]*(0.9155*Table2[[#This Row],[J56]]-E$9)^2</f>
        <v>0.43355425567892381</v>
      </c>
      <c r="Q29">
        <f>Table3[[#This Row],[weight]]*(0.9155*Table2[[#This Row],[J67]]-F$9)^2</f>
        <v>0.14992159044444958</v>
      </c>
      <c r="R29">
        <f>Table3[[#This Row],[weight]]*(0.9155*Table2[[#This Row],[J67'']]-G$9)^2</f>
        <v>0.1492616105690141</v>
      </c>
      <c r="S29">
        <f>chloroform!J34</f>
        <v>5.6494711639667322E-3</v>
      </c>
      <c r="T29" t="str">
        <f>chloroform!F34</f>
        <v>4H6</v>
      </c>
    </row>
    <row r="30" spans="11:20" x14ac:dyDescent="0.25">
      <c r="K30">
        <f>chloroform!E35</f>
        <v>69</v>
      </c>
      <c r="L30">
        <f>Table3[[#This Row],[weight]]*(0.9155*Table2[[#This Row],[J1,2]]-A$9)^2</f>
        <v>8.4361138277149598E-8</v>
      </c>
      <c r="M30">
        <f>Table3[[#This Row],[weight]]*(0.9155*Table2[[#This Row],[J2,3]]-B$9)^2</f>
        <v>3.8441759842205815E-6</v>
      </c>
      <c r="N30">
        <f>Table3[[#This Row],[weight]]*(0.9155*Table2[[#This Row],[J34]]-C$9)^2</f>
        <v>1.2817263191476942E-6</v>
      </c>
      <c r="O30">
        <f>Table3[[#This Row],[weight]]*(0.9155*Table2[[#This Row],[J45]]-D$9)^2</f>
        <v>1.8512516528141766E-4</v>
      </c>
      <c r="P30">
        <f>Table3[[#This Row],[weight]]*(0.9155*Table2[[#This Row],[J56]]-E$9)^2</f>
        <v>1.3588001085800518E-4</v>
      </c>
      <c r="Q30">
        <f>Table3[[#This Row],[weight]]*(0.9155*Table2[[#This Row],[J67]]-F$9)^2</f>
        <v>3.7456835152781086E-4</v>
      </c>
      <c r="R30">
        <f>Table3[[#This Row],[weight]]*(0.9155*Table2[[#This Row],[J67'']]-G$9)^2</f>
        <v>7.1701052433768907E-4</v>
      </c>
      <c r="S30">
        <f>chloroform!J35</f>
        <v>2.0566738505696278E-4</v>
      </c>
      <c r="T30" t="str">
        <f>chloroform!F35</f>
        <v>6H4</v>
      </c>
    </row>
    <row r="31" spans="11:20" x14ac:dyDescent="0.25">
      <c r="K31">
        <f>chloroform!E36</f>
        <v>70</v>
      </c>
      <c r="L31">
        <f>Table3[[#This Row],[weight]]*(0.9155*Table2[[#This Row],[J1,2]]-A$9)^2</f>
        <v>1.0312276484523914E-2</v>
      </c>
      <c r="M31">
        <f>Table3[[#This Row],[weight]]*(0.9155*Table2[[#This Row],[J2,3]]-B$9)^2</f>
        <v>1.9758874938365438</v>
      </c>
      <c r="N31">
        <f>Table3[[#This Row],[weight]]*(0.9155*Table2[[#This Row],[J34]]-C$9)^2</f>
        <v>1.009390246840036E-3</v>
      </c>
      <c r="O31">
        <f>Table3[[#This Row],[weight]]*(0.9155*Table2[[#This Row],[J45]]-D$9)^2</f>
        <v>4.2616453532033285</v>
      </c>
      <c r="P31">
        <f>Table3[[#This Row],[weight]]*(0.9155*Table2[[#This Row],[J56]]-E$9)^2</f>
        <v>6.3682322324737033</v>
      </c>
      <c r="Q31">
        <f>Table3[[#This Row],[weight]]*(0.9155*Table2[[#This Row],[J67]]-F$9)^2</f>
        <v>1.0280948111844428</v>
      </c>
      <c r="R31">
        <f>Table3[[#This Row],[weight]]*(0.9155*Table2[[#This Row],[J67'']]-G$9)^2</f>
        <v>2.6969097129255539</v>
      </c>
      <c r="S31">
        <f>chloroform!J36</f>
        <v>5.5906938041397652E-2</v>
      </c>
      <c r="T31" t="str">
        <f>chloroform!F36</f>
        <v>4H6</v>
      </c>
    </row>
    <row r="32" spans="11:20" x14ac:dyDescent="0.25">
      <c r="K32">
        <f>chloroform!E37</f>
        <v>86</v>
      </c>
      <c r="L32">
        <f>Table3[[#This Row],[weight]]*(0.9155*Table2[[#This Row],[J1,2]]-A$9)^2</f>
        <v>8.1637219608689206E-6</v>
      </c>
      <c r="M32">
        <f>Table3[[#This Row],[weight]]*(0.9155*Table2[[#This Row],[J2,3]]-B$9)^2</f>
        <v>5.7449176656654555E-3</v>
      </c>
      <c r="N32">
        <f>Table3[[#This Row],[weight]]*(0.9155*Table2[[#This Row],[J34]]-C$9)^2</f>
        <v>1.2658969035941135E-4</v>
      </c>
      <c r="O32">
        <f>Table3[[#This Row],[weight]]*(0.9155*Table2[[#This Row],[J45]]-D$9)^2</f>
        <v>1.9608540722305498E-4</v>
      </c>
      <c r="P32">
        <f>Table3[[#This Row],[weight]]*(0.9155*Table2[[#This Row],[J56]]-E$9)^2</f>
        <v>4.5229720072463959E-2</v>
      </c>
      <c r="Q32">
        <f>Table3[[#This Row],[weight]]*(0.9155*Table2[[#This Row],[J67]]-F$9)^2</f>
        <v>7.6158289492612684E-3</v>
      </c>
      <c r="R32">
        <f>Table3[[#This Row],[weight]]*(0.9155*Table2[[#This Row],[J67'']]-G$9)^2</f>
        <v>4.3040775099614022E-2</v>
      </c>
      <c r="S32">
        <f>chloroform!J37</f>
        <v>6.3222537538593754E-4</v>
      </c>
      <c r="T32" t="str">
        <f>chloroform!F37</f>
        <v>56E</v>
      </c>
    </row>
    <row r="33" spans="11:20" x14ac:dyDescent="0.25">
      <c r="K33">
        <f>chloroform!E38</f>
        <v>89</v>
      </c>
      <c r="L33">
        <f>Table3[[#This Row],[weight]]*(0.9155*Table2[[#This Row],[J1,2]]-A$9)^2</f>
        <v>0</v>
      </c>
      <c r="M33">
        <f>Table3[[#This Row],[weight]]*(0.9155*Table2[[#This Row],[J2,3]]-B$9)^2</f>
        <v>0</v>
      </c>
      <c r="N33">
        <f>Table3[[#This Row],[weight]]*(0.9155*Table2[[#This Row],[J34]]-C$9)^2</f>
        <v>0</v>
      </c>
      <c r="O33">
        <f>Table3[[#This Row],[weight]]*(0.9155*Table2[[#This Row],[J45]]-D$9)^2</f>
        <v>0</v>
      </c>
      <c r="P33">
        <f>Table3[[#This Row],[weight]]*(0.9155*Table2[[#This Row],[J56]]-E$9)^2</f>
        <v>0</v>
      </c>
      <c r="Q33">
        <f>Table3[[#This Row],[weight]]*(0.9155*Table2[[#This Row],[J67]]-F$9)^2</f>
        <v>0</v>
      </c>
      <c r="R33">
        <f>Table3[[#This Row],[weight]]*(0.9155*Table2[[#This Row],[J67'']]-G$9)^2</f>
        <v>0</v>
      </c>
      <c r="S33">
        <f>chloroform!J38</f>
        <v>0</v>
      </c>
      <c r="T33" t="str">
        <f>chloroform!F38</f>
        <v>4H6</v>
      </c>
    </row>
    <row r="34" spans="11:20" x14ac:dyDescent="0.25">
      <c r="K34">
        <f>chloroform!E39</f>
        <v>90</v>
      </c>
      <c r="L34">
        <f>Table3[[#This Row],[weight]]*(0.9155*Table2[[#This Row],[J1,2]]-A$9)^2</f>
        <v>0</v>
      </c>
      <c r="M34">
        <f>Table3[[#This Row],[weight]]*(0.9155*Table2[[#This Row],[J2,3]]-B$9)^2</f>
        <v>0</v>
      </c>
      <c r="N34">
        <f>Table3[[#This Row],[weight]]*(0.9155*Table2[[#This Row],[J34]]-C$9)^2</f>
        <v>0</v>
      </c>
      <c r="O34">
        <f>Table3[[#This Row],[weight]]*(0.9155*Table2[[#This Row],[J45]]-D$9)^2</f>
        <v>0</v>
      </c>
      <c r="P34">
        <f>Table3[[#This Row],[weight]]*(0.9155*Table2[[#This Row],[J56]]-E$9)^2</f>
        <v>0</v>
      </c>
      <c r="Q34">
        <f>Table3[[#This Row],[weight]]*(0.9155*Table2[[#This Row],[J67]]-F$9)^2</f>
        <v>0</v>
      </c>
      <c r="R34">
        <f>Table3[[#This Row],[weight]]*(0.9155*Table2[[#This Row],[J67'']]-G$9)^2</f>
        <v>0</v>
      </c>
      <c r="S34">
        <f>chloroform!J39</f>
        <v>0</v>
      </c>
      <c r="T34" t="str">
        <f>chloroform!F39</f>
        <v>4H6</v>
      </c>
    </row>
    <row r="35" spans="11:20" x14ac:dyDescent="0.25">
      <c r="K35">
        <f>chloroform!E40</f>
        <v>92</v>
      </c>
      <c r="L35">
        <f>Table3[[#This Row],[weight]]*(0.9155*Table2[[#This Row],[J1,2]]-A$9)^2</f>
        <v>1.1936576129873777E-2</v>
      </c>
      <c r="M35">
        <f>Table3[[#This Row],[weight]]*(0.9155*Table2[[#This Row],[J2,3]]-B$9)^2</f>
        <v>0.18110624672086895</v>
      </c>
      <c r="N35">
        <f>Table3[[#This Row],[weight]]*(0.9155*Table2[[#This Row],[J34]]-C$9)^2</f>
        <v>0.13311434481693449</v>
      </c>
      <c r="O35">
        <f>Table3[[#This Row],[weight]]*(0.9155*Table2[[#This Row],[J45]]-D$9)^2</f>
        <v>0.23854500097255277</v>
      </c>
      <c r="P35">
        <f>Table3[[#This Row],[weight]]*(0.9155*Table2[[#This Row],[J56]]-E$9)^2</f>
        <v>15.375517247664568</v>
      </c>
      <c r="Q35">
        <f>Table3[[#This Row],[weight]]*(0.9155*Table2[[#This Row],[J67]]-F$9)^2</f>
        <v>2.5487964178171825</v>
      </c>
      <c r="R35">
        <f>Table3[[#This Row],[weight]]*(0.9155*Table2[[#This Row],[J67'']]-G$9)^2</f>
        <v>11.673416556095036</v>
      </c>
      <c r="S35">
        <f>chloroform!J40</f>
        <v>0.18411597419052278</v>
      </c>
      <c r="T35" t="str">
        <f>chloroform!F40</f>
        <v>5C12</v>
      </c>
    </row>
    <row r="36" spans="11:20" x14ac:dyDescent="0.25">
      <c r="K36">
        <f>chloroform!E41</f>
        <v>93</v>
      </c>
      <c r="L36">
        <f>Table3[[#This Row],[weight]]*(0.9155*Table2[[#This Row],[J1,2]]-A$9)^2</f>
        <v>6.2985293650722398E-5</v>
      </c>
      <c r="M36">
        <f>Table3[[#This Row],[weight]]*(0.9155*Table2[[#This Row],[J2,3]]-B$9)^2</f>
        <v>2.0832177910892959E-2</v>
      </c>
      <c r="N36">
        <f>Table3[[#This Row],[weight]]*(0.9155*Table2[[#This Row],[J34]]-C$9)^2</f>
        <v>2.7353742121431589E-4</v>
      </c>
      <c r="O36">
        <f>Table3[[#This Row],[weight]]*(0.9155*Table2[[#This Row],[J45]]-D$9)^2</f>
        <v>1.7610955873594396E-2</v>
      </c>
      <c r="P36">
        <f>Table3[[#This Row],[weight]]*(0.9155*Table2[[#This Row],[J56]]-E$9)^2</f>
        <v>2.439063099586203E-3</v>
      </c>
      <c r="Q36">
        <f>Table3[[#This Row],[weight]]*(0.9155*Table2[[#This Row],[J67]]-F$9)^2</f>
        <v>3.4098288882205598E-2</v>
      </c>
      <c r="R36">
        <f>Table3[[#This Row],[weight]]*(0.9155*Table2[[#This Row],[J67'']]-G$9)^2</f>
        <v>1.4916522202707023E-2</v>
      </c>
      <c r="S36">
        <f>chloroform!J41</f>
        <v>8.8062915025634259E-4</v>
      </c>
      <c r="T36" t="str">
        <f>chloroform!F41</f>
        <v>12C5</v>
      </c>
    </row>
    <row r="37" spans="11:20" x14ac:dyDescent="0.25">
      <c r="K37">
        <f>chloroform!E42</f>
        <v>95</v>
      </c>
      <c r="L37">
        <f>Table3[[#This Row],[weight]]*(0.9155*Table2[[#This Row],[J1,2]]-A$9)^2</f>
        <v>2.3354173328305971E-8</v>
      </c>
      <c r="M37">
        <f>Table3[[#This Row],[weight]]*(0.9155*Table2[[#This Row],[J2,3]]-B$9)^2</f>
        <v>4.8858323531291461E-6</v>
      </c>
      <c r="N37">
        <f>Table3[[#This Row],[weight]]*(0.9155*Table2[[#This Row],[J34]]-C$9)^2</f>
        <v>1.0014087457214009E-6</v>
      </c>
      <c r="O37">
        <f>Table3[[#This Row],[weight]]*(0.9155*Table2[[#This Row],[J45]]-D$9)^2</f>
        <v>2.0306510475682666E-4</v>
      </c>
      <c r="P37">
        <f>Table3[[#This Row],[weight]]*(0.9155*Table2[[#This Row],[J56]]-E$9)^2</f>
        <v>1.3888405071235335E-4</v>
      </c>
      <c r="Q37">
        <f>Table3[[#This Row],[weight]]*(0.9155*Table2[[#This Row],[J67]]-F$9)^2</f>
        <v>8.3683759917701963E-4</v>
      </c>
      <c r="R37">
        <f>Table3[[#This Row],[weight]]*(0.9155*Table2[[#This Row],[J67'']]-G$9)^2</f>
        <v>1.5193448224776504E-3</v>
      </c>
      <c r="S37">
        <f>chloroform!J42</f>
        <v>2.3549036575819417E-4</v>
      </c>
      <c r="T37" t="str">
        <f>chloroform!F42</f>
        <v>6H4</v>
      </c>
    </row>
    <row r="38" spans="11:20" x14ac:dyDescent="0.25">
      <c r="K38">
        <f>chloroform!E43</f>
        <v>100</v>
      </c>
      <c r="L38">
        <f>Table3[[#This Row],[weight]]*(0.9155*Table2[[#This Row],[J1,2]]-A$9)^2</f>
        <v>1.42494152400204E-3</v>
      </c>
      <c r="M38">
        <f>Table3[[#This Row],[weight]]*(0.9155*Table2[[#This Row],[J2,3]]-B$9)^2</f>
        <v>4.2467265412882114E-2</v>
      </c>
      <c r="N38">
        <f>Table3[[#This Row],[weight]]*(0.9155*Table2[[#This Row],[J34]]-C$9)^2</f>
        <v>2.6440858383004133E-2</v>
      </c>
      <c r="O38">
        <f>Table3[[#This Row],[weight]]*(0.9155*Table2[[#This Row],[J45]]-D$9)^2</f>
        <v>4.1439421882953811E-2</v>
      </c>
      <c r="P38">
        <f>Table3[[#This Row],[weight]]*(0.9155*Table2[[#This Row],[J56]]-E$9)^2</f>
        <v>3.8645527993841271</v>
      </c>
      <c r="Q38">
        <f>Table3[[#This Row],[weight]]*(0.9155*Table2[[#This Row],[J67]]-F$9)^2</f>
        <v>0.38796660974092434</v>
      </c>
      <c r="R38">
        <f>Table3[[#This Row],[weight]]*(0.9155*Table2[[#This Row],[J67'']]-G$9)^2</f>
        <v>2.4242466342374357E-3</v>
      </c>
      <c r="S38">
        <f>chloroform!J43</f>
        <v>4.4310874929088404E-2</v>
      </c>
      <c r="T38" t="str">
        <f>chloroform!F43</f>
        <v>5C12</v>
      </c>
    </row>
    <row r="39" spans="11:20" x14ac:dyDescent="0.25">
      <c r="K39">
        <f>chloroform!E44</f>
        <v>112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4H6</v>
      </c>
    </row>
    <row r="40" spans="11:20" x14ac:dyDescent="0.25">
      <c r="K40">
        <f>chloroform!E45</f>
        <v>115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12C5</v>
      </c>
    </row>
    <row r="41" spans="11:20" x14ac:dyDescent="0.25">
      <c r="K41">
        <f>chloroform!E46</f>
        <v>117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118</v>
      </c>
      <c r="L42">
        <f>Table3[[#This Row],[weight]]*(0.9155*Table2[[#This Row],[J1,2]]-A$9)^2</f>
        <v>3.3266227213507219E-4</v>
      </c>
      <c r="M42">
        <f>Table3[[#This Row],[weight]]*(0.9155*Table2[[#This Row],[J2,3]]-B$9)^2</f>
        <v>2.0179045167296123E-3</v>
      </c>
      <c r="N42">
        <f>Table3[[#This Row],[weight]]*(0.9155*Table2[[#This Row],[J34]]-C$9)^2</f>
        <v>2.1190638429150256E-3</v>
      </c>
      <c r="O42">
        <f>Table3[[#This Row],[weight]]*(0.9155*Table2[[#This Row],[J45]]-D$9)^2</f>
        <v>4.5362363907397859E-3</v>
      </c>
      <c r="P42">
        <f>Table3[[#This Row],[weight]]*(0.9155*Table2[[#This Row],[J56]]-E$9)^2</f>
        <v>0.145443188557382</v>
      </c>
      <c r="Q42">
        <f>Table3[[#This Row],[weight]]*(0.9155*Table2[[#This Row],[J67]]-F$9)^2</f>
        <v>3.6280290609361568E-2</v>
      </c>
      <c r="R42">
        <f>Table3[[#This Row],[weight]]*(0.9155*Table2[[#This Row],[J67'']]-G$9)^2</f>
        <v>0.12863827906045236</v>
      </c>
      <c r="S42">
        <f>chloroform!J47</f>
        <v>2.2811825895973138E-3</v>
      </c>
      <c r="T42" t="str">
        <f>chloroform!F47</f>
        <v>5C12</v>
      </c>
    </row>
    <row r="43" spans="11:20" x14ac:dyDescent="0.25">
      <c r="K43">
        <f>chloroform!E48</f>
        <v>120</v>
      </c>
      <c r="L43">
        <f>Table3[[#This Row],[weight]]*(0.9155*Table2[[#This Row],[J1,2]]-A$9)^2</f>
        <v>2.2472229356648241E-5</v>
      </c>
      <c r="M43">
        <f>Table3[[#This Row],[weight]]*(0.9155*Table2[[#This Row],[J2,3]]-B$9)^2</f>
        <v>0.22049730131402853</v>
      </c>
      <c r="N43">
        <f>Table3[[#This Row],[weight]]*(0.9155*Table2[[#This Row],[J34]]-C$9)^2</f>
        <v>1.6009995533651355E-3</v>
      </c>
      <c r="O43">
        <f>Table3[[#This Row],[weight]]*(0.9155*Table2[[#This Row],[J45]]-D$9)^2</f>
        <v>0.29435037083056648</v>
      </c>
      <c r="P43">
        <f>Table3[[#This Row],[weight]]*(0.9155*Table2[[#This Row],[J56]]-E$9)^2</f>
        <v>0.51115995997639441</v>
      </c>
      <c r="Q43">
        <f>Table3[[#This Row],[weight]]*(0.9155*Table2[[#This Row],[J67]]-F$9)^2</f>
        <v>0.18025687429174789</v>
      </c>
      <c r="R43">
        <f>Table3[[#This Row],[weight]]*(0.9155*Table2[[#This Row],[J67'']]-G$9)^2</f>
        <v>0.16735140710818763</v>
      </c>
      <c r="S43">
        <f>chloroform!J48</f>
        <v>6.5209574072440518E-3</v>
      </c>
      <c r="T43" t="str">
        <f>chloroform!F48</f>
        <v>4H6</v>
      </c>
    </row>
    <row r="44" spans="11:20" x14ac:dyDescent="0.25">
      <c r="K44">
        <f>chloroform!E49</f>
        <v>122</v>
      </c>
      <c r="L44">
        <f>Table3[[#This Row],[weight]]*(0.9155*Table2[[#This Row],[J1,2]]-A$9)^2</f>
        <v>6.2028546655229404E-3</v>
      </c>
      <c r="M44">
        <f>Table3[[#This Row],[weight]]*(0.9155*Table2[[#This Row],[J2,3]]-B$9)^2</f>
        <v>2.8939457013409463E-2</v>
      </c>
      <c r="N44">
        <f>Table3[[#This Row],[weight]]*(0.9155*Table2[[#This Row],[J34]]-C$9)^2</f>
        <v>2.995341340526015E-2</v>
      </c>
      <c r="O44">
        <f>Table3[[#This Row],[weight]]*(0.9155*Table2[[#This Row],[J45]]-D$9)^2</f>
        <v>5.8138293904693668E-2</v>
      </c>
      <c r="P44">
        <f>Table3[[#This Row],[weight]]*(0.9155*Table2[[#This Row],[J56]]-E$9)^2</f>
        <v>3.041651729915205</v>
      </c>
      <c r="Q44">
        <f>Table3[[#This Row],[weight]]*(0.9155*Table2[[#This Row],[J67]]-F$9)^2</f>
        <v>0.45687537992224986</v>
      </c>
      <c r="R44">
        <f>Table3[[#This Row],[weight]]*(0.9155*Table2[[#This Row],[J67'']]-G$9)^2</f>
        <v>2.6715814532281481</v>
      </c>
      <c r="S44">
        <f>chloroform!J49</f>
        <v>3.8555310327115337E-2</v>
      </c>
      <c r="T44" t="str">
        <f>chloroform!F49</f>
        <v>5C12</v>
      </c>
    </row>
    <row r="45" spans="11:20" x14ac:dyDescent="0.25">
      <c r="K45">
        <f>chloroform!E50</f>
        <v>124</v>
      </c>
      <c r="L45">
        <f>Table3[[#This Row],[weight]]*(0.9155*Table2[[#This Row],[J1,2]]-A$9)^2</f>
        <v>0</v>
      </c>
      <c r="M45">
        <f>Table3[[#This Row],[weight]]*(0.9155*Table2[[#This Row],[J2,3]]-B$9)^2</f>
        <v>0</v>
      </c>
      <c r="N45">
        <f>Table3[[#This Row],[weight]]*(0.9155*Table2[[#This Row],[J34]]-C$9)^2</f>
        <v>0</v>
      </c>
      <c r="O45">
        <f>Table3[[#This Row],[weight]]*(0.9155*Table2[[#This Row],[J45]]-D$9)^2</f>
        <v>0</v>
      </c>
      <c r="P45">
        <f>Table3[[#This Row],[weight]]*(0.9155*Table2[[#This Row],[J56]]-E$9)^2</f>
        <v>0</v>
      </c>
      <c r="Q45">
        <f>Table3[[#This Row],[weight]]*(0.9155*Table2[[#This Row],[J67]]-F$9)^2</f>
        <v>0</v>
      </c>
      <c r="R45">
        <f>Table3[[#This Row],[weight]]*(0.9155*Table2[[#This Row],[J67'']]-G$9)^2</f>
        <v>0</v>
      </c>
      <c r="S45">
        <f>chloroform!J50</f>
        <v>0</v>
      </c>
      <c r="T45" t="str">
        <f>chloroform!F50</f>
        <v>12C5</v>
      </c>
    </row>
    <row r="46" spans="11:20" x14ac:dyDescent="0.25">
      <c r="K46">
        <f>chloroform!E51</f>
        <v>125</v>
      </c>
      <c r="L46">
        <f>Table3[[#This Row],[weight]]*(0.9155*Table2[[#This Row],[J1,2]]-A$9)^2</f>
        <v>0</v>
      </c>
      <c r="M46">
        <f>Table3[[#This Row],[weight]]*(0.9155*Table2[[#This Row],[J2,3]]-B$9)^2</f>
        <v>0</v>
      </c>
      <c r="N46">
        <f>Table3[[#This Row],[weight]]*(0.9155*Table2[[#This Row],[J34]]-C$9)^2</f>
        <v>0</v>
      </c>
      <c r="O46">
        <f>Table3[[#This Row],[weight]]*(0.9155*Table2[[#This Row],[J45]]-D$9)^2</f>
        <v>0</v>
      </c>
      <c r="P46">
        <f>Table3[[#This Row],[weight]]*(0.9155*Table2[[#This Row],[J56]]-E$9)^2</f>
        <v>0</v>
      </c>
      <c r="Q46">
        <f>Table3[[#This Row],[weight]]*(0.9155*Table2[[#This Row],[J67]]-F$9)^2</f>
        <v>0</v>
      </c>
      <c r="R46">
        <f>Table3[[#This Row],[weight]]*(0.9155*Table2[[#This Row],[J67'']]-G$9)^2</f>
        <v>0</v>
      </c>
      <c r="S46">
        <f>chloroform!J51</f>
        <v>0</v>
      </c>
      <c r="T46" t="str">
        <f>chloroform!F51</f>
        <v>12C5</v>
      </c>
    </row>
    <row r="47" spans="11:20" x14ac:dyDescent="0.25">
      <c r="K47">
        <f>chloroform!E52</f>
        <v>126</v>
      </c>
      <c r="S47">
        <f>chloroform!J52</f>
        <v>0</v>
      </c>
      <c r="T47" t="str">
        <f>chloroform!F52</f>
        <v>5C12</v>
      </c>
    </row>
    <row r="48" spans="11:20" x14ac:dyDescent="0.25">
      <c r="K48">
        <f>chloroform!E53</f>
        <v>129</v>
      </c>
      <c r="S48">
        <f>chloroform!J53</f>
        <v>7.4801669878503804E-3</v>
      </c>
      <c r="T48" t="str">
        <f>chloroform!F53</f>
        <v>5C12</v>
      </c>
    </row>
    <row r="49" spans="11:20" x14ac:dyDescent="0.25">
      <c r="K49">
        <f>chloroform!E54</f>
        <v>144</v>
      </c>
      <c r="S49">
        <f>chloroform!J54</f>
        <v>2.0420972223418954E-4</v>
      </c>
      <c r="T49" t="str">
        <f>chloroform!F54</f>
        <v>5C12</v>
      </c>
    </row>
    <row r="50" spans="11:20" x14ac:dyDescent="0.25">
      <c r="K50">
        <f>chloroform!E55</f>
        <v>155</v>
      </c>
      <c r="S50">
        <f>chloroform!J55</f>
        <v>6.0119762672846327E-2</v>
      </c>
      <c r="T50" t="str">
        <f>chloroform!F55</f>
        <v>5C12</v>
      </c>
    </row>
    <row r="51" spans="11:20" x14ac:dyDescent="0.25">
      <c r="K51">
        <f>chloroform!E56</f>
        <v>159</v>
      </c>
      <c r="L51" s="4">
        <f>Table3[[#This Row],[weight]]*(0.9155*Table2[[#This Row],[J1,2]]-A$9)^2</f>
        <v>9.2286017233760587E-7</v>
      </c>
      <c r="M51" s="4">
        <f>Table3[[#This Row],[weight]]*(0.9155*Table2[[#This Row],[J2,3]]-B$9)^2</f>
        <v>3.7579610023739891E-4</v>
      </c>
      <c r="N51" s="4">
        <f>Table3[[#This Row],[weight]]*(0.9155*Table2[[#This Row],[J34]]-C$9)^2</f>
        <v>2.3776201326378799E-4</v>
      </c>
      <c r="O51" s="4">
        <f>Table3[[#This Row],[weight]]*(0.9155*Table2[[#This Row],[J45]]-D$9)^2</f>
        <v>5.2546126187954807E-4</v>
      </c>
      <c r="P51" s="4">
        <f>Table3[[#This Row],[weight]]*(0.9155*Table2[[#This Row],[J56]]-E$9)^2</f>
        <v>2.6710828669906025E-2</v>
      </c>
      <c r="Q51" s="4">
        <f>Table3[[#This Row],[weight]]*(0.9155*Table2[[#This Row],[J67]]-F$9)^2</f>
        <v>6.5247465908368756E-3</v>
      </c>
      <c r="R51" s="4">
        <f>Table3[[#This Row],[weight]]*(0.9155*Table2[[#This Row],[J67'']]-G$9)^2</f>
        <v>2.5320446521745782E-2</v>
      </c>
      <c r="S51">
        <f>chloroform!J56</f>
        <v>3.6238035402568207E-4</v>
      </c>
      <c r="T51" t="str">
        <f>chloroform!F56</f>
        <v>5C12</v>
      </c>
    </row>
    <row r="52" spans="11:20" x14ac:dyDescent="0.25">
      <c r="K52">
        <f>chloroform!E57</f>
        <v>164</v>
      </c>
      <c r="L52" s="4">
        <f>Table3[[#This Row],[weight]]*(0.9155*Table2[[#This Row],[J1,2]]-A$9)^2</f>
        <v>4.685721031757705E-5</v>
      </c>
      <c r="M52" s="4">
        <f>Table3[[#This Row],[weight]]*(0.9155*Table2[[#This Row],[J2,3]]-B$9)^2</f>
        <v>1.1933219431614437E-3</v>
      </c>
      <c r="N52" s="4">
        <f>Table3[[#This Row],[weight]]*(0.9155*Table2[[#This Row],[J34]]-C$9)^2</f>
        <v>7.7313508311153457E-4</v>
      </c>
      <c r="O52" s="4">
        <f>Table3[[#This Row],[weight]]*(0.9155*Table2[[#This Row],[J45]]-D$9)^2</f>
        <v>1.8539293616958339E-3</v>
      </c>
      <c r="P52" s="4">
        <f>Table3[[#This Row],[weight]]*(0.9155*Table2[[#This Row],[J56]]-E$9)^2</f>
        <v>9.3576173040360089E-2</v>
      </c>
      <c r="Q52" s="4">
        <f>Table3[[#This Row],[weight]]*(0.9155*Table2[[#This Row],[J67]]-F$9)^2</f>
        <v>1.6455863431007956E-2</v>
      </c>
      <c r="R52" s="4">
        <f>Table3[[#This Row],[weight]]*(0.9155*Table2[[#This Row],[J67'']]-G$9)^2</f>
        <v>1.2872259516607344E-4</v>
      </c>
      <c r="S52">
        <f>chloroform!J57</f>
        <v>1.2221617734288117E-3</v>
      </c>
      <c r="T52" t="str">
        <f>chloroform!F57</f>
        <v>5C12</v>
      </c>
    </row>
    <row r="53" spans="11:20" x14ac:dyDescent="0.25">
      <c r="K53">
        <f>chloroform!E58</f>
        <v>170</v>
      </c>
      <c r="L53" s="4">
        <f>Table3[[#This Row],[weight]]*(0.9155*Table2[[#This Row],[J1,2]]-A$9)^2</f>
        <v>6.8471381552075431E-6</v>
      </c>
      <c r="M53" s="4">
        <f>Table3[[#This Row],[weight]]*(0.9155*Table2[[#This Row],[J2,3]]-B$9)^2</f>
        <v>7.7262949520132704E-4</v>
      </c>
      <c r="N53" s="4">
        <f>Table3[[#This Row],[weight]]*(0.9155*Table2[[#This Row],[J34]]-C$9)^2</f>
        <v>5.2339221533660931E-5</v>
      </c>
      <c r="O53" s="4">
        <f>Table3[[#This Row],[weight]]*(0.9155*Table2[[#This Row],[J45]]-D$9)^2</f>
        <v>2.536081669672319E-5</v>
      </c>
      <c r="P53" s="4">
        <f>Table3[[#This Row],[weight]]*(0.9155*Table2[[#This Row],[J56]]-E$9)^2</f>
        <v>6.6647777318010132E-3</v>
      </c>
      <c r="Q53" s="4">
        <f>Table3[[#This Row],[weight]]*(0.9155*Table2[[#This Row],[J67]]-F$9)^2</f>
        <v>6.786250933138242E-4</v>
      </c>
      <c r="R53" s="4">
        <f>Table3[[#This Row],[weight]]*(0.9155*Table2[[#This Row],[J67'']]-G$9)^2</f>
        <v>6.1544475048058173E-3</v>
      </c>
      <c r="S53">
        <f>chloroform!J58</f>
        <v>8.1234188329494146E-5</v>
      </c>
      <c r="T53" t="str">
        <f>chloroform!F58</f>
        <v>56E</v>
      </c>
    </row>
    <row r="54" spans="11:20" x14ac:dyDescent="0.25">
      <c r="K54">
        <f>chloroform!E59</f>
        <v>184</v>
      </c>
      <c r="L54" s="4">
        <f>Table3[[#This Row],[weight]]*(0.9155*Table2[[#This Row],[J1,2]]-A$9)^2</f>
        <v>2.9519272023100109E-4</v>
      </c>
      <c r="M54" s="4">
        <f>Table3[[#This Row],[weight]]*(0.9155*Table2[[#This Row],[J2,3]]-B$9)^2</f>
        <v>0.3205053673629023</v>
      </c>
      <c r="N54" s="4">
        <f>Table3[[#This Row],[weight]]*(0.9155*Table2[[#This Row],[J34]]-C$9)^2</f>
        <v>7.8799722204842224E-5</v>
      </c>
      <c r="O54" s="4">
        <f>Table3[[#This Row],[weight]]*(0.9155*Table2[[#This Row],[J45]]-D$9)^2</f>
        <v>0.41233622336441483</v>
      </c>
      <c r="P54" s="4">
        <f>Table3[[#This Row],[weight]]*(0.9155*Table2[[#This Row],[J56]]-E$9)^2</f>
        <v>0.62666048333145119</v>
      </c>
      <c r="Q54" s="4">
        <f>Table3[[#This Row],[weight]]*(0.9155*Table2[[#This Row],[J67]]-F$9)^2</f>
        <v>0.37174845982283233</v>
      </c>
      <c r="R54" s="4">
        <f>Table3[[#This Row],[weight]]*(0.9155*Table2[[#This Row],[J67'']]-G$9)^2</f>
        <v>0.25669928884459081</v>
      </c>
      <c r="S54">
        <f>chloroform!J59</f>
        <v>9.7436764796259168E-3</v>
      </c>
      <c r="T54" t="str">
        <f>chloroform!F59</f>
        <v>4H6</v>
      </c>
    </row>
    <row r="55" spans="11:20" x14ac:dyDescent="0.25">
      <c r="K55">
        <f>chloroform!E60</f>
        <v>189</v>
      </c>
      <c r="L55" s="4">
        <f>Table3[[#This Row],[weight]]*(0.9155*Table2[[#This Row],[J1,2]]-A$9)^2</f>
        <v>1.3262045022547227E-5</v>
      </c>
      <c r="M55" s="4">
        <f>Table3[[#This Row],[weight]]*(0.9155*Table2[[#This Row],[J2,3]]-B$9)^2</f>
        <v>1.0346456525588709E-3</v>
      </c>
      <c r="N55" s="4">
        <f>Table3[[#This Row],[weight]]*(0.9155*Table2[[#This Row],[J34]]-C$9)^2</f>
        <v>7.873242161166832E-4</v>
      </c>
      <c r="O55" s="4">
        <f>Table3[[#This Row],[weight]]*(0.9155*Table2[[#This Row],[J45]]-D$9)^2</f>
        <v>1.5591143171928797E-3</v>
      </c>
      <c r="P55" s="4">
        <f>Table3[[#This Row],[weight]]*(0.9155*Table2[[#This Row],[J56]]-E$9)^2</f>
        <v>8.8200880205009075E-2</v>
      </c>
      <c r="Q55" s="4">
        <f>Table3[[#This Row],[weight]]*(0.9155*Table2[[#This Row],[J67]]-F$9)^2</f>
        <v>1.9583910590571442E-2</v>
      </c>
      <c r="R55" s="4">
        <f>Table3[[#This Row],[weight]]*(0.9155*Table2[[#This Row],[J67'']]-G$9)^2</f>
        <v>7.5780306560565169E-2</v>
      </c>
      <c r="S55">
        <f>chloroform!J60</f>
        <v>1.0479670036557668E-3</v>
      </c>
      <c r="T55" t="str">
        <f>chloroform!F60</f>
        <v>5C12</v>
      </c>
    </row>
    <row r="56" spans="11:20" x14ac:dyDescent="0.25">
      <c r="K56">
        <f>chloroform!E61</f>
        <v>190</v>
      </c>
      <c r="L56" s="4">
        <f>Table3[[#This Row],[weight]]*(0.9155*Table2[[#This Row],[J1,2]]-A$9)^2</f>
        <v>2.3831117665521257E-4</v>
      </c>
      <c r="M56" s="4">
        <f>Table3[[#This Row],[weight]]*(0.9155*Table2[[#This Row],[J2,3]]-B$9)^2</f>
        <v>7.3712213131307547E-2</v>
      </c>
      <c r="N56" s="4">
        <f>Table3[[#This Row],[weight]]*(0.9155*Table2[[#This Row],[J34]]-C$9)^2</f>
        <v>1.8503073403998734E-7</v>
      </c>
      <c r="O56" s="4">
        <f>Table3[[#This Row],[weight]]*(0.9155*Table2[[#This Row],[J45]]-D$9)^2</f>
        <v>0.15859361709470818</v>
      </c>
      <c r="P56" s="4">
        <f>Table3[[#This Row],[weight]]*(0.9155*Table2[[#This Row],[J56]]-E$9)^2</f>
        <v>0.24832558455647019</v>
      </c>
      <c r="Q56" s="4">
        <f>Table3[[#This Row],[weight]]*(0.9155*Table2[[#This Row],[J67]]-F$9)^2</f>
        <v>7.7820842684593371E-3</v>
      </c>
      <c r="R56" s="4">
        <f>Table3[[#This Row],[weight]]*(0.9155*Table2[[#This Row],[J67'']]-G$9)^2</f>
        <v>0.19514486508346493</v>
      </c>
      <c r="S56">
        <f>chloroform!J61</f>
        <v>2.1096295378373285E-3</v>
      </c>
      <c r="T56" t="str">
        <f>chloroform!F61</f>
        <v>4H6</v>
      </c>
    </row>
    <row r="57" spans="11:20" x14ac:dyDescent="0.25">
      <c r="K57">
        <f>chloroform!E62</f>
        <v>199</v>
      </c>
      <c r="L57" s="4">
        <f>Table3[[#This Row],[weight]]*(0.9155*Table2[[#This Row],[J1,2]]-A$9)^2</f>
        <v>0</v>
      </c>
      <c r="M57" s="4">
        <f>Table3[[#This Row],[weight]]*(0.9155*Table2[[#This Row],[J2,3]]-B$9)^2</f>
        <v>0</v>
      </c>
      <c r="N57" s="4">
        <f>Table3[[#This Row],[weight]]*(0.9155*Table2[[#This Row],[J34]]-C$9)^2</f>
        <v>0</v>
      </c>
      <c r="O57" s="4">
        <f>Table3[[#This Row],[weight]]*(0.9155*Table2[[#This Row],[J45]]-D$9)^2</f>
        <v>0</v>
      </c>
      <c r="P57" s="4">
        <f>Table3[[#This Row],[weight]]*(0.9155*Table2[[#This Row],[J56]]-E$9)^2</f>
        <v>0</v>
      </c>
      <c r="Q57" s="4">
        <f>Table3[[#This Row],[weight]]*(0.9155*Table2[[#This Row],[J67]]-F$9)^2</f>
        <v>0</v>
      </c>
      <c r="R57" s="4">
        <f>Table3[[#This Row],[weight]]*(0.9155*Table2[[#This Row],[J67'']]-G$9)^2</f>
        <v>0</v>
      </c>
      <c r="S57">
        <f>chloroform!J62</f>
        <v>0</v>
      </c>
      <c r="T57" t="str">
        <f>chloroform!F62</f>
        <v>4H6</v>
      </c>
    </row>
    <row r="58" spans="11:20" x14ac:dyDescent="0.25">
      <c r="K58">
        <f>chloroform!E63</f>
        <v>201</v>
      </c>
      <c r="L58" s="4">
        <f>Table3[[#This Row],[weight]]*(0.9155*Table2[[#This Row],[J1,2]]-A$9)^2</f>
        <v>5.1094823253289665E-6</v>
      </c>
      <c r="M58" s="4">
        <f>Table3[[#This Row],[weight]]*(0.9155*Table2[[#This Row],[J2,3]]-B$9)^2</f>
        <v>1.3317854634612991E-3</v>
      </c>
      <c r="N58" s="4">
        <f>Table3[[#This Row],[weight]]*(0.9155*Table2[[#This Row],[J34]]-C$9)^2</f>
        <v>1.78202888609638E-5</v>
      </c>
      <c r="O58" s="4">
        <f>Table3[[#This Row],[weight]]*(0.9155*Table2[[#This Row],[J45]]-D$9)^2</f>
        <v>2.2494480463224604E-3</v>
      </c>
      <c r="P58" s="4">
        <f>Table3[[#This Row],[weight]]*(0.9155*Table2[[#This Row],[J56]]-E$9)^2</f>
        <v>4.3629614245464876E-3</v>
      </c>
      <c r="Q58" s="4">
        <f>Table3[[#This Row],[weight]]*(0.9155*Table2[[#This Row],[J67]]-F$9)^2</f>
        <v>4.9172756428593326E-4</v>
      </c>
      <c r="R58" s="4">
        <f>Table3[[#This Row],[weight]]*(0.9155*Table2[[#This Row],[J67'']]-G$9)^2</f>
        <v>1.4512638237206202E-9</v>
      </c>
      <c r="S58">
        <f>chloroform!J63</f>
        <v>4.1101993376206019E-5</v>
      </c>
      <c r="T58" t="str">
        <f>chloroform!F63</f>
        <v>4H6</v>
      </c>
    </row>
    <row r="59" spans="11:20" x14ac:dyDescent="0.25">
      <c r="K59">
        <f>chloroform!E64</f>
        <v>205</v>
      </c>
      <c r="L59" s="4">
        <f>Table3[[#This Row],[weight]]*(0.9155*Table2[[#This Row],[J1,2]]-A$9)^2</f>
        <v>5.2383571496434047E-7</v>
      </c>
      <c r="M59" s="4">
        <f>Table3[[#This Row],[weight]]*(0.9155*Table2[[#This Row],[J2,3]]-B$9)^2</f>
        <v>2.0981214889626872E-4</v>
      </c>
      <c r="N59" s="4">
        <f>Table3[[#This Row],[weight]]*(0.9155*Table2[[#This Row],[J34]]-C$9)^2</f>
        <v>7.4843705234595712E-5</v>
      </c>
      <c r="O59" s="4">
        <f>Table3[[#This Row],[weight]]*(0.9155*Table2[[#This Row],[J45]]-D$9)^2</f>
        <v>2.5197505237816169E-4</v>
      </c>
      <c r="P59" s="4">
        <f>Table3[[#This Row],[weight]]*(0.9155*Table2[[#This Row],[J56]]-E$9)^2</f>
        <v>1.3954877418781196E-2</v>
      </c>
      <c r="Q59" s="4">
        <f>Table3[[#This Row],[weight]]*(0.9155*Table2[[#This Row],[J67]]-F$9)^2</f>
        <v>3.3635070672748167E-3</v>
      </c>
      <c r="R59" s="4">
        <f>Table3[[#This Row],[weight]]*(0.9155*Table2[[#This Row],[J67'']]-G$9)^2</f>
        <v>1.383219607551928E-2</v>
      </c>
      <c r="S59">
        <f>chloroform!J64</f>
        <v>1.8029207709489026E-4</v>
      </c>
      <c r="T59" t="str">
        <f>chloroform!F64</f>
        <v>5C12</v>
      </c>
    </row>
    <row r="60" spans="11:20" x14ac:dyDescent="0.25">
      <c r="K60">
        <f>chloroform!E65</f>
        <v>217</v>
      </c>
      <c r="L60" s="4">
        <f>Table3[[#This Row],[weight]]*(0.9155*Table2[[#This Row],[J1,2]]-A$9)^2</f>
        <v>0</v>
      </c>
      <c r="M60" s="4">
        <f>Table3[[#This Row],[weight]]*(0.9155*Table2[[#This Row],[J2,3]]-B$9)^2</f>
        <v>0</v>
      </c>
      <c r="N60" s="4">
        <f>Table3[[#This Row],[weight]]*(0.9155*Table2[[#This Row],[J34]]-C$9)^2</f>
        <v>0</v>
      </c>
      <c r="O60" s="4">
        <f>Table3[[#This Row],[weight]]*(0.9155*Table2[[#This Row],[J45]]-D$9)^2</f>
        <v>0</v>
      </c>
      <c r="P60" s="4">
        <f>Table3[[#This Row],[weight]]*(0.9155*Table2[[#This Row],[J56]]-E$9)^2</f>
        <v>0</v>
      </c>
      <c r="Q60" s="4">
        <f>Table3[[#This Row],[weight]]*(0.9155*Table2[[#This Row],[J67]]-F$9)^2</f>
        <v>0</v>
      </c>
      <c r="R60" s="4">
        <f>Table3[[#This Row],[weight]]*(0.9155*Table2[[#This Row],[J67'']]-G$9)^2</f>
        <v>0</v>
      </c>
      <c r="S60">
        <f>chloroform!J65</f>
        <v>0</v>
      </c>
      <c r="T60" t="str">
        <f>chloroform!F65</f>
        <v>E45</v>
      </c>
    </row>
    <row r="61" spans="11:20" x14ac:dyDescent="0.25">
      <c r="K61">
        <f>chloroform!E66</f>
        <v>225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E45</v>
      </c>
    </row>
    <row r="62" spans="11:20" x14ac:dyDescent="0.25">
      <c r="K62">
        <f>chloroform!E67</f>
        <v>247</v>
      </c>
      <c r="L62" s="4">
        <f>Table3[[#This Row],[weight]]*(0.9155*Table2[[#This Row],[J1,2]]-A$9)^2</f>
        <v>4.3113116164617414E-5</v>
      </c>
      <c r="M62" s="4">
        <f>Table3[[#This Row],[weight]]*(0.9155*Table2[[#This Row],[J2,3]]-B$9)^2</f>
        <v>2.1123951092869515E-5</v>
      </c>
      <c r="N62" s="4">
        <f>Table3[[#This Row],[weight]]*(0.9155*Table2[[#This Row],[J34]]-C$9)^2</f>
        <v>1.6209386337188332E-3</v>
      </c>
      <c r="O62" s="4">
        <f>Table3[[#This Row],[weight]]*(0.9155*Table2[[#This Row],[J45]]-D$9)^2</f>
        <v>4.8940399838953819E-5</v>
      </c>
      <c r="P62" s="4">
        <f>Table3[[#This Row],[weight]]*(0.9155*Table2[[#This Row],[J56]]-E$9)^2</f>
        <v>6.1563904129277097E-3</v>
      </c>
      <c r="Q62" s="4">
        <f>Table3[[#This Row],[weight]]*(0.9155*Table2[[#This Row],[J67]]-F$9)^2</f>
        <v>9.7844101482953021E-4</v>
      </c>
      <c r="R62" s="4">
        <f>Table3[[#This Row],[weight]]*(0.9155*Table2[[#This Row],[J67'']]-G$9)^2</f>
        <v>4.7414485562246944E-3</v>
      </c>
      <c r="S62">
        <f>chloroform!J67</f>
        <v>7.5007340007976264E-5</v>
      </c>
      <c r="T62" t="str">
        <f>chloroform!F67</f>
        <v>5C12</v>
      </c>
    </row>
    <row r="63" spans="11:20" x14ac:dyDescent="0.25">
      <c r="K63">
        <f>chloroform!E68</f>
        <v>376</v>
      </c>
      <c r="L63" s="4">
        <f>Table3[[#This Row],[weight]]*(0.9155*Table2[[#This Row],[J1,2]]-A$9)^2</f>
        <v>7.5816717585556265E-6</v>
      </c>
      <c r="M63" s="4">
        <f>Table3[[#This Row],[weight]]*(0.9155*Table2[[#This Row],[J2,3]]-B$9)^2</f>
        <v>2.7015082509907664E-3</v>
      </c>
      <c r="N63" s="4">
        <f>Table3[[#This Row],[weight]]*(0.9155*Table2[[#This Row],[J34]]-C$9)^2</f>
        <v>3.6711571006794719E-5</v>
      </c>
      <c r="O63" s="4">
        <f>Table3[[#This Row],[weight]]*(0.9155*Table2[[#This Row],[J45]]-D$9)^2</f>
        <v>4.6624057321245594E-3</v>
      </c>
      <c r="P63" s="4">
        <f>Table3[[#This Row],[weight]]*(0.9155*Table2[[#This Row],[J56]]-E$9)^2</f>
        <v>9.1502910995953576E-3</v>
      </c>
      <c r="Q63" s="4">
        <f>Table3[[#This Row],[weight]]*(0.9155*Table2[[#This Row],[J67]]-F$9)^2</f>
        <v>1.2720368987411252E-3</v>
      </c>
      <c r="R63" s="4">
        <f>Table3[[#This Row],[weight]]*(0.9155*Table2[[#This Row],[J67'']]-G$9)^2</f>
        <v>3.434272740091129E-6</v>
      </c>
      <c r="S63">
        <f>chloroform!J68</f>
        <v>8.3509076082206903E-5</v>
      </c>
      <c r="T63" t="str">
        <f>chloroform!F68</f>
        <v>4H6</v>
      </c>
    </row>
    <row r="64" spans="11:20" x14ac:dyDescent="0.25">
      <c r="K64">
        <f>chloroform!E69</f>
        <v>387</v>
      </c>
      <c r="L64" s="4">
        <f>Table3[[#This Row],[weight]]*(0.9155*Table2[[#This Row],[J1,2]]-A$9)^2</f>
        <v>2.6259963033364799E-3</v>
      </c>
      <c r="M64" s="4">
        <f>Table3[[#This Row],[weight]]*(0.9155*Table2[[#This Row],[J2,3]]-B$9)^2</f>
        <v>0.24356659036957662</v>
      </c>
      <c r="N64" s="4">
        <f>Table3[[#This Row],[weight]]*(0.9155*Table2[[#This Row],[J34]]-C$9)^2</f>
        <v>2.9293472450008093E-3</v>
      </c>
      <c r="O64" s="4">
        <f>Table3[[#This Row],[weight]]*(0.9155*Table2[[#This Row],[J45]]-D$9)^2</f>
        <v>0.16963686818533347</v>
      </c>
      <c r="P64" s="4">
        <f>Table3[[#This Row],[weight]]*(0.9155*Table2[[#This Row],[J56]]-E$9)^2</f>
        <v>3.2929412852633226E-2</v>
      </c>
      <c r="Q64" s="4">
        <f>Table3[[#This Row],[weight]]*(0.9155*Table2[[#This Row],[J67]]-F$9)^2</f>
        <v>0.14205178409665625</v>
      </c>
      <c r="R64" s="4">
        <f>Table3[[#This Row],[weight]]*(0.9155*Table2[[#This Row],[J67'']]-G$9)^2</f>
        <v>1.0732445738670824E-3</v>
      </c>
      <c r="S64">
        <f>chloroform!J69</f>
        <v>9.2777430359169254E-3</v>
      </c>
      <c r="T64" t="str">
        <f>chloroform!F69</f>
        <v>12C5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workbookViewId="0">
      <selection activeCell="C8" sqref="C8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18</v>
      </c>
      <c r="C7" t="s">
        <v>17</v>
      </c>
      <c r="D7" t="s">
        <v>20</v>
      </c>
    </row>
    <row r="8" spans="1:14" x14ac:dyDescent="0.25">
      <c r="A8" t="s">
        <v>63</v>
      </c>
      <c r="B8">
        <f>'6H4'!B5</f>
        <v>7.837289134095319</v>
      </c>
      <c r="C8">
        <f>halfchair!B5</f>
        <v>1.9318048420225284</v>
      </c>
      <c r="D8">
        <f>chair!B5</f>
        <v>8.8055672670423704</v>
      </c>
      <c r="F8" t="s">
        <v>63</v>
      </c>
    </row>
    <row r="9" spans="1:14" x14ac:dyDescent="0.25">
      <c r="A9" t="s">
        <v>38</v>
      </c>
      <c r="B9">
        <f>'6H4'!C5</f>
        <v>2.0536767383977521</v>
      </c>
      <c r="C9">
        <f>halfchair!C5</f>
        <v>1.8708266248965166</v>
      </c>
      <c r="D9">
        <f>chair!$C5</f>
        <v>2.8897677180027053</v>
      </c>
      <c r="F9" t="s">
        <v>38</v>
      </c>
      <c r="M9" t="s">
        <v>17</v>
      </c>
      <c r="N9" s="7">
        <v>0.67979999999999996</v>
      </c>
    </row>
    <row r="10" spans="1:14" x14ac:dyDescent="0.25">
      <c r="A10" t="s">
        <v>39</v>
      </c>
      <c r="B10">
        <f>'6H4'!D5</f>
        <v>9.3753473719702622</v>
      </c>
      <c r="C10">
        <f>halfchair!D5</f>
        <v>1.4853623209239515</v>
      </c>
      <c r="D10">
        <f>chair!$D5</f>
        <v>10.467532334687862</v>
      </c>
      <c r="F10" t="s">
        <v>39</v>
      </c>
      <c r="M10" t="s">
        <v>20</v>
      </c>
      <c r="N10" s="8">
        <v>0.32019999999999998</v>
      </c>
    </row>
    <row r="11" spans="1:14" x14ac:dyDescent="0.25">
      <c r="A11" t="s">
        <v>40</v>
      </c>
      <c r="B11">
        <f>'6H4'!E5</f>
        <v>0.49359720464461715</v>
      </c>
      <c r="C11">
        <f>halfchair!E5</f>
        <v>10.759987940101336</v>
      </c>
      <c r="D11">
        <f>chair!$E5</f>
        <v>9.6716457684198929</v>
      </c>
      <c r="F11" t="s">
        <v>40</v>
      </c>
      <c r="N11" s="7"/>
    </row>
    <row r="14" spans="1:14" x14ac:dyDescent="0.25">
      <c r="A14" t="s">
        <v>64</v>
      </c>
    </row>
    <row r="15" spans="1:14" x14ac:dyDescent="0.25">
      <c r="B15" t="s">
        <v>18</v>
      </c>
      <c r="C15" t="s">
        <v>17</v>
      </c>
      <c r="D15" t="s">
        <v>20</v>
      </c>
    </row>
    <row r="16" spans="1:14" x14ac:dyDescent="0.25">
      <c r="A16" t="s">
        <v>63</v>
      </c>
      <c r="B16">
        <f>'6H4'!B13</f>
        <v>0.15098121434938072</v>
      </c>
      <c r="C16">
        <f>halfchair!B13</f>
        <v>3.6747288472257715E-2</v>
      </c>
      <c r="D16">
        <f>chair!B13</f>
        <v>4.0276210241894296E-2</v>
      </c>
      <c r="G16">
        <f t="shared" ref="G16:I19" si="0">(B16/B8)^2</f>
        <v>3.7111976969421477E-4</v>
      </c>
      <c r="H16">
        <f t="shared" si="0"/>
        <v>3.618462671533972E-4</v>
      </c>
      <c r="I16">
        <f t="shared" si="0"/>
        <v>2.0921003892843542E-5</v>
      </c>
    </row>
    <row r="17" spans="1:9" x14ac:dyDescent="0.25">
      <c r="A17" t="s">
        <v>38</v>
      </c>
      <c r="B17">
        <f>'6H4'!C13</f>
        <v>7.525697186200335E-2</v>
      </c>
      <c r="C17">
        <f>halfchair!C13</f>
        <v>0.23657678611869695</v>
      </c>
      <c r="D17">
        <f>chair!$C13</f>
        <v>3.2569681270854405E-2</v>
      </c>
      <c r="G17">
        <f t="shared" si="0"/>
        <v>1.3428555890242565E-3</v>
      </c>
      <c r="H17">
        <f t="shared" si="0"/>
        <v>1.5991056998368443E-2</v>
      </c>
      <c r="I17">
        <f t="shared" si="0"/>
        <v>1.2702849324228708E-4</v>
      </c>
    </row>
    <row r="18" spans="1:9" x14ac:dyDescent="0.25">
      <c r="A18" t="s">
        <v>39</v>
      </c>
      <c r="B18">
        <f>'6H4'!D13</f>
        <v>0.88418953822585555</v>
      </c>
      <c r="C18">
        <f>halfchair!D13</f>
        <v>0.58591354327060541</v>
      </c>
      <c r="D18">
        <f>chair!$D13</f>
        <v>0.11412189160712095</v>
      </c>
      <c r="G18">
        <f t="shared" si="0"/>
        <v>8.8943867141443502E-3</v>
      </c>
      <c r="H18">
        <f t="shared" si="0"/>
        <v>0.15559737554787906</v>
      </c>
      <c r="I18">
        <f t="shared" si="0"/>
        <v>1.1886371535393619E-4</v>
      </c>
    </row>
    <row r="19" spans="1:9" x14ac:dyDescent="0.25">
      <c r="A19" t="s">
        <v>40</v>
      </c>
      <c r="B19">
        <f>'6H4'!E13</f>
        <v>0.23385181914777151</v>
      </c>
      <c r="C19">
        <f>halfchair!E13</f>
        <v>0.46946253158874202</v>
      </c>
      <c r="D19">
        <f>chair!$E13</f>
        <v>0.16028353338479828</v>
      </c>
      <c r="G19">
        <f t="shared" si="0"/>
        <v>0.22445853409496525</v>
      </c>
      <c r="H19">
        <f t="shared" si="0"/>
        <v>1.9036114292215508E-3</v>
      </c>
      <c r="I19">
        <f t="shared" si="0"/>
        <v>2.7464838643850354E-4</v>
      </c>
    </row>
    <row r="22" spans="1:9" x14ac:dyDescent="0.25">
      <c r="H22">
        <f>SQRT(SUM(G16:I19))</f>
        <v>0.63989237220752837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2021-09-23T12:28:13Z</dcterms:modified>
</cp:coreProperties>
</file>