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eb\Desktop\oxepine-xyzs\glcox\"/>
    </mc:Choice>
  </mc:AlternateContent>
  <xr:revisionPtr revIDLastSave="0" documentId="13_ncr:1_{7C60909A-56EE-4BF6-8E01-E61882CA0E90}" xr6:coauthVersionLast="47" xr6:coauthVersionMax="47" xr10:uidLastSave="{00000000-0000-0000-0000-000000000000}"/>
  <bookViews>
    <workbookView xWindow="-120" yWindow="-120" windowWidth="29040" windowHeight="15840" activeTab="4" xr2:uid="{4259C506-C026-40AB-9C6F-B79AF468AC2E}"/>
  </bookViews>
  <sheets>
    <sheet name="chloroform" sheetId="1" r:id="rId1"/>
    <sheet name="js-chloroform" sheetId="2" r:id="rId2"/>
    <sheet name="chair" sheetId="3" r:id="rId3"/>
    <sheet name="halfchair" sheetId="4" r:id="rId4"/>
    <sheet name="45TH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70" i="5" l="1"/>
  <c r="S70" i="5"/>
  <c r="K70" i="5"/>
  <c r="T69" i="5"/>
  <c r="S69" i="5"/>
  <c r="K69" i="5"/>
  <c r="T68" i="5"/>
  <c r="S68" i="5"/>
  <c r="K68" i="5"/>
  <c r="T67" i="5"/>
  <c r="S67" i="5"/>
  <c r="K67" i="5"/>
  <c r="T66" i="5"/>
  <c r="S66" i="5"/>
  <c r="K66" i="5"/>
  <c r="T65" i="5"/>
  <c r="S65" i="5"/>
  <c r="K65" i="5"/>
  <c r="T64" i="5"/>
  <c r="S64" i="5"/>
  <c r="K64" i="5"/>
  <c r="T63" i="5"/>
  <c r="S63" i="5"/>
  <c r="K63" i="5"/>
  <c r="T62" i="5"/>
  <c r="S62" i="5"/>
  <c r="K62" i="5"/>
  <c r="T61" i="5"/>
  <c r="S61" i="5"/>
  <c r="K61" i="5"/>
  <c r="T60" i="5"/>
  <c r="S60" i="5"/>
  <c r="K60" i="5"/>
  <c r="T59" i="5"/>
  <c r="S59" i="5"/>
  <c r="K59" i="5"/>
  <c r="T58" i="5"/>
  <c r="S58" i="5"/>
  <c r="K58" i="5"/>
  <c r="T57" i="5"/>
  <c r="S57" i="5"/>
  <c r="K57" i="5"/>
  <c r="T56" i="5"/>
  <c r="S56" i="5"/>
  <c r="K56" i="5"/>
  <c r="T55" i="5"/>
  <c r="S55" i="5"/>
  <c r="K55" i="5"/>
  <c r="T54" i="5"/>
  <c r="S54" i="5"/>
  <c r="K54" i="5"/>
  <c r="T53" i="5"/>
  <c r="S53" i="5"/>
  <c r="K53" i="5"/>
  <c r="T52" i="5"/>
  <c r="S52" i="5"/>
  <c r="K52" i="5"/>
  <c r="T51" i="5"/>
  <c r="S51" i="5"/>
  <c r="K51" i="5"/>
  <c r="T50" i="5"/>
  <c r="S50" i="5"/>
  <c r="K50" i="5"/>
  <c r="T49" i="5"/>
  <c r="S49" i="5"/>
  <c r="K49" i="5"/>
  <c r="T48" i="5"/>
  <c r="S48" i="5"/>
  <c r="K48" i="5"/>
  <c r="T47" i="5"/>
  <c r="S47" i="5"/>
  <c r="K47" i="5"/>
  <c r="T46" i="5"/>
  <c r="S46" i="5"/>
  <c r="K46" i="5"/>
  <c r="T45" i="5"/>
  <c r="S45" i="5"/>
  <c r="K45" i="5"/>
  <c r="T44" i="5"/>
  <c r="S44" i="5"/>
  <c r="K44" i="5"/>
  <c r="T43" i="5"/>
  <c r="S43" i="5"/>
  <c r="K43" i="5"/>
  <c r="T42" i="5"/>
  <c r="S42" i="5"/>
  <c r="K42" i="5"/>
  <c r="T41" i="5"/>
  <c r="S41" i="5"/>
  <c r="K41" i="5"/>
  <c r="T40" i="5"/>
  <c r="S40" i="5"/>
  <c r="K40" i="5"/>
  <c r="T39" i="5"/>
  <c r="S39" i="5"/>
  <c r="K39" i="5"/>
  <c r="T38" i="5"/>
  <c r="S38" i="5"/>
  <c r="K38" i="5"/>
  <c r="T37" i="5"/>
  <c r="S37" i="5"/>
  <c r="K37" i="5"/>
  <c r="T36" i="5"/>
  <c r="S36" i="5"/>
  <c r="K36" i="5"/>
  <c r="T35" i="5"/>
  <c r="S35" i="5"/>
  <c r="K35" i="5"/>
  <c r="T34" i="5"/>
  <c r="S34" i="5"/>
  <c r="K34" i="5"/>
  <c r="T33" i="5"/>
  <c r="S33" i="5"/>
  <c r="K33" i="5"/>
  <c r="T32" i="5"/>
  <c r="S32" i="5"/>
  <c r="K32" i="5"/>
  <c r="T31" i="5"/>
  <c r="S31" i="5"/>
  <c r="K31" i="5"/>
  <c r="T30" i="5"/>
  <c r="S30" i="5"/>
  <c r="K30" i="5"/>
  <c r="T29" i="5"/>
  <c r="S29" i="5"/>
  <c r="K29" i="5"/>
  <c r="T28" i="5"/>
  <c r="S28" i="5"/>
  <c r="K28" i="5"/>
  <c r="T27" i="5"/>
  <c r="S27" i="5"/>
  <c r="K27" i="5"/>
  <c r="T26" i="5"/>
  <c r="S26" i="5"/>
  <c r="K26" i="5"/>
  <c r="T25" i="5"/>
  <c r="S25" i="5"/>
  <c r="K25" i="5"/>
  <c r="T24" i="5"/>
  <c r="S24" i="5"/>
  <c r="K24" i="5"/>
  <c r="T23" i="5"/>
  <c r="S23" i="5"/>
  <c r="K23" i="5"/>
  <c r="T22" i="5"/>
  <c r="S22" i="5"/>
  <c r="K22" i="5"/>
  <c r="T21" i="5"/>
  <c r="S21" i="5"/>
  <c r="K21" i="5"/>
  <c r="T20" i="5"/>
  <c r="S20" i="5"/>
  <c r="K20" i="5"/>
  <c r="T19" i="5"/>
  <c r="S19" i="5"/>
  <c r="K19" i="5"/>
  <c r="T18" i="5"/>
  <c r="S18" i="5"/>
  <c r="K18" i="5"/>
  <c r="T17" i="5"/>
  <c r="S17" i="5"/>
  <c r="K17" i="5"/>
  <c r="T16" i="5"/>
  <c r="S16" i="5"/>
  <c r="K16" i="5"/>
  <c r="T15" i="5"/>
  <c r="S15" i="5"/>
  <c r="K15" i="5"/>
  <c r="T14" i="5"/>
  <c r="S14" i="5"/>
  <c r="K14" i="5"/>
  <c r="T13" i="5"/>
  <c r="S13" i="5"/>
  <c r="K13" i="5"/>
  <c r="T12" i="5"/>
  <c r="S12" i="5"/>
  <c r="K12" i="5"/>
  <c r="T11" i="5"/>
  <c r="S11" i="5"/>
  <c r="K11" i="5"/>
  <c r="T10" i="5"/>
  <c r="S10" i="5"/>
  <c r="K10" i="5"/>
  <c r="T9" i="5"/>
  <c r="S9" i="5"/>
  <c r="K9" i="5"/>
  <c r="T8" i="5"/>
  <c r="S8" i="5"/>
  <c r="K8" i="5"/>
  <c r="T7" i="5"/>
  <c r="S7" i="5"/>
  <c r="K7" i="5"/>
  <c r="T6" i="5"/>
  <c r="S6" i="5"/>
  <c r="K6" i="5"/>
  <c r="T5" i="5"/>
  <c r="S5" i="5"/>
  <c r="K5" i="5"/>
  <c r="T4" i="5"/>
  <c r="S4" i="5"/>
  <c r="K4" i="5"/>
  <c r="T3" i="5"/>
  <c r="S3" i="5"/>
  <c r="K3" i="5"/>
  <c r="T2" i="5"/>
  <c r="S2" i="5"/>
  <c r="K2" i="5"/>
  <c r="T70" i="4"/>
  <c r="S70" i="4"/>
  <c r="K70" i="4"/>
  <c r="T69" i="4"/>
  <c r="S69" i="4"/>
  <c r="K69" i="4"/>
  <c r="T68" i="4"/>
  <c r="S68" i="4"/>
  <c r="K68" i="4"/>
  <c r="T67" i="4"/>
  <c r="S67" i="4"/>
  <c r="K67" i="4"/>
  <c r="T66" i="4"/>
  <c r="S66" i="4"/>
  <c r="K66" i="4"/>
  <c r="T65" i="4"/>
  <c r="S65" i="4"/>
  <c r="K65" i="4"/>
  <c r="T64" i="4"/>
  <c r="S64" i="4"/>
  <c r="K64" i="4"/>
  <c r="T63" i="4"/>
  <c r="S63" i="4"/>
  <c r="K63" i="4"/>
  <c r="T62" i="4"/>
  <c r="S62" i="4"/>
  <c r="K62" i="4"/>
  <c r="T61" i="4"/>
  <c r="S61" i="4"/>
  <c r="K61" i="4"/>
  <c r="T60" i="4"/>
  <c r="S60" i="4"/>
  <c r="K60" i="4"/>
  <c r="T59" i="4"/>
  <c r="S59" i="4"/>
  <c r="K59" i="4"/>
  <c r="T58" i="4"/>
  <c r="S58" i="4"/>
  <c r="K58" i="4"/>
  <c r="T57" i="4"/>
  <c r="S57" i="4"/>
  <c r="K57" i="4"/>
  <c r="T56" i="4"/>
  <c r="S56" i="4"/>
  <c r="K56" i="4"/>
  <c r="T55" i="4"/>
  <c r="S55" i="4"/>
  <c r="K55" i="4"/>
  <c r="T54" i="4"/>
  <c r="S54" i="4"/>
  <c r="K54" i="4"/>
  <c r="T53" i="4"/>
  <c r="S53" i="4"/>
  <c r="K53" i="4"/>
  <c r="T52" i="4"/>
  <c r="S52" i="4"/>
  <c r="K52" i="4"/>
  <c r="T51" i="4"/>
  <c r="S51" i="4"/>
  <c r="K51" i="4"/>
  <c r="T50" i="4"/>
  <c r="S50" i="4"/>
  <c r="K50" i="4"/>
  <c r="T49" i="4"/>
  <c r="S49" i="4"/>
  <c r="K49" i="4"/>
  <c r="T48" i="4"/>
  <c r="S48" i="4"/>
  <c r="K48" i="4"/>
  <c r="T47" i="4"/>
  <c r="S47" i="4"/>
  <c r="K47" i="4"/>
  <c r="T46" i="4"/>
  <c r="S46" i="4"/>
  <c r="K46" i="4"/>
  <c r="T45" i="4"/>
  <c r="S45" i="4"/>
  <c r="K45" i="4"/>
  <c r="T44" i="4"/>
  <c r="S44" i="4"/>
  <c r="K44" i="4"/>
  <c r="T43" i="4"/>
  <c r="S43" i="4"/>
  <c r="K43" i="4"/>
  <c r="T42" i="4"/>
  <c r="S42" i="4"/>
  <c r="K42" i="4"/>
  <c r="T41" i="4"/>
  <c r="S41" i="4"/>
  <c r="K41" i="4"/>
  <c r="T40" i="4"/>
  <c r="S40" i="4"/>
  <c r="K40" i="4"/>
  <c r="T39" i="4"/>
  <c r="S39" i="4"/>
  <c r="K39" i="4"/>
  <c r="T38" i="4"/>
  <c r="S38" i="4"/>
  <c r="K38" i="4"/>
  <c r="T37" i="4"/>
  <c r="S37" i="4"/>
  <c r="K37" i="4"/>
  <c r="T36" i="4"/>
  <c r="S36" i="4"/>
  <c r="K36" i="4"/>
  <c r="T35" i="4"/>
  <c r="S35" i="4"/>
  <c r="K35" i="4"/>
  <c r="T34" i="4"/>
  <c r="S34" i="4"/>
  <c r="K34" i="4"/>
  <c r="T33" i="4"/>
  <c r="S33" i="4"/>
  <c r="K33" i="4"/>
  <c r="T32" i="4"/>
  <c r="S32" i="4"/>
  <c r="K32" i="4"/>
  <c r="T31" i="4"/>
  <c r="S31" i="4"/>
  <c r="K31" i="4"/>
  <c r="T30" i="4"/>
  <c r="S30" i="4"/>
  <c r="K30" i="4"/>
  <c r="T29" i="4"/>
  <c r="S29" i="4"/>
  <c r="K29" i="4"/>
  <c r="T28" i="4"/>
  <c r="S28" i="4"/>
  <c r="K28" i="4"/>
  <c r="T27" i="4"/>
  <c r="S27" i="4"/>
  <c r="K27" i="4"/>
  <c r="T26" i="4"/>
  <c r="S26" i="4"/>
  <c r="K26" i="4"/>
  <c r="T25" i="4"/>
  <c r="S25" i="4"/>
  <c r="K25" i="4"/>
  <c r="T24" i="4"/>
  <c r="S24" i="4"/>
  <c r="K24" i="4"/>
  <c r="T23" i="4"/>
  <c r="S23" i="4"/>
  <c r="K23" i="4"/>
  <c r="T22" i="4"/>
  <c r="S22" i="4"/>
  <c r="K22" i="4"/>
  <c r="T21" i="4"/>
  <c r="S21" i="4"/>
  <c r="K21" i="4"/>
  <c r="T20" i="4"/>
  <c r="S20" i="4"/>
  <c r="K20" i="4"/>
  <c r="T19" i="4"/>
  <c r="S19" i="4"/>
  <c r="K19" i="4"/>
  <c r="T18" i="4"/>
  <c r="S18" i="4"/>
  <c r="K18" i="4"/>
  <c r="T17" i="4"/>
  <c r="S17" i="4"/>
  <c r="K17" i="4"/>
  <c r="T16" i="4"/>
  <c r="S16" i="4"/>
  <c r="K16" i="4"/>
  <c r="T15" i="4"/>
  <c r="S15" i="4"/>
  <c r="K15" i="4"/>
  <c r="T14" i="4"/>
  <c r="S14" i="4"/>
  <c r="K14" i="4"/>
  <c r="T13" i="4"/>
  <c r="S13" i="4"/>
  <c r="K13" i="4"/>
  <c r="T12" i="4"/>
  <c r="S12" i="4"/>
  <c r="K12" i="4"/>
  <c r="T11" i="4"/>
  <c r="S11" i="4"/>
  <c r="K11" i="4"/>
  <c r="T10" i="4"/>
  <c r="S10" i="4"/>
  <c r="K10" i="4"/>
  <c r="T9" i="4"/>
  <c r="S9" i="4"/>
  <c r="K9" i="4"/>
  <c r="T8" i="4"/>
  <c r="S8" i="4"/>
  <c r="K8" i="4"/>
  <c r="T7" i="4"/>
  <c r="S7" i="4"/>
  <c r="K7" i="4"/>
  <c r="T6" i="4"/>
  <c r="S6" i="4"/>
  <c r="K6" i="4"/>
  <c r="T5" i="4"/>
  <c r="S5" i="4"/>
  <c r="K5" i="4"/>
  <c r="T4" i="4"/>
  <c r="S4" i="4"/>
  <c r="K4" i="4"/>
  <c r="T3" i="4"/>
  <c r="S3" i="4"/>
  <c r="K3" i="4"/>
  <c r="T2" i="4"/>
  <c r="S2" i="4"/>
  <c r="K2" i="4"/>
  <c r="S3" i="3"/>
  <c r="T3" i="3"/>
  <c r="S4" i="3"/>
  <c r="T4" i="3"/>
  <c r="S5" i="3"/>
  <c r="T5" i="3"/>
  <c r="S6" i="3"/>
  <c r="T6" i="3"/>
  <c r="S7" i="3"/>
  <c r="T7" i="3"/>
  <c r="S8" i="3"/>
  <c r="T8" i="3"/>
  <c r="S9" i="3"/>
  <c r="T9" i="3"/>
  <c r="S10" i="3"/>
  <c r="T10" i="3"/>
  <c r="S11" i="3"/>
  <c r="T11" i="3"/>
  <c r="S12" i="3"/>
  <c r="T12" i="3"/>
  <c r="S13" i="3"/>
  <c r="T13" i="3"/>
  <c r="S14" i="3"/>
  <c r="T14" i="3"/>
  <c r="S15" i="3"/>
  <c r="T15" i="3"/>
  <c r="S16" i="3"/>
  <c r="T16" i="3"/>
  <c r="S17" i="3"/>
  <c r="T17" i="3"/>
  <c r="S18" i="3"/>
  <c r="T18" i="3"/>
  <c r="S19" i="3"/>
  <c r="T19" i="3"/>
  <c r="S20" i="3"/>
  <c r="T20" i="3"/>
  <c r="S21" i="3"/>
  <c r="T21" i="3"/>
  <c r="S22" i="3"/>
  <c r="T22" i="3"/>
  <c r="S23" i="3"/>
  <c r="T23" i="3"/>
  <c r="S24" i="3"/>
  <c r="T24" i="3"/>
  <c r="S25" i="3"/>
  <c r="T25" i="3"/>
  <c r="S26" i="3"/>
  <c r="T26" i="3"/>
  <c r="S27" i="3"/>
  <c r="T27" i="3"/>
  <c r="S28" i="3"/>
  <c r="T28" i="3"/>
  <c r="S29" i="3"/>
  <c r="T29" i="3"/>
  <c r="S30" i="3"/>
  <c r="T30" i="3"/>
  <c r="S31" i="3"/>
  <c r="T31" i="3"/>
  <c r="S32" i="3"/>
  <c r="T32" i="3"/>
  <c r="S33" i="3"/>
  <c r="T33" i="3"/>
  <c r="S34" i="3"/>
  <c r="T34" i="3"/>
  <c r="S35" i="3"/>
  <c r="T35" i="3"/>
  <c r="S36" i="3"/>
  <c r="T36" i="3"/>
  <c r="S37" i="3"/>
  <c r="T37" i="3"/>
  <c r="S38" i="3"/>
  <c r="T38" i="3"/>
  <c r="S39" i="3"/>
  <c r="T39" i="3"/>
  <c r="S40" i="3"/>
  <c r="T40" i="3"/>
  <c r="S41" i="3"/>
  <c r="T41" i="3"/>
  <c r="S42" i="3"/>
  <c r="T42" i="3"/>
  <c r="S43" i="3"/>
  <c r="T43" i="3"/>
  <c r="S44" i="3"/>
  <c r="T44" i="3"/>
  <c r="S45" i="3"/>
  <c r="T45" i="3"/>
  <c r="S46" i="3"/>
  <c r="T46" i="3"/>
  <c r="S47" i="3"/>
  <c r="T47" i="3"/>
  <c r="S48" i="3"/>
  <c r="T48" i="3"/>
  <c r="S49" i="3"/>
  <c r="T49" i="3"/>
  <c r="S50" i="3"/>
  <c r="T50" i="3"/>
  <c r="S51" i="3"/>
  <c r="T51" i="3"/>
  <c r="S52" i="3"/>
  <c r="T52" i="3"/>
  <c r="S53" i="3"/>
  <c r="T53" i="3"/>
  <c r="S54" i="3"/>
  <c r="T54" i="3"/>
  <c r="S55" i="3"/>
  <c r="T55" i="3"/>
  <c r="S56" i="3"/>
  <c r="T56" i="3"/>
  <c r="S57" i="3"/>
  <c r="T57" i="3"/>
  <c r="S58" i="3"/>
  <c r="T58" i="3"/>
  <c r="S59" i="3"/>
  <c r="T59" i="3"/>
  <c r="S60" i="3"/>
  <c r="T60" i="3"/>
  <c r="S61" i="3"/>
  <c r="T61" i="3"/>
  <c r="S62" i="3"/>
  <c r="T62" i="3"/>
  <c r="S63" i="3"/>
  <c r="T63" i="3"/>
  <c r="S64" i="3"/>
  <c r="T64" i="3"/>
  <c r="S65" i="3"/>
  <c r="T65" i="3"/>
  <c r="S66" i="3"/>
  <c r="T66" i="3"/>
  <c r="S67" i="3"/>
  <c r="T67" i="3"/>
  <c r="S68" i="3"/>
  <c r="T68" i="3"/>
  <c r="S69" i="3"/>
  <c r="T69" i="3"/>
  <c r="S70" i="3"/>
  <c r="T70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T2" i="3"/>
  <c r="S2" i="3"/>
  <c r="K2" i="3"/>
  <c r="J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P69" i="2" s="1"/>
  <c r="J70" i="2"/>
  <c r="M70" i="2" s="1"/>
  <c r="K68" i="2"/>
  <c r="K69" i="2"/>
  <c r="K70" i="2"/>
  <c r="M68" i="2"/>
  <c r="M69" i="2"/>
  <c r="N68" i="2"/>
  <c r="N69" i="2"/>
  <c r="O68" i="2"/>
  <c r="P68" i="2"/>
  <c r="Q68" i="2"/>
  <c r="R68" i="2"/>
  <c r="R69" i="2"/>
  <c r="S68" i="2"/>
  <c r="S69" i="2"/>
  <c r="S70" i="2"/>
  <c r="T68" i="2"/>
  <c r="T69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O70" i="2" l="1"/>
  <c r="T70" i="2"/>
  <c r="O69" i="2"/>
  <c r="R70" i="2"/>
  <c r="Q70" i="2"/>
  <c r="Q69" i="2"/>
  <c r="N70" i="2"/>
  <c r="P70" i="2"/>
  <c r="A66" i="1"/>
  <c r="B66" i="1" s="1"/>
  <c r="A67" i="1"/>
  <c r="A68" i="1"/>
  <c r="A69" i="1"/>
  <c r="A70" i="1"/>
  <c r="A71" i="1"/>
  <c r="A72" i="1"/>
  <c r="A73" i="1"/>
  <c r="A74" i="1"/>
  <c r="A75" i="1"/>
  <c r="B67" i="1"/>
  <c r="B68" i="1"/>
  <c r="B69" i="1"/>
  <c r="B70" i="1"/>
  <c r="B74" i="1"/>
  <c r="B75" i="1"/>
  <c r="K2" i="2"/>
  <c r="M13" i="1"/>
  <c r="M8" i="1"/>
  <c r="M14" i="1"/>
  <c r="B72" i="1" l="1"/>
  <c r="B71" i="1"/>
  <c r="B73" i="1"/>
  <c r="A8" i="1" l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7" i="1"/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61" i="1"/>
  <c r="B60" i="1"/>
  <c r="B64" i="1"/>
  <c r="B56" i="1"/>
  <c r="B59" i="1"/>
  <c r="B58" i="1"/>
  <c r="B62" i="1"/>
  <c r="B63" i="1"/>
  <c r="B65" i="1"/>
  <c r="B57" i="1"/>
  <c r="B7" i="1"/>
  <c r="C69" i="1" l="1"/>
  <c r="C66" i="1"/>
  <c r="C74" i="1"/>
  <c r="C75" i="1"/>
  <c r="C67" i="1"/>
  <c r="C68" i="1"/>
  <c r="C72" i="1"/>
  <c r="C73" i="1"/>
  <c r="C71" i="1"/>
  <c r="C70" i="1"/>
  <c r="C7" i="1"/>
  <c r="C47" i="1"/>
  <c r="C61" i="1"/>
  <c r="C20" i="1"/>
  <c r="C59" i="1"/>
  <c r="C44" i="1"/>
  <c r="C12" i="1"/>
  <c r="C62" i="1"/>
  <c r="C32" i="1"/>
  <c r="C24" i="1"/>
  <c r="C43" i="1"/>
  <c r="C36" i="1"/>
  <c r="C35" i="1"/>
  <c r="C8" i="1"/>
  <c r="C63" i="1"/>
  <c r="C51" i="1"/>
  <c r="C9" i="1"/>
  <c r="C48" i="1"/>
  <c r="C40" i="1"/>
  <c r="C65" i="1"/>
  <c r="C27" i="1"/>
  <c r="C16" i="1"/>
  <c r="C55" i="1"/>
  <c r="C52" i="1"/>
  <c r="C28" i="1"/>
  <c r="C56" i="1"/>
  <c r="C54" i="1"/>
  <c r="C46" i="1"/>
  <c r="C38" i="1"/>
  <c r="C30" i="1"/>
  <c r="C22" i="1"/>
  <c r="C14" i="1"/>
  <c r="C39" i="1"/>
  <c r="C31" i="1"/>
  <c r="C23" i="1"/>
  <c r="C15" i="1"/>
  <c r="C57" i="1"/>
  <c r="C58" i="1"/>
  <c r="C53" i="1"/>
  <c r="C45" i="1"/>
  <c r="C37" i="1"/>
  <c r="C29" i="1"/>
  <c r="C21" i="1"/>
  <c r="C13" i="1"/>
  <c r="C19" i="1"/>
  <c r="C64" i="1"/>
  <c r="C50" i="1"/>
  <c r="C42" i="1"/>
  <c r="C34" i="1"/>
  <c r="C26" i="1"/>
  <c r="C18" i="1"/>
  <c r="C10" i="1"/>
  <c r="C11" i="1"/>
  <c r="C60" i="1"/>
  <c r="C49" i="1"/>
  <c r="C41" i="1"/>
  <c r="C33" i="1"/>
  <c r="C25" i="1"/>
  <c r="C17" i="1"/>
  <c r="G1" i="5"/>
  <c r="G1" i="4"/>
  <c r="G1" i="3"/>
  <c r="H71" i="1" l="1"/>
  <c r="H69" i="1"/>
  <c r="H75" i="1"/>
  <c r="H73" i="1"/>
  <c r="H72" i="1"/>
  <c r="H68" i="1"/>
  <c r="H67" i="1"/>
  <c r="H7" i="1"/>
  <c r="H74" i="1"/>
  <c r="H70" i="1"/>
  <c r="H66" i="1"/>
  <c r="J72" i="1"/>
  <c r="I72" i="1"/>
  <c r="J73" i="1"/>
  <c r="I73" i="1"/>
  <c r="I75" i="1"/>
  <c r="J75" i="1"/>
  <c r="I68" i="1"/>
  <c r="I70" i="1"/>
  <c r="J70" i="1"/>
  <c r="I71" i="1"/>
  <c r="I69" i="1"/>
  <c r="M9" i="1"/>
  <c r="M12" i="1"/>
  <c r="M11" i="1"/>
  <c r="M10" i="1"/>
  <c r="M7" i="1"/>
  <c r="I67" i="1" l="1"/>
  <c r="I74" i="1"/>
  <c r="J66" i="1"/>
  <c r="I66" i="1"/>
  <c r="AB15" i="2"/>
  <c r="AB14" i="2" l="1"/>
  <c r="AA8" i="2"/>
  <c r="AA9" i="2"/>
  <c r="AA10" i="2"/>
  <c r="AA11" i="2"/>
  <c r="AA12" i="2"/>
  <c r="AA13" i="2"/>
  <c r="AA7" i="2"/>
  <c r="AA15" i="2" l="1"/>
  <c r="AA14" i="2"/>
  <c r="H12" i="1" l="1"/>
  <c r="H8" i="1"/>
  <c r="H31" i="1"/>
  <c r="H32" i="1"/>
  <c r="H24" i="1"/>
  <c r="I24" i="1" l="1"/>
  <c r="I8" i="1"/>
  <c r="I32" i="1"/>
  <c r="I31" i="1"/>
  <c r="I12" i="1"/>
  <c r="H21" i="1"/>
  <c r="H23" i="1"/>
  <c r="H42" i="1"/>
  <c r="H29" i="1"/>
  <c r="H35" i="1"/>
  <c r="I29" i="1" l="1"/>
  <c r="I21" i="1"/>
  <c r="I23" i="1"/>
  <c r="I35" i="1"/>
  <c r="I42" i="1"/>
  <c r="H11" i="1"/>
  <c r="H46" i="1"/>
  <c r="I7" i="1"/>
  <c r="H38" i="1"/>
  <c r="H9" i="1"/>
  <c r="I9" i="1" l="1"/>
  <c r="I46" i="1"/>
  <c r="I38" i="1"/>
  <c r="H37" i="1"/>
  <c r="H51" i="1"/>
  <c r="H39" i="1"/>
  <c r="H16" i="1"/>
  <c r="H15" i="1"/>
  <c r="I11" i="1"/>
  <c r="H36" i="1" l="1"/>
  <c r="H19" i="1"/>
  <c r="I39" i="1"/>
  <c r="I51" i="1"/>
  <c r="H28" i="1"/>
  <c r="H48" i="1"/>
  <c r="I15" i="1"/>
  <c r="I37" i="1"/>
  <c r="H47" i="1"/>
  <c r="I16" i="1"/>
  <c r="H10" i="1" l="1"/>
  <c r="I48" i="1"/>
  <c r="I19" i="1"/>
  <c r="H25" i="1"/>
  <c r="H40" i="1"/>
  <c r="H30" i="1"/>
  <c r="I47" i="1"/>
  <c r="I28" i="1"/>
  <c r="H33" i="1"/>
  <c r="I36" i="1"/>
  <c r="H44" i="1" l="1"/>
  <c r="I25" i="1"/>
  <c r="H43" i="1"/>
  <c r="I30" i="1"/>
  <c r="H41" i="1"/>
  <c r="H17" i="1"/>
  <c r="H13" i="1"/>
  <c r="I33" i="1"/>
  <c r="I40" i="1"/>
  <c r="I10" i="1"/>
  <c r="H14" i="1" l="1"/>
  <c r="H20" i="1"/>
  <c r="I13" i="1"/>
  <c r="I43" i="1"/>
  <c r="H26" i="1"/>
  <c r="I17" i="1"/>
  <c r="H49" i="1"/>
  <c r="H27" i="1"/>
  <c r="I41" i="1"/>
  <c r="I44" i="1"/>
  <c r="P14" i="1" l="1"/>
  <c r="H34" i="1"/>
  <c r="H45" i="1"/>
  <c r="I49" i="1"/>
  <c r="H22" i="1"/>
  <c r="I27" i="1"/>
  <c r="I20" i="1"/>
  <c r="H18" i="1"/>
  <c r="H50" i="1"/>
  <c r="I26" i="1"/>
  <c r="I14" i="1"/>
  <c r="P13" i="1" l="1"/>
  <c r="P12" i="1"/>
  <c r="P8" i="1"/>
  <c r="H55" i="1"/>
  <c r="I22" i="1"/>
  <c r="H54" i="1"/>
  <c r="I50" i="1"/>
  <c r="H52" i="1"/>
  <c r="I18" i="1"/>
  <c r="H61" i="1"/>
  <c r="H53" i="1"/>
  <c r="I45" i="1"/>
  <c r="I34" i="1"/>
  <c r="H58" i="1" l="1"/>
  <c r="I54" i="1"/>
  <c r="H64" i="1"/>
  <c r="I53" i="1"/>
  <c r="I61" i="1"/>
  <c r="H56" i="1"/>
  <c r="H60" i="1"/>
  <c r="H59" i="1"/>
  <c r="I52" i="1"/>
  <c r="I55" i="1"/>
  <c r="P10" i="1" l="1"/>
  <c r="P11" i="1"/>
  <c r="I59" i="1"/>
  <c r="H65" i="1"/>
  <c r="I60" i="1"/>
  <c r="I64" i="1"/>
  <c r="H63" i="1"/>
  <c r="H62" i="1"/>
  <c r="H57" i="1"/>
  <c r="I56" i="1"/>
  <c r="I58" i="1"/>
  <c r="P9" i="1" l="1"/>
  <c r="P7" i="1"/>
  <c r="I57" i="1"/>
  <c r="F2" i="1"/>
  <c r="I65" i="1"/>
  <c r="I62" i="1"/>
  <c r="I63" i="1"/>
  <c r="J68" i="1" l="1"/>
  <c r="J69" i="1"/>
  <c r="J71" i="1"/>
  <c r="J67" i="1"/>
  <c r="J74" i="1"/>
  <c r="J65" i="1"/>
  <c r="J52" i="1"/>
  <c r="J57" i="1"/>
  <c r="J63" i="1"/>
  <c r="J62" i="1"/>
  <c r="J8" i="1"/>
  <c r="J12" i="1"/>
  <c r="J39" i="1"/>
  <c r="O13" i="1" s="1"/>
  <c r="J16" i="1"/>
  <c r="J28" i="1"/>
  <c r="J13" i="1"/>
  <c r="J44" i="1"/>
  <c r="J49" i="1"/>
  <c r="O14" i="1" s="1"/>
  <c r="J14" i="1"/>
  <c r="J20" i="1"/>
  <c r="J45" i="1"/>
  <c r="J22" i="1"/>
  <c r="J59" i="1"/>
  <c r="J56" i="1"/>
  <c r="J64" i="1"/>
  <c r="J29" i="1"/>
  <c r="J35" i="1"/>
  <c r="J32" i="1"/>
  <c r="J21" i="1"/>
  <c r="J42" i="1"/>
  <c r="J23" i="1"/>
  <c r="J31" i="1"/>
  <c r="J9" i="1"/>
  <c r="J24" i="1"/>
  <c r="J7" i="1"/>
  <c r="J11" i="1"/>
  <c r="O7" i="1" s="1"/>
  <c r="J38" i="1"/>
  <c r="J46" i="1"/>
  <c r="J51" i="1"/>
  <c r="J37" i="1"/>
  <c r="J15" i="1"/>
  <c r="J19" i="1"/>
  <c r="J10" i="1"/>
  <c r="J47" i="1"/>
  <c r="J40" i="1"/>
  <c r="J48" i="1"/>
  <c r="J36" i="1"/>
  <c r="J33" i="1"/>
  <c r="J25" i="1"/>
  <c r="J41" i="1"/>
  <c r="J17" i="1"/>
  <c r="J30" i="1"/>
  <c r="J43" i="1"/>
  <c r="J27" i="1"/>
  <c r="J26" i="1"/>
  <c r="J50" i="1"/>
  <c r="J18" i="1"/>
  <c r="J34" i="1"/>
  <c r="J61" i="1"/>
  <c r="J54" i="1"/>
  <c r="J55" i="1"/>
  <c r="J53" i="1"/>
  <c r="J60" i="1"/>
  <c r="J58" i="1"/>
  <c r="O42" i="2" l="1"/>
  <c r="M63" i="2"/>
  <c r="O8" i="1"/>
  <c r="S53" i="2"/>
  <c r="R17" i="2"/>
  <c r="S49" i="2"/>
  <c r="M23" i="2"/>
  <c r="N38" i="2"/>
  <c r="R7" i="2"/>
  <c r="O2" i="2"/>
  <c r="M62" i="2"/>
  <c r="S37" i="2"/>
  <c r="N16" i="2"/>
  <c r="N25" i="2"/>
  <c r="N5" i="2"/>
  <c r="Q9" i="2"/>
  <c r="N56" i="2"/>
  <c r="R31" i="2"/>
  <c r="S59" i="2"/>
  <c r="Q29" i="2"/>
  <c r="N13" i="2"/>
  <c r="O51" i="2"/>
  <c r="S52" i="2"/>
  <c r="T18" i="2"/>
  <c r="O19" i="2"/>
  <c r="N24" i="2"/>
  <c r="N44" i="2"/>
  <c r="S55" i="2"/>
  <c r="T48" i="2"/>
  <c r="N41" i="2"/>
  <c r="M33" i="2"/>
  <c r="N50" i="2"/>
  <c r="S50" i="2"/>
  <c r="O10" i="1"/>
  <c r="R49" i="2"/>
  <c r="O12" i="2"/>
  <c r="P12" i="2"/>
  <c r="N12" i="2"/>
  <c r="Q12" i="2"/>
  <c r="R12" i="2"/>
  <c r="S12" i="2"/>
  <c r="M12" i="2"/>
  <c r="T12" i="2"/>
  <c r="O11" i="1"/>
  <c r="T51" i="2"/>
  <c r="O48" i="2"/>
  <c r="S48" i="2"/>
  <c r="O17" i="2"/>
  <c r="Q17" i="2"/>
  <c r="S17" i="2"/>
  <c r="M55" i="2"/>
  <c r="T55" i="2"/>
  <c r="Q55" i="2"/>
  <c r="O55" i="2"/>
  <c r="R55" i="2"/>
  <c r="P55" i="2"/>
  <c r="T21" i="2"/>
  <c r="N21" i="2"/>
  <c r="M21" i="2"/>
  <c r="O21" i="2"/>
  <c r="S21" i="2"/>
  <c r="P21" i="2"/>
  <c r="Q21" i="2"/>
  <c r="R21" i="2"/>
  <c r="Q46" i="2"/>
  <c r="S46" i="2"/>
  <c r="T46" i="2"/>
  <c r="M46" i="2"/>
  <c r="N46" i="2"/>
  <c r="P46" i="2"/>
  <c r="R46" i="2"/>
  <c r="O46" i="2"/>
  <c r="N18" i="2"/>
  <c r="P18" i="2"/>
  <c r="Q18" i="2"/>
  <c r="S18" i="2"/>
  <c r="N54" i="2"/>
  <c r="M54" i="2"/>
  <c r="S54" i="2"/>
  <c r="Q54" i="2"/>
  <c r="R54" i="2"/>
  <c r="T54" i="2"/>
  <c r="O54" i="2"/>
  <c r="P54" i="2"/>
  <c r="O12" i="1"/>
  <c r="B1" i="5"/>
  <c r="B1" i="4"/>
  <c r="O9" i="1"/>
  <c r="B1" i="3"/>
  <c r="G2" i="1"/>
  <c r="M57" i="2" l="1"/>
  <c r="P57" i="2"/>
  <c r="P53" i="2"/>
  <c r="O59" i="2"/>
  <c r="R50" i="2"/>
  <c r="T49" i="2"/>
  <c r="P49" i="2"/>
  <c r="R13" i="2"/>
  <c r="T57" i="2"/>
  <c r="M49" i="2"/>
  <c r="P13" i="2"/>
  <c r="O57" i="2"/>
  <c r="T5" i="2"/>
  <c r="R5" i="2"/>
  <c r="Q57" i="2"/>
  <c r="T23" i="2"/>
  <c r="Q5" i="2"/>
  <c r="N2" i="2"/>
  <c r="Q25" i="2"/>
  <c r="P23" i="2"/>
  <c r="R23" i="2"/>
  <c r="M59" i="2"/>
  <c r="M25" i="2"/>
  <c r="Q53" i="2"/>
  <c r="M53" i="2"/>
  <c r="P17" i="2"/>
  <c r="T53" i="2"/>
  <c r="Q50" i="2"/>
  <c r="N17" i="2"/>
  <c r="O53" i="2"/>
  <c r="M50" i="2"/>
  <c r="M17" i="2"/>
  <c r="N53" i="2"/>
  <c r="P50" i="2"/>
  <c r="T17" i="2"/>
  <c r="R53" i="2"/>
  <c r="T50" i="2"/>
  <c r="O50" i="2"/>
  <c r="T63" i="2"/>
  <c r="P63" i="2"/>
  <c r="Q59" i="2"/>
  <c r="T56" i="2"/>
  <c r="O25" i="2"/>
  <c r="M37" i="2"/>
  <c r="Q28" i="2"/>
  <c r="M56" i="2"/>
  <c r="S22" i="2"/>
  <c r="O56" i="2"/>
  <c r="Q56" i="2"/>
  <c r="N59" i="2"/>
  <c r="M5" i="2"/>
  <c r="T16" i="2"/>
  <c r="S16" i="2"/>
  <c r="P2" i="2"/>
  <c r="P5" i="2"/>
  <c r="T2" i="2"/>
  <c r="O5" i="2"/>
  <c r="S2" i="2"/>
  <c r="M16" i="2"/>
  <c r="S5" i="2"/>
  <c r="P16" i="2"/>
  <c r="Q49" i="2"/>
  <c r="S23" i="2"/>
  <c r="R28" i="2"/>
  <c r="P28" i="2"/>
  <c r="P31" i="2"/>
  <c r="N49" i="2"/>
  <c r="M28" i="2"/>
  <c r="O49" i="2"/>
  <c r="Q31" i="2"/>
  <c r="T7" i="2"/>
  <c r="N8" i="2"/>
  <c r="M58" i="2"/>
  <c r="S14" i="2"/>
  <c r="R6" i="2"/>
  <c r="Q47" i="2"/>
  <c r="R11" i="2"/>
  <c r="M51" i="2"/>
  <c r="P59" i="2"/>
  <c r="S56" i="2"/>
  <c r="R26" i="2"/>
  <c r="T4" i="2"/>
  <c r="N64" i="2"/>
  <c r="R62" i="2"/>
  <c r="T15" i="2"/>
  <c r="S32" i="2"/>
  <c r="R10" i="2"/>
  <c r="R9" i="2"/>
  <c r="O34" i="2"/>
  <c r="P39" i="2"/>
  <c r="T45" i="2"/>
  <c r="O36" i="2"/>
  <c r="S30" i="2"/>
  <c r="Q40" i="2"/>
  <c r="T25" i="2"/>
  <c r="M29" i="2"/>
  <c r="T31" i="2"/>
  <c r="S61" i="2"/>
  <c r="Q7" i="2"/>
  <c r="N52" i="2"/>
  <c r="N67" i="2"/>
  <c r="Q27" i="2"/>
  <c r="Q43" i="2"/>
  <c r="R38" i="2"/>
  <c r="O15" i="1"/>
  <c r="Q61" i="2"/>
  <c r="R29" i="2"/>
  <c r="S31" i="2"/>
  <c r="M40" i="2"/>
  <c r="N39" i="2"/>
  <c r="O9" i="2"/>
  <c r="Q32" i="2"/>
  <c r="O31" i="2"/>
  <c r="Q39" i="2"/>
  <c r="M9" i="2"/>
  <c r="N31" i="2"/>
  <c r="R39" i="2"/>
  <c r="T9" i="2"/>
  <c r="O29" i="2"/>
  <c r="P9" i="2"/>
  <c r="O40" i="2"/>
  <c r="T39" i="2"/>
  <c r="N9" i="2"/>
  <c r="O39" i="2"/>
  <c r="M31" i="2"/>
  <c r="M45" i="2"/>
  <c r="S9" i="2"/>
  <c r="P45" i="2"/>
  <c r="N29" i="2"/>
  <c r="O7" i="2"/>
  <c r="M61" i="2"/>
  <c r="M38" i="2"/>
  <c r="Q38" i="2"/>
  <c r="M27" i="2"/>
  <c r="P43" i="2"/>
  <c r="P38" i="2"/>
  <c r="M43" i="2"/>
  <c r="T38" i="2"/>
  <c r="R47" i="2"/>
  <c r="R67" i="2"/>
  <c r="P52" i="2"/>
  <c r="O38" i="2"/>
  <c r="N27" i="2"/>
  <c r="S38" i="2"/>
  <c r="R43" i="2"/>
  <c r="N58" i="2"/>
  <c r="T43" i="2"/>
  <c r="M11" i="2"/>
  <c r="Q52" i="2"/>
  <c r="R40" i="2"/>
  <c r="S45" i="2"/>
  <c r="P58" i="2"/>
  <c r="Q30" i="2"/>
  <c r="Q58" i="2"/>
  <c r="R45" i="2"/>
  <c r="Q45" i="2"/>
  <c r="N40" i="2"/>
  <c r="R58" i="2"/>
  <c r="N47" i="2"/>
  <c r="O45" i="2"/>
  <c r="T40" i="2"/>
  <c r="R8" i="2"/>
  <c r="O30" i="2"/>
  <c r="O47" i="2"/>
  <c r="M8" i="2"/>
  <c r="N45" i="2"/>
  <c r="S40" i="2"/>
  <c r="Q8" i="2"/>
  <c r="T30" i="2"/>
  <c r="M47" i="2"/>
  <c r="M4" i="2"/>
  <c r="P64" i="2"/>
  <c r="Q64" i="2"/>
  <c r="S64" i="2"/>
  <c r="T8" i="2"/>
  <c r="S58" i="2"/>
  <c r="S29" i="2"/>
  <c r="S43" i="2"/>
  <c r="S47" i="2"/>
  <c r="R64" i="2"/>
  <c r="N61" i="2"/>
  <c r="S67" i="2"/>
  <c r="M52" i="2"/>
  <c r="S8" i="2"/>
  <c r="T58" i="2"/>
  <c r="P29" i="2"/>
  <c r="N43" i="2"/>
  <c r="P47" i="2"/>
  <c r="T61" i="2"/>
  <c r="T64" i="2"/>
  <c r="O61" i="2"/>
  <c r="P67" i="2"/>
  <c r="O58" i="2"/>
  <c r="T29" i="2"/>
  <c r="O43" i="2"/>
  <c r="T47" i="2"/>
  <c r="R61" i="2"/>
  <c r="P61" i="2"/>
  <c r="O64" i="2"/>
  <c r="M64" i="2"/>
  <c r="M67" i="2"/>
  <c r="O67" i="2"/>
  <c r="T67" i="2"/>
  <c r="M65" i="2"/>
  <c r="N65" i="2"/>
  <c r="Q65" i="2"/>
  <c r="T65" i="2"/>
  <c r="P65" i="2"/>
  <c r="O65" i="2"/>
  <c r="S65" i="2"/>
  <c r="R65" i="2"/>
  <c r="P66" i="2"/>
  <c r="S66" i="2"/>
  <c r="N66" i="2"/>
  <c r="Q66" i="2"/>
  <c r="T66" i="2"/>
  <c r="M66" i="2"/>
  <c r="O66" i="2"/>
  <c r="R66" i="2"/>
  <c r="Q67" i="2"/>
  <c r="N62" i="2"/>
  <c r="N55" i="2"/>
  <c r="P8" i="2"/>
  <c r="M39" i="2"/>
  <c r="R59" i="2"/>
  <c r="T10" i="2"/>
  <c r="R16" i="2"/>
  <c r="T27" i="2"/>
  <c r="Q16" i="2"/>
  <c r="N7" i="2"/>
  <c r="P27" i="2"/>
  <c r="P48" i="2"/>
  <c r="O8" i="2"/>
  <c r="R51" i="2"/>
  <c r="S39" i="2"/>
  <c r="T59" i="2"/>
  <c r="O16" i="2"/>
  <c r="M7" i="2"/>
  <c r="P6" i="2"/>
  <c r="P62" i="2"/>
  <c r="R48" i="2"/>
  <c r="P51" i="2"/>
  <c r="S27" i="2"/>
  <c r="O62" i="2"/>
  <c r="S10" i="2"/>
  <c r="N6" i="2"/>
  <c r="T62" i="2"/>
  <c r="M10" i="2"/>
  <c r="O6" i="2"/>
  <c r="Q23" i="2"/>
  <c r="M18" i="2"/>
  <c r="Q13" i="2"/>
  <c r="N28" i="2"/>
  <c r="Q62" i="2"/>
  <c r="O23" i="2"/>
  <c r="R18" i="2"/>
  <c r="M13" i="2"/>
  <c r="M32" i="2"/>
  <c r="P10" i="2"/>
  <c r="R24" i="2"/>
  <c r="M6" i="2"/>
  <c r="S62" i="2"/>
  <c r="N23" i="2"/>
  <c r="O18" i="2"/>
  <c r="S13" i="2"/>
  <c r="T32" i="2"/>
  <c r="R19" i="2"/>
  <c r="P42" i="2"/>
  <c r="T13" i="2"/>
  <c r="R32" i="2"/>
  <c r="P26" i="2"/>
  <c r="T37" i="2"/>
  <c r="Q19" i="2"/>
  <c r="O15" i="2"/>
  <c r="R15" i="2"/>
  <c r="M22" i="2"/>
  <c r="N42" i="2"/>
  <c r="R44" i="2"/>
  <c r="R4" i="2"/>
  <c r="N4" i="2"/>
  <c r="Q37" i="2"/>
  <c r="Q4" i="2"/>
  <c r="P7" i="2"/>
  <c r="Q15" i="2"/>
  <c r="P4" i="2"/>
  <c r="P15" i="2"/>
  <c r="Q26" i="2"/>
  <c r="S4" i="2"/>
  <c r="S19" i="2"/>
  <c r="S7" i="2"/>
  <c r="N15" i="2"/>
  <c r="M42" i="2"/>
  <c r="O4" i="2"/>
  <c r="N19" i="2"/>
  <c r="S15" i="2"/>
  <c r="S42" i="2"/>
  <c r="T44" i="2"/>
  <c r="M15" i="2"/>
  <c r="S44" i="2"/>
  <c r="N22" i="2"/>
  <c r="O13" i="2"/>
  <c r="P40" i="2"/>
  <c r="P32" i="2"/>
  <c r="R2" i="2"/>
  <c r="S34" i="2"/>
  <c r="O10" i="2"/>
  <c r="P37" i="2"/>
  <c r="S57" i="2"/>
  <c r="P24" i="2"/>
  <c r="S36" i="2"/>
  <c r="T6" i="2"/>
  <c r="T42" i="2"/>
  <c r="S25" i="2"/>
  <c r="O32" i="2"/>
  <c r="M2" i="2"/>
  <c r="Q34" i="2"/>
  <c r="Q10" i="2"/>
  <c r="O37" i="2"/>
  <c r="R57" i="2"/>
  <c r="Q24" i="2"/>
  <c r="P36" i="2"/>
  <c r="S6" i="2"/>
  <c r="R42" i="2"/>
  <c r="R25" i="2"/>
  <c r="N32" i="2"/>
  <c r="Q2" i="2"/>
  <c r="N10" i="2"/>
  <c r="N37" i="2"/>
  <c r="N57" i="2"/>
  <c r="M19" i="2"/>
  <c r="N36" i="2"/>
  <c r="Q6" i="2"/>
  <c r="Q42" i="2"/>
  <c r="P25" i="2"/>
  <c r="Q63" i="2"/>
  <c r="M34" i="2"/>
  <c r="R37" i="2"/>
  <c r="O24" i="2"/>
  <c r="P19" i="2"/>
  <c r="N63" i="2"/>
  <c r="S63" i="2"/>
  <c r="O63" i="2"/>
  <c r="R63" i="2"/>
  <c r="Q22" i="2"/>
  <c r="N34" i="2"/>
  <c r="P44" i="2"/>
  <c r="T19" i="2"/>
  <c r="N14" i="2"/>
  <c r="P11" i="2"/>
  <c r="T34" i="2"/>
  <c r="M44" i="2"/>
  <c r="M14" i="2"/>
  <c r="O11" i="2"/>
  <c r="S41" i="2"/>
  <c r="S33" i="2"/>
  <c r="N11" i="2"/>
  <c r="Q51" i="2"/>
  <c r="S28" i="2"/>
  <c r="M24" i="2"/>
  <c r="Q11" i="2"/>
  <c r="N51" i="2"/>
  <c r="O28" i="2"/>
  <c r="T41" i="2"/>
  <c r="T24" i="2"/>
  <c r="T11" i="2"/>
  <c r="S51" i="2"/>
  <c r="T26" i="2"/>
  <c r="T28" i="2"/>
  <c r="Q41" i="2"/>
  <c r="S24" i="2"/>
  <c r="O33" i="2"/>
  <c r="S11" i="2"/>
  <c r="M41" i="2"/>
  <c r="P14" i="2"/>
  <c r="N33" i="2"/>
  <c r="O26" i="2"/>
  <c r="N48" i="2"/>
  <c r="T52" i="2"/>
  <c r="M26" i="2"/>
  <c r="P34" i="2"/>
  <c r="R41" i="2"/>
  <c r="Q44" i="2"/>
  <c r="Q14" i="2"/>
  <c r="T36" i="2"/>
  <c r="R30" i="2"/>
  <c r="R56" i="2"/>
  <c r="T33" i="2"/>
  <c r="T22" i="2"/>
  <c r="O27" i="2"/>
  <c r="M60" i="2"/>
  <c r="Q60" i="2"/>
  <c r="R60" i="2"/>
  <c r="P60" i="2"/>
  <c r="T60" i="2"/>
  <c r="S60" i="2"/>
  <c r="N60" i="2"/>
  <c r="O60" i="2"/>
  <c r="Q48" i="2"/>
  <c r="O52" i="2"/>
  <c r="N26" i="2"/>
  <c r="P41" i="2"/>
  <c r="R14" i="2"/>
  <c r="R36" i="2"/>
  <c r="P30" i="2"/>
  <c r="R33" i="2"/>
  <c r="P22" i="2"/>
  <c r="M48" i="2"/>
  <c r="R52" i="2"/>
  <c r="S26" i="2"/>
  <c r="R34" i="2"/>
  <c r="O41" i="2"/>
  <c r="O44" i="2"/>
  <c r="O14" i="2"/>
  <c r="M36" i="2"/>
  <c r="N30" i="2"/>
  <c r="P56" i="2"/>
  <c r="Q33" i="2"/>
  <c r="O22" i="2"/>
  <c r="R27" i="2"/>
  <c r="T14" i="2"/>
  <c r="Q36" i="2"/>
  <c r="M30" i="2"/>
  <c r="P33" i="2"/>
  <c r="R22" i="2"/>
  <c r="T3" i="2"/>
  <c r="N3" i="2"/>
  <c r="M3" i="2"/>
  <c r="O3" i="2"/>
  <c r="P3" i="2"/>
  <c r="Q3" i="2"/>
  <c r="R3" i="2"/>
  <c r="S3" i="2"/>
  <c r="S20" i="2"/>
  <c r="M20" i="2"/>
  <c r="T20" i="2"/>
  <c r="N20" i="2"/>
  <c r="O20" i="2"/>
  <c r="R20" i="2"/>
  <c r="P20" i="2"/>
  <c r="Q20" i="2"/>
  <c r="M35" i="2"/>
  <c r="S35" i="2"/>
  <c r="O35" i="2"/>
  <c r="N35" i="2"/>
  <c r="P35" i="2"/>
  <c r="T35" i="2"/>
  <c r="Q35" i="2"/>
  <c r="R35" i="2"/>
  <c r="O17" i="1"/>
  <c r="E5" i="3" l="1"/>
  <c r="D11" i="6" s="1"/>
  <c r="A5" i="3"/>
  <c r="A9" i="3" s="1"/>
  <c r="G5" i="3"/>
  <c r="G9" i="3" s="1"/>
  <c r="G5" i="5"/>
  <c r="G9" i="5" s="1"/>
  <c r="E5" i="5"/>
  <c r="E9" i="5" s="1"/>
  <c r="F5" i="4"/>
  <c r="F9" i="4" s="1"/>
  <c r="A5" i="5"/>
  <c r="A9" i="5" s="1"/>
  <c r="F5" i="5"/>
  <c r="F9" i="5" s="1"/>
  <c r="B5" i="5"/>
  <c r="B8" i="6" s="1"/>
  <c r="B5" i="4"/>
  <c r="B9" i="4" s="1"/>
  <c r="C5" i="3"/>
  <c r="C9" i="3" s="1"/>
  <c r="D5" i="5"/>
  <c r="B10" i="6" s="1"/>
  <c r="E5" i="4"/>
  <c r="E9" i="4" s="1"/>
  <c r="D5" i="3"/>
  <c r="D9" i="3" s="1"/>
  <c r="C5" i="5"/>
  <c r="C9" i="5" s="1"/>
  <c r="A5" i="4"/>
  <c r="A9" i="4" s="1"/>
  <c r="B5" i="3"/>
  <c r="B9" i="3" s="1"/>
  <c r="S71" i="2"/>
  <c r="T71" i="2"/>
  <c r="Q71" i="2"/>
  <c r="F5" i="3"/>
  <c r="F9" i="3" s="1"/>
  <c r="O71" i="2"/>
  <c r="P71" i="2"/>
  <c r="C5" i="4"/>
  <c r="C9" i="4" s="1"/>
  <c r="N71" i="2"/>
  <c r="R71" i="2"/>
  <c r="D5" i="4"/>
  <c r="C10" i="6" s="1"/>
  <c r="M71" i="2"/>
  <c r="N70" i="4" l="1"/>
  <c r="N66" i="4"/>
  <c r="N69" i="4"/>
  <c r="N65" i="4"/>
  <c r="N61" i="4"/>
  <c r="N57" i="4"/>
  <c r="N62" i="4"/>
  <c r="N68" i="4"/>
  <c r="N64" i="4"/>
  <c r="N50" i="4"/>
  <c r="N46" i="4"/>
  <c r="N42" i="4"/>
  <c r="N38" i="4"/>
  <c r="N34" i="4"/>
  <c r="N30" i="4"/>
  <c r="N26" i="4"/>
  <c r="N22" i="4"/>
  <c r="N18" i="4"/>
  <c r="N14" i="4"/>
  <c r="N10" i="4"/>
  <c r="N6" i="4"/>
  <c r="N2" i="4"/>
  <c r="N59" i="4"/>
  <c r="N58" i="4"/>
  <c r="N49" i="4"/>
  <c r="N45" i="4"/>
  <c r="N41" i="4"/>
  <c r="N37" i="4"/>
  <c r="N33" i="4"/>
  <c r="N29" i="4"/>
  <c r="N25" i="4"/>
  <c r="N21" i="4"/>
  <c r="N17" i="4"/>
  <c r="N13" i="4"/>
  <c r="N9" i="4"/>
  <c r="N5" i="4"/>
  <c r="N63" i="4"/>
  <c r="N43" i="4"/>
  <c r="N60" i="4"/>
  <c r="N55" i="4"/>
  <c r="N52" i="4"/>
  <c r="N48" i="4"/>
  <c r="N44" i="4"/>
  <c r="N40" i="4"/>
  <c r="N36" i="4"/>
  <c r="N32" i="4"/>
  <c r="N28" i="4"/>
  <c r="N24" i="4"/>
  <c r="N20" i="4"/>
  <c r="N16" i="4"/>
  <c r="N12" i="4"/>
  <c r="N8" i="4"/>
  <c r="N4" i="4"/>
  <c r="N67" i="4"/>
  <c r="N54" i="4"/>
  <c r="N53" i="4"/>
  <c r="N56" i="4"/>
  <c r="N51" i="4"/>
  <c r="N47" i="4"/>
  <c r="N39" i="4"/>
  <c r="N35" i="4"/>
  <c r="N31" i="4"/>
  <c r="N27" i="4"/>
  <c r="N23" i="4"/>
  <c r="N19" i="4"/>
  <c r="N15" i="4"/>
  <c r="N11" i="4"/>
  <c r="N7" i="4"/>
  <c r="N3" i="4"/>
  <c r="L67" i="4"/>
  <c r="L70" i="4"/>
  <c r="L66" i="4"/>
  <c r="L62" i="4"/>
  <c r="L58" i="4"/>
  <c r="L56" i="4"/>
  <c r="L63" i="4"/>
  <c r="L51" i="4"/>
  <c r="L47" i="4"/>
  <c r="L43" i="4"/>
  <c r="L39" i="4"/>
  <c r="L35" i="4"/>
  <c r="L31" i="4"/>
  <c r="L27" i="4"/>
  <c r="L23" i="4"/>
  <c r="L19" i="4"/>
  <c r="L15" i="4"/>
  <c r="L11" i="4"/>
  <c r="L7" i="4"/>
  <c r="L3" i="4"/>
  <c r="L68" i="4"/>
  <c r="L64" i="4"/>
  <c r="L57" i="4"/>
  <c r="L50" i="4"/>
  <c r="L46" i="4"/>
  <c r="L42" i="4"/>
  <c r="L38" i="4"/>
  <c r="L34" i="4"/>
  <c r="L30" i="4"/>
  <c r="L26" i="4"/>
  <c r="L22" i="4"/>
  <c r="L18" i="4"/>
  <c r="L14" i="4"/>
  <c r="L10" i="4"/>
  <c r="L6" i="4"/>
  <c r="L2" i="4"/>
  <c r="L53" i="4"/>
  <c r="L65" i="4"/>
  <c r="L59" i="4"/>
  <c r="L54" i="4"/>
  <c r="L69" i="4"/>
  <c r="L60" i="4"/>
  <c r="L49" i="4"/>
  <c r="L45" i="4"/>
  <c r="L41" i="4"/>
  <c r="L37" i="4"/>
  <c r="L33" i="4"/>
  <c r="L29" i="4"/>
  <c r="L25" i="4"/>
  <c r="L21" i="4"/>
  <c r="L17" i="4"/>
  <c r="L13" i="4"/>
  <c r="L9" i="4"/>
  <c r="L5" i="4"/>
  <c r="L61" i="4"/>
  <c r="L55" i="4"/>
  <c r="L52" i="4"/>
  <c r="L48" i="4"/>
  <c r="L44" i="4"/>
  <c r="L40" i="4"/>
  <c r="L36" i="4"/>
  <c r="L32" i="4"/>
  <c r="L28" i="4"/>
  <c r="L24" i="4"/>
  <c r="L20" i="4"/>
  <c r="L16" i="4"/>
  <c r="L12" i="4"/>
  <c r="L8" i="4"/>
  <c r="L4" i="4"/>
  <c r="Q67" i="5"/>
  <c r="Q63" i="5"/>
  <c r="Q59" i="5"/>
  <c r="Q55" i="5"/>
  <c r="Q51" i="5"/>
  <c r="Q47" i="5"/>
  <c r="Q43" i="5"/>
  <c r="Q39" i="5"/>
  <c r="Q35" i="5"/>
  <c r="Q31" i="5"/>
  <c r="Q27" i="5"/>
  <c r="Q23" i="5"/>
  <c r="Q19" i="5"/>
  <c r="Q15" i="5"/>
  <c r="Q11" i="5"/>
  <c r="Q7" i="5"/>
  <c r="Q3" i="5"/>
  <c r="Q70" i="5"/>
  <c r="Q66" i="5"/>
  <c r="Q62" i="5"/>
  <c r="Q58" i="5"/>
  <c r="Q54" i="5"/>
  <c r="Q50" i="5"/>
  <c r="Q46" i="5"/>
  <c r="Q42" i="5"/>
  <c r="Q38" i="5"/>
  <c r="Q34" i="5"/>
  <c r="Q30" i="5"/>
  <c r="Q26" i="5"/>
  <c r="Q22" i="5"/>
  <c r="Q18" i="5"/>
  <c r="Q14" i="5"/>
  <c r="Q10" i="5"/>
  <c r="Q6" i="5"/>
  <c r="Q2" i="5"/>
  <c r="Q69" i="5"/>
  <c r="Q65" i="5"/>
  <c r="Q61" i="5"/>
  <c r="Q57" i="5"/>
  <c r="Q53" i="5"/>
  <c r="Q49" i="5"/>
  <c r="Q45" i="5"/>
  <c r="Q41" i="5"/>
  <c r="Q37" i="5"/>
  <c r="Q33" i="5"/>
  <c r="Q29" i="5"/>
  <c r="Q25" i="5"/>
  <c r="Q21" i="5"/>
  <c r="Q17" i="5"/>
  <c r="Q13" i="5"/>
  <c r="Q9" i="5"/>
  <c r="Q5" i="5"/>
  <c r="Q64" i="5"/>
  <c r="Q32" i="5"/>
  <c r="Q52" i="5"/>
  <c r="Q20" i="5"/>
  <c r="Q40" i="5"/>
  <c r="Q8" i="5"/>
  <c r="Q60" i="5"/>
  <c r="Q28" i="5"/>
  <c r="Q48" i="5"/>
  <c r="Q16" i="5"/>
  <c r="Q12" i="5"/>
  <c r="Q68" i="5"/>
  <c r="Q36" i="5"/>
  <c r="Q4" i="5"/>
  <c r="Q44" i="5"/>
  <c r="Q56" i="5"/>
  <c r="Q24" i="5"/>
  <c r="L70" i="5"/>
  <c r="L66" i="5"/>
  <c r="L62" i="5"/>
  <c r="L58" i="5"/>
  <c r="L54" i="5"/>
  <c r="L50" i="5"/>
  <c r="L46" i="5"/>
  <c r="L42" i="5"/>
  <c r="L38" i="5"/>
  <c r="L34" i="5"/>
  <c r="L30" i="5"/>
  <c r="L26" i="5"/>
  <c r="L22" i="5"/>
  <c r="L18" i="5"/>
  <c r="L14" i="5"/>
  <c r="L10" i="5"/>
  <c r="L6" i="5"/>
  <c r="L2" i="5"/>
  <c r="L69" i="5"/>
  <c r="L65" i="5"/>
  <c r="L61" i="5"/>
  <c r="L57" i="5"/>
  <c r="L53" i="5"/>
  <c r="L49" i="5"/>
  <c r="L45" i="5"/>
  <c r="L41" i="5"/>
  <c r="L37" i="5"/>
  <c r="L33" i="5"/>
  <c r="L29" i="5"/>
  <c r="L25" i="5"/>
  <c r="L21" i="5"/>
  <c r="L17" i="5"/>
  <c r="L13" i="5"/>
  <c r="L9" i="5"/>
  <c r="L5" i="5"/>
  <c r="L68" i="5"/>
  <c r="L64" i="5"/>
  <c r="L60" i="5"/>
  <c r="L56" i="5"/>
  <c r="L52" i="5"/>
  <c r="L48" i="5"/>
  <c r="L44" i="5"/>
  <c r="L40" i="5"/>
  <c r="L36" i="5"/>
  <c r="L32" i="5"/>
  <c r="L28" i="5"/>
  <c r="L24" i="5"/>
  <c r="L20" i="5"/>
  <c r="L16" i="5"/>
  <c r="L12" i="5"/>
  <c r="L8" i="5"/>
  <c r="L47" i="5"/>
  <c r="L15" i="5"/>
  <c r="L67" i="5"/>
  <c r="L35" i="5"/>
  <c r="L55" i="5"/>
  <c r="L23" i="5"/>
  <c r="L43" i="5"/>
  <c r="L11" i="5"/>
  <c r="L3" i="5"/>
  <c r="L63" i="5"/>
  <c r="L31" i="5"/>
  <c r="L51" i="5"/>
  <c r="L19" i="5"/>
  <c r="L27" i="5"/>
  <c r="L39" i="5"/>
  <c r="L7" i="5"/>
  <c r="L4" i="5"/>
  <c r="L59" i="5"/>
  <c r="O67" i="3"/>
  <c r="O68" i="3"/>
  <c r="O70" i="3"/>
  <c r="O69" i="3"/>
  <c r="Q68" i="4"/>
  <c r="Q64" i="4"/>
  <c r="Q60" i="4"/>
  <c r="Q56" i="4"/>
  <c r="Q52" i="4"/>
  <c r="Q67" i="4"/>
  <c r="Q63" i="4"/>
  <c r="Q59" i="4"/>
  <c r="Q55" i="4"/>
  <c r="Q70" i="4"/>
  <c r="Q66" i="4"/>
  <c r="Q62" i="4"/>
  <c r="Q58" i="4"/>
  <c r="Q54" i="4"/>
  <c r="Q57" i="4"/>
  <c r="Q49" i="4"/>
  <c r="Q45" i="4"/>
  <c r="Q41" i="4"/>
  <c r="Q37" i="4"/>
  <c r="Q33" i="4"/>
  <c r="Q29" i="4"/>
  <c r="Q25" i="4"/>
  <c r="Q21" i="4"/>
  <c r="Q17" i="4"/>
  <c r="Q13" i="4"/>
  <c r="Q9" i="4"/>
  <c r="Q5" i="4"/>
  <c r="Q48" i="4"/>
  <c r="Q44" i="4"/>
  <c r="Q40" i="4"/>
  <c r="Q36" i="4"/>
  <c r="Q32" i="4"/>
  <c r="Q28" i="4"/>
  <c r="Q24" i="4"/>
  <c r="Q20" i="4"/>
  <c r="Q16" i="4"/>
  <c r="Q12" i="4"/>
  <c r="Q8" i="4"/>
  <c r="Q4" i="4"/>
  <c r="Q65" i="4"/>
  <c r="Q69" i="4"/>
  <c r="Q53" i="4"/>
  <c r="Q51" i="4"/>
  <c r="Q47" i="4"/>
  <c r="Q43" i="4"/>
  <c r="Q39" i="4"/>
  <c r="Q35" i="4"/>
  <c r="Q31" i="4"/>
  <c r="Q27" i="4"/>
  <c r="Q23" i="4"/>
  <c r="Q19" i="4"/>
  <c r="Q15" i="4"/>
  <c r="Q11" i="4"/>
  <c r="Q7" i="4"/>
  <c r="Q3" i="4"/>
  <c r="Q61" i="4"/>
  <c r="Q50" i="4"/>
  <c r="Q46" i="4"/>
  <c r="Q42" i="4"/>
  <c r="Q38" i="4"/>
  <c r="Q34" i="4"/>
  <c r="Q30" i="4"/>
  <c r="Q26" i="4"/>
  <c r="Q22" i="4"/>
  <c r="Q18" i="4"/>
  <c r="Q14" i="4"/>
  <c r="Q10" i="4"/>
  <c r="Q6" i="4"/>
  <c r="Q2" i="4"/>
  <c r="P69" i="4"/>
  <c r="P65" i="4"/>
  <c r="P68" i="4"/>
  <c r="P64" i="4"/>
  <c r="P60" i="4"/>
  <c r="P56" i="4"/>
  <c r="P50" i="4"/>
  <c r="P59" i="4"/>
  <c r="P58" i="4"/>
  <c r="P57" i="4"/>
  <c r="P49" i="4"/>
  <c r="P45" i="4"/>
  <c r="P41" i="4"/>
  <c r="P37" i="4"/>
  <c r="P33" i="4"/>
  <c r="P29" i="4"/>
  <c r="P25" i="4"/>
  <c r="P21" i="4"/>
  <c r="P17" i="4"/>
  <c r="P13" i="4"/>
  <c r="P9" i="4"/>
  <c r="P5" i="4"/>
  <c r="P48" i="4"/>
  <c r="P44" i="4"/>
  <c r="P40" i="4"/>
  <c r="P36" i="4"/>
  <c r="P32" i="4"/>
  <c r="P28" i="4"/>
  <c r="P24" i="4"/>
  <c r="P20" i="4"/>
  <c r="P16" i="4"/>
  <c r="P12" i="4"/>
  <c r="P8" i="4"/>
  <c r="P4" i="4"/>
  <c r="P46" i="4"/>
  <c r="P55" i="4"/>
  <c r="P54" i="4"/>
  <c r="P52" i="4"/>
  <c r="P66" i="4"/>
  <c r="P53" i="4"/>
  <c r="P51" i="4"/>
  <c r="P47" i="4"/>
  <c r="P43" i="4"/>
  <c r="P39" i="4"/>
  <c r="P35" i="4"/>
  <c r="P31" i="4"/>
  <c r="P27" i="4"/>
  <c r="P23" i="4"/>
  <c r="P19" i="4"/>
  <c r="P15" i="4"/>
  <c r="P11" i="4"/>
  <c r="P7" i="4"/>
  <c r="P3" i="4"/>
  <c r="P70" i="4"/>
  <c r="P67" i="4"/>
  <c r="P63" i="4"/>
  <c r="P62" i="4"/>
  <c r="P61" i="4"/>
  <c r="P42" i="4"/>
  <c r="P38" i="4"/>
  <c r="P34" i="4"/>
  <c r="P30" i="4"/>
  <c r="P26" i="4"/>
  <c r="P22" i="4"/>
  <c r="P18" i="4"/>
  <c r="P14" i="4"/>
  <c r="P10" i="4"/>
  <c r="P6" i="4"/>
  <c r="P2" i="4"/>
  <c r="P68" i="5"/>
  <c r="P64" i="5"/>
  <c r="P60" i="5"/>
  <c r="P56" i="5"/>
  <c r="P52" i="5"/>
  <c r="P48" i="5"/>
  <c r="P44" i="5"/>
  <c r="P40" i="5"/>
  <c r="P36" i="5"/>
  <c r="P32" i="5"/>
  <c r="P28" i="5"/>
  <c r="P24" i="5"/>
  <c r="P20" i="5"/>
  <c r="P16" i="5"/>
  <c r="P12" i="5"/>
  <c r="P8" i="5"/>
  <c r="P4" i="5"/>
  <c r="P67" i="5"/>
  <c r="P63" i="5"/>
  <c r="P59" i="5"/>
  <c r="P55" i="5"/>
  <c r="P51" i="5"/>
  <c r="P47" i="5"/>
  <c r="P43" i="5"/>
  <c r="P39" i="5"/>
  <c r="P35" i="5"/>
  <c r="P31" i="5"/>
  <c r="P27" i="5"/>
  <c r="P23" i="5"/>
  <c r="P19" i="5"/>
  <c r="P15" i="5"/>
  <c r="P11" i="5"/>
  <c r="P7" i="5"/>
  <c r="P3" i="5"/>
  <c r="P70" i="5"/>
  <c r="P66" i="5"/>
  <c r="P62" i="5"/>
  <c r="P58" i="5"/>
  <c r="P54" i="5"/>
  <c r="P50" i="5"/>
  <c r="P46" i="5"/>
  <c r="P42" i="5"/>
  <c r="P38" i="5"/>
  <c r="P34" i="5"/>
  <c r="P30" i="5"/>
  <c r="P26" i="5"/>
  <c r="P22" i="5"/>
  <c r="P18" i="5"/>
  <c r="P14" i="5"/>
  <c r="P10" i="5"/>
  <c r="P6" i="5"/>
  <c r="P57" i="5"/>
  <c r="P25" i="5"/>
  <c r="P45" i="5"/>
  <c r="P13" i="5"/>
  <c r="P65" i="5"/>
  <c r="P33" i="5"/>
  <c r="P53" i="5"/>
  <c r="P21" i="5"/>
  <c r="P37" i="5"/>
  <c r="P2" i="5"/>
  <c r="P41" i="5"/>
  <c r="P9" i="5"/>
  <c r="P61" i="5"/>
  <c r="P29" i="5"/>
  <c r="P5" i="5"/>
  <c r="P49" i="5"/>
  <c r="P17" i="5"/>
  <c r="P69" i="5"/>
  <c r="N69" i="5"/>
  <c r="N65" i="5"/>
  <c r="N61" i="5"/>
  <c r="N57" i="5"/>
  <c r="N53" i="5"/>
  <c r="N49" i="5"/>
  <c r="N45" i="5"/>
  <c r="N41" i="5"/>
  <c r="N37" i="5"/>
  <c r="N33" i="5"/>
  <c r="N29" i="5"/>
  <c r="N25" i="5"/>
  <c r="N21" i="5"/>
  <c r="N17" i="5"/>
  <c r="N13" i="5"/>
  <c r="N9" i="5"/>
  <c r="N5" i="5"/>
  <c r="N68" i="5"/>
  <c r="N64" i="5"/>
  <c r="N60" i="5"/>
  <c r="N56" i="5"/>
  <c r="N52" i="5"/>
  <c r="N48" i="5"/>
  <c r="N44" i="5"/>
  <c r="N40" i="5"/>
  <c r="N36" i="5"/>
  <c r="N32" i="5"/>
  <c r="N28" i="5"/>
  <c r="N24" i="5"/>
  <c r="N20" i="5"/>
  <c r="N16" i="5"/>
  <c r="N12" i="5"/>
  <c r="N8" i="5"/>
  <c r="N4" i="5"/>
  <c r="N67" i="5"/>
  <c r="N63" i="5"/>
  <c r="N59" i="5"/>
  <c r="N55" i="5"/>
  <c r="N51" i="5"/>
  <c r="N47" i="5"/>
  <c r="N43" i="5"/>
  <c r="N39" i="5"/>
  <c r="N35" i="5"/>
  <c r="N31" i="5"/>
  <c r="N27" i="5"/>
  <c r="N23" i="5"/>
  <c r="N19" i="5"/>
  <c r="N15" i="5"/>
  <c r="N11" i="5"/>
  <c r="N7" i="5"/>
  <c r="N62" i="5"/>
  <c r="N30" i="5"/>
  <c r="N2" i="5"/>
  <c r="N50" i="5"/>
  <c r="N18" i="5"/>
  <c r="N42" i="5"/>
  <c r="N10" i="5"/>
  <c r="N70" i="5"/>
  <c r="N38" i="5"/>
  <c r="N6" i="5"/>
  <c r="N3" i="5"/>
  <c r="N58" i="5"/>
  <c r="N26" i="5"/>
  <c r="N46" i="5"/>
  <c r="N14" i="5"/>
  <c r="N66" i="5"/>
  <c r="N34" i="5"/>
  <c r="N54" i="5"/>
  <c r="N22" i="5"/>
  <c r="R67" i="5"/>
  <c r="R63" i="5"/>
  <c r="R59" i="5"/>
  <c r="R55" i="5"/>
  <c r="R51" i="5"/>
  <c r="R47" i="5"/>
  <c r="R43" i="5"/>
  <c r="R39" i="5"/>
  <c r="R35" i="5"/>
  <c r="R31" i="5"/>
  <c r="R27" i="5"/>
  <c r="R23" i="5"/>
  <c r="R19" i="5"/>
  <c r="R15" i="5"/>
  <c r="R11" i="5"/>
  <c r="R7" i="5"/>
  <c r="R3" i="5"/>
  <c r="R70" i="5"/>
  <c r="R66" i="5"/>
  <c r="R62" i="5"/>
  <c r="R58" i="5"/>
  <c r="R54" i="5"/>
  <c r="R50" i="5"/>
  <c r="R46" i="5"/>
  <c r="R42" i="5"/>
  <c r="R38" i="5"/>
  <c r="R34" i="5"/>
  <c r="R30" i="5"/>
  <c r="R26" i="5"/>
  <c r="R22" i="5"/>
  <c r="R18" i="5"/>
  <c r="R14" i="5"/>
  <c r="R10" i="5"/>
  <c r="R6" i="5"/>
  <c r="R2" i="5"/>
  <c r="R69" i="5"/>
  <c r="R65" i="5"/>
  <c r="R61" i="5"/>
  <c r="R57" i="5"/>
  <c r="R53" i="5"/>
  <c r="R49" i="5"/>
  <c r="R45" i="5"/>
  <c r="R41" i="5"/>
  <c r="R37" i="5"/>
  <c r="R33" i="5"/>
  <c r="R29" i="5"/>
  <c r="R25" i="5"/>
  <c r="R21" i="5"/>
  <c r="R17" i="5"/>
  <c r="R13" i="5"/>
  <c r="R9" i="5"/>
  <c r="R5" i="5"/>
  <c r="R52" i="5"/>
  <c r="R20" i="5"/>
  <c r="R40" i="5"/>
  <c r="R8" i="5"/>
  <c r="R64" i="5"/>
  <c r="R60" i="5"/>
  <c r="R28" i="5"/>
  <c r="R48" i="5"/>
  <c r="R16" i="5"/>
  <c r="R68" i="5"/>
  <c r="R36" i="5"/>
  <c r="R4" i="5"/>
  <c r="R32" i="5"/>
  <c r="R56" i="5"/>
  <c r="R24" i="5"/>
  <c r="R44" i="5"/>
  <c r="R12" i="5"/>
  <c r="N47" i="3"/>
  <c r="N70" i="3"/>
  <c r="N69" i="3"/>
  <c r="N68" i="3"/>
  <c r="R62" i="3"/>
  <c r="R68" i="3"/>
  <c r="R69" i="3"/>
  <c r="R70" i="3"/>
  <c r="Q58" i="3"/>
  <c r="Q69" i="3"/>
  <c r="Q70" i="3"/>
  <c r="Q68" i="3"/>
  <c r="M70" i="4"/>
  <c r="M66" i="4"/>
  <c r="M62" i="4"/>
  <c r="M58" i="4"/>
  <c r="M54" i="4"/>
  <c r="M69" i="4"/>
  <c r="M65" i="4"/>
  <c r="M61" i="4"/>
  <c r="M57" i="4"/>
  <c r="M53" i="4"/>
  <c r="M68" i="4"/>
  <c r="M64" i="4"/>
  <c r="M60" i="4"/>
  <c r="M56" i="4"/>
  <c r="M67" i="4"/>
  <c r="M63" i="4"/>
  <c r="M51" i="4"/>
  <c r="M47" i="4"/>
  <c r="M43" i="4"/>
  <c r="M39" i="4"/>
  <c r="M35" i="4"/>
  <c r="M31" i="4"/>
  <c r="M27" i="4"/>
  <c r="M23" i="4"/>
  <c r="M19" i="4"/>
  <c r="M15" i="4"/>
  <c r="M11" i="4"/>
  <c r="M7" i="4"/>
  <c r="M3" i="4"/>
  <c r="M50" i="4"/>
  <c r="M46" i="4"/>
  <c r="M42" i="4"/>
  <c r="M38" i="4"/>
  <c r="M34" i="4"/>
  <c r="M30" i="4"/>
  <c r="M26" i="4"/>
  <c r="M22" i="4"/>
  <c r="M18" i="4"/>
  <c r="M14" i="4"/>
  <c r="M10" i="4"/>
  <c r="M6" i="4"/>
  <c r="M2" i="4"/>
  <c r="M59" i="4"/>
  <c r="M49" i="4"/>
  <c r="M45" i="4"/>
  <c r="M41" i="4"/>
  <c r="M37" i="4"/>
  <c r="M33" i="4"/>
  <c r="M29" i="4"/>
  <c r="M25" i="4"/>
  <c r="M21" i="4"/>
  <c r="M17" i="4"/>
  <c r="M13" i="4"/>
  <c r="M9" i="4"/>
  <c r="M5" i="4"/>
  <c r="M55" i="4"/>
  <c r="M52" i="4"/>
  <c r="M48" i="4"/>
  <c r="M44" i="4"/>
  <c r="M40" i="4"/>
  <c r="M36" i="4"/>
  <c r="M32" i="4"/>
  <c r="M28" i="4"/>
  <c r="M24" i="4"/>
  <c r="M20" i="4"/>
  <c r="M16" i="4"/>
  <c r="M12" i="4"/>
  <c r="M8" i="4"/>
  <c r="M4" i="4"/>
  <c r="L70" i="3"/>
  <c r="L68" i="3"/>
  <c r="L69" i="3"/>
  <c r="M66" i="3"/>
  <c r="M68" i="3"/>
  <c r="M70" i="3"/>
  <c r="M69" i="3"/>
  <c r="S73" i="2"/>
  <c r="S74" i="2"/>
  <c r="R24" i="3"/>
  <c r="R44" i="3"/>
  <c r="R41" i="3"/>
  <c r="R26" i="3"/>
  <c r="R25" i="3"/>
  <c r="R46" i="3"/>
  <c r="R20" i="3"/>
  <c r="R23" i="3"/>
  <c r="R39" i="3"/>
  <c r="R7" i="3"/>
  <c r="R40" i="3"/>
  <c r="R37" i="3"/>
  <c r="R29" i="3"/>
  <c r="R8" i="3"/>
  <c r="R17" i="3"/>
  <c r="E9" i="3"/>
  <c r="R3" i="3"/>
  <c r="R21" i="3"/>
  <c r="R12" i="3"/>
  <c r="R27" i="3"/>
  <c r="R16" i="3"/>
  <c r="R30" i="3"/>
  <c r="R6" i="3"/>
  <c r="R15" i="3"/>
  <c r="R4" i="3"/>
  <c r="R45" i="3"/>
  <c r="R32" i="3"/>
  <c r="R33" i="3"/>
  <c r="R36" i="3"/>
  <c r="R13" i="3"/>
  <c r="R11" i="3"/>
  <c r="R10" i="3"/>
  <c r="R5" i="3"/>
  <c r="R28" i="3"/>
  <c r="R43" i="3"/>
  <c r="Q61" i="3"/>
  <c r="N62" i="3"/>
  <c r="R56" i="3"/>
  <c r="N67" i="3"/>
  <c r="N58" i="3"/>
  <c r="R64" i="3"/>
  <c r="M52" i="3"/>
  <c r="R65" i="3"/>
  <c r="M62" i="3"/>
  <c r="N60" i="3"/>
  <c r="M59" i="3"/>
  <c r="Q56" i="3"/>
  <c r="M58" i="3"/>
  <c r="R51" i="3"/>
  <c r="Q64" i="3"/>
  <c r="O61" i="3"/>
  <c r="Q62" i="3"/>
  <c r="R60" i="3"/>
  <c r="R47" i="3"/>
  <c r="R59" i="3"/>
  <c r="R66" i="3"/>
  <c r="R58" i="3"/>
  <c r="Q33" i="3"/>
  <c r="Q57" i="3"/>
  <c r="Q48" i="3"/>
  <c r="Q50" i="3"/>
  <c r="Q63" i="3"/>
  <c r="Q49" i="3"/>
  <c r="Q54" i="3"/>
  <c r="Q55" i="3"/>
  <c r="Q53" i="3"/>
  <c r="O57" i="3"/>
  <c r="O63" i="3"/>
  <c r="O55" i="3"/>
  <c r="O49" i="3"/>
  <c r="O50" i="3"/>
  <c r="O53" i="3"/>
  <c r="O48" i="3"/>
  <c r="O54" i="3"/>
  <c r="Q60" i="3"/>
  <c r="Q47" i="3"/>
  <c r="Q59" i="3"/>
  <c r="O56" i="3"/>
  <c r="M67" i="3"/>
  <c r="O51" i="3"/>
  <c r="M64" i="3"/>
  <c r="R52" i="3"/>
  <c r="N61" i="3"/>
  <c r="N65" i="3"/>
  <c r="O47" i="3"/>
  <c r="N66" i="3"/>
  <c r="N56" i="3"/>
  <c r="R67" i="3"/>
  <c r="N51" i="3"/>
  <c r="Q52" i="3"/>
  <c r="M61" i="3"/>
  <c r="O65" i="3"/>
  <c r="O60" i="3"/>
  <c r="O59" i="3"/>
  <c r="O66" i="3"/>
  <c r="M56" i="3"/>
  <c r="Q67" i="3"/>
  <c r="M51" i="3"/>
  <c r="N63" i="3"/>
  <c r="N55" i="3"/>
  <c r="N54" i="3"/>
  <c r="N48" i="3"/>
  <c r="N53" i="3"/>
  <c r="N57" i="3"/>
  <c r="N49" i="3"/>
  <c r="N50" i="3"/>
  <c r="M65" i="3"/>
  <c r="M60" i="3"/>
  <c r="M47" i="3"/>
  <c r="N59" i="3"/>
  <c r="Q66" i="3"/>
  <c r="O64" i="3"/>
  <c r="O52" i="3"/>
  <c r="M55" i="3"/>
  <c r="M54" i="3"/>
  <c r="M48" i="3"/>
  <c r="M53" i="3"/>
  <c r="M57" i="3"/>
  <c r="M49" i="3"/>
  <c r="M50" i="3"/>
  <c r="M63" i="3"/>
  <c r="R34" i="3"/>
  <c r="R54" i="3"/>
  <c r="R53" i="3"/>
  <c r="R48" i="3"/>
  <c r="R50" i="3"/>
  <c r="R55" i="3"/>
  <c r="R63" i="3"/>
  <c r="R57" i="3"/>
  <c r="R49" i="3"/>
  <c r="R61" i="3"/>
  <c r="Q65" i="3"/>
  <c r="O62" i="3"/>
  <c r="O58" i="3"/>
  <c r="Q51" i="3"/>
  <c r="N64" i="3"/>
  <c r="N52" i="3"/>
  <c r="L64" i="3"/>
  <c r="L66" i="3"/>
  <c r="L47" i="3"/>
  <c r="L52" i="3"/>
  <c r="L63" i="3"/>
  <c r="L67" i="3"/>
  <c r="L51" i="3"/>
  <c r="L55" i="3"/>
  <c r="L48" i="3"/>
  <c r="L62" i="3"/>
  <c r="L61" i="3"/>
  <c r="L59" i="3"/>
  <c r="L54" i="3"/>
  <c r="L53" i="3"/>
  <c r="L60" i="3"/>
  <c r="L56" i="3"/>
  <c r="L49" i="3"/>
  <c r="L57" i="3"/>
  <c r="L58" i="3"/>
  <c r="L65" i="3"/>
  <c r="L50" i="3"/>
  <c r="L41" i="3"/>
  <c r="L2" i="3"/>
  <c r="R18" i="3"/>
  <c r="R9" i="3"/>
  <c r="R31" i="3"/>
  <c r="R22" i="3"/>
  <c r="R38" i="3"/>
  <c r="R14" i="3"/>
  <c r="R35" i="3"/>
  <c r="R2" i="3"/>
  <c r="R19" i="3"/>
  <c r="R42" i="3"/>
  <c r="B11" i="6"/>
  <c r="B9" i="5"/>
  <c r="D8" i="6"/>
  <c r="C8" i="6"/>
  <c r="D9" i="6"/>
  <c r="D9" i="5"/>
  <c r="Q25" i="3"/>
  <c r="Q37" i="3"/>
  <c r="C11" i="6"/>
  <c r="Q19" i="3"/>
  <c r="Q40" i="3"/>
  <c r="B9" i="6"/>
  <c r="Q5" i="3"/>
  <c r="Q10" i="3"/>
  <c r="Q2" i="3"/>
  <c r="Q43" i="3"/>
  <c r="L46" i="3"/>
  <c r="L28" i="3"/>
  <c r="L32" i="3"/>
  <c r="L39" i="3"/>
  <c r="L26" i="3"/>
  <c r="L8" i="3"/>
  <c r="L9" i="3"/>
  <c r="L15" i="3"/>
  <c r="L38" i="3"/>
  <c r="L45" i="3"/>
  <c r="L34" i="3"/>
  <c r="L37" i="3"/>
  <c r="L17" i="3"/>
  <c r="L21" i="3"/>
  <c r="L5" i="3"/>
  <c r="L20" i="3"/>
  <c r="L30" i="3"/>
  <c r="L31" i="3"/>
  <c r="L19" i="3"/>
  <c r="L11" i="3"/>
  <c r="L6" i="3"/>
  <c r="L4" i="3"/>
  <c r="L44" i="3"/>
  <c r="L14" i="3"/>
  <c r="L27" i="3"/>
  <c r="L10" i="3"/>
  <c r="L40" i="3"/>
  <c r="L29" i="3"/>
  <c r="L7" i="3"/>
  <c r="L24" i="3"/>
  <c r="L35" i="3"/>
  <c r="L3" i="3"/>
  <c r="L13" i="3"/>
  <c r="Q15" i="3"/>
  <c r="L36" i="3"/>
  <c r="L18" i="3"/>
  <c r="L43" i="3"/>
  <c r="L25" i="3"/>
  <c r="D10" i="6"/>
  <c r="Q28" i="3"/>
  <c r="Q27" i="3"/>
  <c r="Q8" i="3"/>
  <c r="L16" i="3"/>
  <c r="L23" i="3"/>
  <c r="L12" i="3"/>
  <c r="L33" i="3"/>
  <c r="L42" i="3"/>
  <c r="L22" i="3"/>
  <c r="Q12" i="3"/>
  <c r="Q34" i="3"/>
  <c r="Q14" i="3"/>
  <c r="Q9" i="3"/>
  <c r="Q26" i="3"/>
  <c r="Q6" i="3"/>
  <c r="Q16" i="3"/>
  <c r="Q7" i="3"/>
  <c r="Q22" i="3"/>
  <c r="Q32" i="3"/>
  <c r="Q30" i="3"/>
  <c r="Q17" i="3"/>
  <c r="Q20" i="3"/>
  <c r="Q39" i="3"/>
  <c r="Q11" i="3"/>
  <c r="D9" i="4"/>
  <c r="Q3" i="3"/>
  <c r="Q42" i="3"/>
  <c r="Q21" i="3"/>
  <c r="Q38" i="3"/>
  <c r="Q41" i="3"/>
  <c r="Q13" i="3"/>
  <c r="Q18" i="3"/>
  <c r="Q46" i="3"/>
  <c r="Q23" i="3"/>
  <c r="Q44" i="3"/>
  <c r="Q36" i="3"/>
  <c r="Q4" i="3"/>
  <c r="C9" i="6"/>
  <c r="Q24" i="3"/>
  <c r="Q29" i="3"/>
  <c r="Q31" i="3"/>
  <c r="Q35" i="3"/>
  <c r="Q45" i="3"/>
  <c r="G5" i="4"/>
  <c r="G9" i="4" s="1"/>
  <c r="M9" i="3"/>
  <c r="M34" i="3"/>
  <c r="M13" i="3"/>
  <c r="M27" i="3"/>
  <c r="M7" i="3"/>
  <c r="M8" i="3"/>
  <c r="M16" i="3"/>
  <c r="M41" i="3"/>
  <c r="M44" i="3"/>
  <c r="M36" i="3"/>
  <c r="M28" i="3"/>
  <c r="M10" i="3"/>
  <c r="M33" i="3"/>
  <c r="M37" i="3"/>
  <c r="M20" i="3"/>
  <c r="M45" i="3"/>
  <c r="M6" i="3"/>
  <c r="M24" i="3"/>
  <c r="M43" i="3"/>
  <c r="M14" i="3"/>
  <c r="M38" i="3"/>
  <c r="M2" i="3"/>
  <c r="M32" i="3"/>
  <c r="M26" i="3"/>
  <c r="M3" i="3"/>
  <c r="M11" i="3"/>
  <c r="M40" i="3"/>
  <c r="M21" i="3"/>
  <c r="M46" i="3"/>
  <c r="M35" i="3"/>
  <c r="M25" i="3"/>
  <c r="M23" i="3"/>
  <c r="M15" i="3"/>
  <c r="M29" i="3"/>
  <c r="M22" i="3"/>
  <c r="M39" i="3"/>
  <c r="M30" i="3"/>
  <c r="M42" i="3"/>
  <c r="M12" i="3"/>
  <c r="M5" i="3"/>
  <c r="M17" i="3"/>
  <c r="M4" i="3"/>
  <c r="M18" i="3"/>
  <c r="M19" i="3"/>
  <c r="M31" i="3"/>
  <c r="N45" i="3"/>
  <c r="N23" i="3"/>
  <c r="N3" i="3"/>
  <c r="N39" i="3"/>
  <c r="N41" i="3"/>
  <c r="N13" i="3"/>
  <c r="N30" i="3"/>
  <c r="N25" i="3"/>
  <c r="N36" i="3"/>
  <c r="N40" i="3"/>
  <c r="N32" i="3"/>
  <c r="N44" i="3"/>
  <c r="N34" i="3"/>
  <c r="N14" i="3"/>
  <c r="N10" i="3"/>
  <c r="N27" i="3"/>
  <c r="N38" i="3"/>
  <c r="N4" i="3"/>
  <c r="N18" i="3"/>
  <c r="N42" i="3"/>
  <c r="N46" i="3"/>
  <c r="N28" i="3"/>
  <c r="N5" i="3"/>
  <c r="N35" i="3"/>
  <c r="N33" i="3"/>
  <c r="N21" i="3"/>
  <c r="N11" i="3"/>
  <c r="N16" i="3"/>
  <c r="N9" i="3"/>
  <c r="N2" i="3"/>
  <c r="N37" i="3"/>
  <c r="N12" i="3"/>
  <c r="N7" i="3"/>
  <c r="N31" i="3"/>
  <c r="N6" i="3"/>
  <c r="N17" i="3"/>
  <c r="N24" i="3"/>
  <c r="N20" i="3"/>
  <c r="N29" i="3"/>
  <c r="N19" i="3"/>
  <c r="N22" i="3"/>
  <c r="N43" i="3"/>
  <c r="N15" i="3"/>
  <c r="N26" i="3"/>
  <c r="N8" i="3"/>
  <c r="O42" i="3"/>
  <c r="O24" i="3"/>
  <c r="O29" i="3"/>
  <c r="O41" i="3"/>
  <c r="O13" i="3"/>
  <c r="O3" i="3"/>
  <c r="O15" i="3"/>
  <c r="O8" i="3"/>
  <c r="O2" i="3"/>
  <c r="O19" i="3"/>
  <c r="O17" i="3"/>
  <c r="O30" i="3"/>
  <c r="O32" i="3"/>
  <c r="O45" i="3"/>
  <c r="O10" i="3"/>
  <c r="O27" i="3"/>
  <c r="O25" i="3"/>
  <c r="O40" i="3"/>
  <c r="O44" i="3"/>
  <c r="O14" i="3"/>
  <c r="O11" i="3"/>
  <c r="O20" i="3"/>
  <c r="O39" i="3"/>
  <c r="O35" i="3"/>
  <c r="O9" i="3"/>
  <c r="O23" i="3"/>
  <c r="O43" i="3"/>
  <c r="O21" i="3"/>
  <c r="O33" i="3"/>
  <c r="O4" i="3"/>
  <c r="O31" i="3"/>
  <c r="O36" i="3"/>
  <c r="O28" i="3"/>
  <c r="O12" i="3"/>
  <c r="O46" i="3"/>
  <c r="O18" i="3"/>
  <c r="O16" i="3"/>
  <c r="O22" i="3"/>
  <c r="O38" i="3"/>
  <c r="O34" i="3"/>
  <c r="O7" i="3"/>
  <c r="O37" i="3"/>
  <c r="O5" i="3"/>
  <c r="O26" i="3"/>
  <c r="O6" i="3"/>
  <c r="R68" i="4" l="1"/>
  <c r="R67" i="4"/>
  <c r="R63" i="4"/>
  <c r="R59" i="4"/>
  <c r="R55" i="4"/>
  <c r="R64" i="4"/>
  <c r="R58" i="4"/>
  <c r="R57" i="4"/>
  <c r="R45" i="4"/>
  <c r="R48" i="4"/>
  <c r="R44" i="4"/>
  <c r="R40" i="4"/>
  <c r="R36" i="4"/>
  <c r="R32" i="4"/>
  <c r="R28" i="4"/>
  <c r="R24" i="4"/>
  <c r="R20" i="4"/>
  <c r="R16" i="4"/>
  <c r="R12" i="4"/>
  <c r="R8" i="4"/>
  <c r="R4" i="4"/>
  <c r="R65" i="4"/>
  <c r="R69" i="4"/>
  <c r="R60" i="4"/>
  <c r="R54" i="4"/>
  <c r="R53" i="4"/>
  <c r="R52" i="4"/>
  <c r="R51" i="4"/>
  <c r="R47" i="4"/>
  <c r="R43" i="4"/>
  <c r="R39" i="4"/>
  <c r="R35" i="4"/>
  <c r="R31" i="4"/>
  <c r="R27" i="4"/>
  <c r="R23" i="4"/>
  <c r="R19" i="4"/>
  <c r="R15" i="4"/>
  <c r="R11" i="4"/>
  <c r="R7" i="4"/>
  <c r="R3" i="4"/>
  <c r="R66" i="4"/>
  <c r="R61" i="4"/>
  <c r="R49" i="4"/>
  <c r="R70" i="4"/>
  <c r="R62" i="4"/>
  <c r="R50" i="4"/>
  <c r="R46" i="4"/>
  <c r="R42" i="4"/>
  <c r="R38" i="4"/>
  <c r="R34" i="4"/>
  <c r="R30" i="4"/>
  <c r="R26" i="4"/>
  <c r="R22" i="4"/>
  <c r="R18" i="4"/>
  <c r="R14" i="4"/>
  <c r="R10" i="4"/>
  <c r="R6" i="4"/>
  <c r="R2" i="4"/>
  <c r="R56" i="4"/>
  <c r="R41" i="4"/>
  <c r="R37" i="4"/>
  <c r="R33" i="4"/>
  <c r="R29" i="4"/>
  <c r="R25" i="4"/>
  <c r="R21" i="4"/>
  <c r="R17" i="4"/>
  <c r="R13" i="4"/>
  <c r="R9" i="4"/>
  <c r="R5" i="4"/>
  <c r="M69" i="5"/>
  <c r="M65" i="5"/>
  <c r="M61" i="5"/>
  <c r="M57" i="5"/>
  <c r="M53" i="5"/>
  <c r="M49" i="5"/>
  <c r="M45" i="5"/>
  <c r="M41" i="5"/>
  <c r="M37" i="5"/>
  <c r="M33" i="5"/>
  <c r="M29" i="5"/>
  <c r="M25" i="5"/>
  <c r="M21" i="5"/>
  <c r="M17" i="5"/>
  <c r="M13" i="5"/>
  <c r="M9" i="5"/>
  <c r="M5" i="5"/>
  <c r="M68" i="5"/>
  <c r="M64" i="5"/>
  <c r="M60" i="5"/>
  <c r="M56" i="5"/>
  <c r="M52" i="5"/>
  <c r="M48" i="5"/>
  <c r="M44" i="5"/>
  <c r="M40" i="5"/>
  <c r="M36" i="5"/>
  <c r="M32" i="5"/>
  <c r="M28" i="5"/>
  <c r="M24" i="5"/>
  <c r="M20" i="5"/>
  <c r="M16" i="5"/>
  <c r="M12" i="5"/>
  <c r="M8" i="5"/>
  <c r="M4" i="5"/>
  <c r="M67" i="5"/>
  <c r="M63" i="5"/>
  <c r="M59" i="5"/>
  <c r="M55" i="5"/>
  <c r="M51" i="5"/>
  <c r="M47" i="5"/>
  <c r="M43" i="5"/>
  <c r="M39" i="5"/>
  <c r="M35" i="5"/>
  <c r="M31" i="5"/>
  <c r="M27" i="5"/>
  <c r="M23" i="5"/>
  <c r="M19" i="5"/>
  <c r="M15" i="5"/>
  <c r="M11" i="5"/>
  <c r="M7" i="5"/>
  <c r="M3" i="5"/>
  <c r="M42" i="5"/>
  <c r="M10" i="5"/>
  <c r="M22" i="5"/>
  <c r="M62" i="5"/>
  <c r="M30" i="5"/>
  <c r="M2" i="5"/>
  <c r="M50" i="5"/>
  <c r="M18" i="5"/>
  <c r="M70" i="5"/>
  <c r="M38" i="5"/>
  <c r="M6" i="5"/>
  <c r="M58" i="5"/>
  <c r="M26" i="5"/>
  <c r="M46" i="5"/>
  <c r="M14" i="5"/>
  <c r="M54" i="5"/>
  <c r="M66" i="5"/>
  <c r="M34" i="5"/>
  <c r="O69" i="4"/>
  <c r="O65" i="4"/>
  <c r="O61" i="4"/>
  <c r="O57" i="4"/>
  <c r="O53" i="4"/>
  <c r="O68" i="4"/>
  <c r="O64" i="4"/>
  <c r="O60" i="4"/>
  <c r="O56" i="4"/>
  <c r="O52" i="4"/>
  <c r="O67" i="4"/>
  <c r="O63" i="4"/>
  <c r="O59" i="4"/>
  <c r="O55" i="4"/>
  <c r="O50" i="4"/>
  <c r="O46" i="4"/>
  <c r="O42" i="4"/>
  <c r="O38" i="4"/>
  <c r="O34" i="4"/>
  <c r="O30" i="4"/>
  <c r="O26" i="4"/>
  <c r="O22" i="4"/>
  <c r="O18" i="4"/>
  <c r="O14" i="4"/>
  <c r="O10" i="4"/>
  <c r="O6" i="4"/>
  <c r="O2" i="4"/>
  <c r="O70" i="4"/>
  <c r="O62" i="4"/>
  <c r="O58" i="4"/>
  <c r="O49" i="4"/>
  <c r="O45" i="4"/>
  <c r="O41" i="4"/>
  <c r="O37" i="4"/>
  <c r="O33" i="4"/>
  <c r="O29" i="4"/>
  <c r="O25" i="4"/>
  <c r="O21" i="4"/>
  <c r="O17" i="4"/>
  <c r="O13" i="4"/>
  <c r="O9" i="4"/>
  <c r="O5" i="4"/>
  <c r="O48" i="4"/>
  <c r="O44" i="4"/>
  <c r="O40" i="4"/>
  <c r="O36" i="4"/>
  <c r="O32" i="4"/>
  <c r="O28" i="4"/>
  <c r="O24" i="4"/>
  <c r="O20" i="4"/>
  <c r="O16" i="4"/>
  <c r="O12" i="4"/>
  <c r="O8" i="4"/>
  <c r="O4" i="4"/>
  <c r="O54" i="4"/>
  <c r="O66" i="4"/>
  <c r="O51" i="4"/>
  <c r="O47" i="4"/>
  <c r="O43" i="4"/>
  <c r="O39" i="4"/>
  <c r="O35" i="4"/>
  <c r="O31" i="4"/>
  <c r="O27" i="4"/>
  <c r="O23" i="4"/>
  <c r="O19" i="4"/>
  <c r="O15" i="4"/>
  <c r="O11" i="4"/>
  <c r="O7" i="4"/>
  <c r="O3" i="4"/>
  <c r="O68" i="5"/>
  <c r="O64" i="5"/>
  <c r="O60" i="5"/>
  <c r="O56" i="5"/>
  <c r="O52" i="5"/>
  <c r="O48" i="5"/>
  <c r="O44" i="5"/>
  <c r="O40" i="5"/>
  <c r="O36" i="5"/>
  <c r="O32" i="5"/>
  <c r="O28" i="5"/>
  <c r="O24" i="5"/>
  <c r="O20" i="5"/>
  <c r="O16" i="5"/>
  <c r="O12" i="5"/>
  <c r="O8" i="5"/>
  <c r="O4" i="5"/>
  <c r="O67" i="5"/>
  <c r="O63" i="5"/>
  <c r="O59" i="5"/>
  <c r="O55" i="5"/>
  <c r="O51" i="5"/>
  <c r="O47" i="5"/>
  <c r="O43" i="5"/>
  <c r="O39" i="5"/>
  <c r="O35" i="5"/>
  <c r="O31" i="5"/>
  <c r="O27" i="5"/>
  <c r="O23" i="5"/>
  <c r="O19" i="5"/>
  <c r="O15" i="5"/>
  <c r="O11" i="5"/>
  <c r="O7" i="5"/>
  <c r="O3" i="5"/>
  <c r="O70" i="5"/>
  <c r="O66" i="5"/>
  <c r="O62" i="5"/>
  <c r="O58" i="5"/>
  <c r="O54" i="5"/>
  <c r="O50" i="5"/>
  <c r="O46" i="5"/>
  <c r="O42" i="5"/>
  <c r="O38" i="5"/>
  <c r="O34" i="5"/>
  <c r="O30" i="5"/>
  <c r="O26" i="5"/>
  <c r="O22" i="5"/>
  <c r="O18" i="5"/>
  <c r="O14" i="5"/>
  <c r="O10" i="5"/>
  <c r="O6" i="5"/>
  <c r="O2" i="5"/>
  <c r="O69" i="5"/>
  <c r="O37" i="5"/>
  <c r="O5" i="5"/>
  <c r="O57" i="5"/>
  <c r="O25" i="5"/>
  <c r="O49" i="5"/>
  <c r="O45" i="5"/>
  <c r="O13" i="5"/>
  <c r="O65" i="5"/>
  <c r="O33" i="5"/>
  <c r="O53" i="5"/>
  <c r="O21" i="5"/>
  <c r="O41" i="5"/>
  <c r="O9" i="5"/>
  <c r="O61" i="5"/>
  <c r="O29" i="5"/>
  <c r="O17" i="5"/>
  <c r="P50" i="3"/>
  <c r="P69" i="3"/>
  <c r="P70" i="3"/>
  <c r="P68" i="3"/>
  <c r="A13" i="3"/>
  <c r="F13" i="3"/>
  <c r="G13" i="3"/>
  <c r="D13" i="3"/>
  <c r="D18" i="6" s="1"/>
  <c r="I18" i="6" s="1"/>
  <c r="P38" i="3"/>
  <c r="P31" i="3"/>
  <c r="P2" i="3"/>
  <c r="P37" i="3"/>
  <c r="P46" i="3"/>
  <c r="P66" i="3"/>
  <c r="P41" i="3"/>
  <c r="P29" i="3"/>
  <c r="P40" i="3"/>
  <c r="P25" i="3"/>
  <c r="P16" i="3"/>
  <c r="P7" i="3"/>
  <c r="P51" i="3"/>
  <c r="P28" i="3"/>
  <c r="P21" i="3"/>
  <c r="P6" i="3"/>
  <c r="P8" i="3"/>
  <c r="P60" i="3"/>
  <c r="P4" i="3"/>
  <c r="P11" i="3"/>
  <c r="P17" i="3"/>
  <c r="P24" i="3"/>
  <c r="P45" i="3"/>
  <c r="P30" i="3"/>
  <c r="P43" i="3"/>
  <c r="P9" i="3"/>
  <c r="P35" i="3"/>
  <c r="P14" i="3"/>
  <c r="P15" i="3"/>
  <c r="P39" i="3"/>
  <c r="P13" i="3"/>
  <c r="P3" i="3"/>
  <c r="P33" i="3"/>
  <c r="P36" i="3"/>
  <c r="P26" i="3"/>
  <c r="P22" i="3"/>
  <c r="P58" i="3"/>
  <c r="P62" i="3"/>
  <c r="P59" i="3"/>
  <c r="P49" i="3"/>
  <c r="P34" i="3"/>
  <c r="P23" i="3"/>
  <c r="P32" i="3"/>
  <c r="E13" i="3" s="1"/>
  <c r="D19" i="6" s="1"/>
  <c r="I19" i="6" s="1"/>
  <c r="P12" i="3"/>
  <c r="P44" i="3"/>
  <c r="P20" i="3"/>
  <c r="P67" i="3"/>
  <c r="P47" i="3"/>
  <c r="P18" i="3"/>
  <c r="P19" i="3"/>
  <c r="P5" i="3"/>
  <c r="P10" i="3"/>
  <c r="P42" i="3"/>
  <c r="P27" i="3"/>
  <c r="P52" i="3"/>
  <c r="P61" i="3"/>
  <c r="P55" i="3"/>
  <c r="P65" i="3"/>
  <c r="P63" i="3"/>
  <c r="P54" i="3"/>
  <c r="P57" i="3"/>
  <c r="P64" i="3"/>
  <c r="P48" i="3"/>
  <c r="P56" i="3"/>
  <c r="P53" i="3"/>
  <c r="F13" i="4"/>
  <c r="G13" i="5"/>
  <c r="A13" i="5"/>
  <c r="F13" i="5"/>
  <c r="A13" i="4"/>
  <c r="E13" i="5"/>
  <c r="B19" i="6" s="1"/>
  <c r="G19" i="6" s="1"/>
  <c r="E13" i="4"/>
  <c r="C19" i="6" s="1"/>
  <c r="H19" i="6" s="1"/>
  <c r="C13" i="3"/>
  <c r="D17" i="6" s="1"/>
  <c r="I17" i="6" s="1"/>
  <c r="B13" i="3"/>
  <c r="D16" i="6" s="1"/>
  <c r="I16" i="6" s="1"/>
  <c r="C13" i="4"/>
  <c r="C17" i="6" s="1"/>
  <c r="H17" i="6" s="1"/>
  <c r="C13" i="5"/>
  <c r="B17" i="6" s="1"/>
  <c r="G17" i="6" s="1"/>
  <c r="B13" i="4"/>
  <c r="C16" i="6" s="1"/>
  <c r="H16" i="6" s="1"/>
  <c r="G13" i="4" l="1"/>
  <c r="B13" i="5"/>
  <c r="B16" i="6" s="1"/>
  <c r="G16" i="6" s="1"/>
  <c r="D13" i="5"/>
  <c r="B18" i="6" s="1"/>
  <c r="G18" i="6" s="1"/>
  <c r="D13" i="4"/>
  <c r="C18" i="6" s="1"/>
  <c r="H18" i="6" s="1"/>
  <c r="H22" i="6" l="1"/>
</calcChain>
</file>

<file path=xl/sharedStrings.xml><?xml version="1.0" encoding="utf-8"?>
<sst xmlns="http://schemas.openxmlformats.org/spreadsheetml/2006/main" count="328" uniqueCount="125">
  <si>
    <t>Conformer Relative Populations</t>
  </si>
  <si>
    <t>Conv. Hartree to kcal/mol</t>
  </si>
  <si>
    <t>r (in kcal/(K*mol))</t>
  </si>
  <si>
    <t>Temp (K)</t>
  </si>
  <si>
    <t>Sum of Rel Pop</t>
  </si>
  <si>
    <t>Sum of Weights</t>
  </si>
  <si>
    <t>Energy (hartrees)</t>
  </si>
  <si>
    <t>Energy (kcal)</t>
  </si>
  <si>
    <t>Rel E</t>
  </si>
  <si>
    <t>Gibbs Energy (hartree)</t>
  </si>
  <si>
    <t>Conformer</t>
  </si>
  <si>
    <t>Classification</t>
  </si>
  <si>
    <t>Rotamer</t>
  </si>
  <si>
    <t>rel G</t>
  </si>
  <si>
    <t>rel Pop</t>
  </si>
  <si>
    <t>weight</t>
  </si>
  <si>
    <t>Notes</t>
  </si>
  <si>
    <t>4H6</t>
  </si>
  <si>
    <t>6H4</t>
  </si>
  <si>
    <t>5C12</t>
  </si>
  <si>
    <t>12C5</t>
  </si>
  <si>
    <t>Boltzmann Contribution</t>
  </si>
  <si>
    <t>Average E</t>
  </si>
  <si>
    <t xml:space="preserve">Conf2   </t>
  </si>
  <si>
    <t xml:space="preserve">Conf3   </t>
  </si>
  <si>
    <t xml:space="preserve">Conf4   </t>
  </si>
  <si>
    <t xml:space="preserve">Conf6   </t>
  </si>
  <si>
    <t xml:space="preserve">Conf7   </t>
  </si>
  <si>
    <t xml:space="preserve">Conf8   </t>
  </si>
  <si>
    <t xml:space="preserve">Conf9   </t>
  </si>
  <si>
    <t xml:space="preserve">Conf15   </t>
  </si>
  <si>
    <t xml:space="preserve">Conf16   </t>
  </si>
  <si>
    <t xml:space="preserve">Conf17   </t>
  </si>
  <si>
    <t xml:space="preserve">Conf19   </t>
  </si>
  <si>
    <t xml:space="preserve">Conf20   </t>
  </si>
  <si>
    <t xml:space="preserve">Conf21   </t>
  </si>
  <si>
    <t xml:space="preserve">Conf24   </t>
  </si>
  <si>
    <t xml:space="preserve">Conf26   </t>
  </si>
  <si>
    <t xml:space="preserve">Conf27   </t>
  </si>
  <si>
    <t xml:space="preserve">Conf30   </t>
  </si>
  <si>
    <t xml:space="preserve">Conf34   </t>
  </si>
  <si>
    <t xml:space="preserve">Conf38   </t>
  </si>
  <si>
    <t xml:space="preserve">Conf39   </t>
  </si>
  <si>
    <t xml:space="preserve">Conf41   </t>
  </si>
  <si>
    <t xml:space="preserve">Conf48   </t>
  </si>
  <si>
    <t xml:space="preserve">Conf57   </t>
  </si>
  <si>
    <t xml:space="preserve">Conf59   </t>
  </si>
  <si>
    <t xml:space="preserve">Conf72   </t>
  </si>
  <si>
    <t xml:space="preserve">Conf73   </t>
  </si>
  <si>
    <t xml:space="preserve">Conf76   </t>
  </si>
  <si>
    <t xml:space="preserve">Conf78   </t>
  </si>
  <si>
    <t xml:space="preserve">Conf86   </t>
  </si>
  <si>
    <t xml:space="preserve">Conf103   </t>
  </si>
  <si>
    <t xml:space="preserve">Conf109   </t>
  </si>
  <si>
    <t xml:space="preserve">Conf123   </t>
  </si>
  <si>
    <t xml:space="preserve">Conf128   </t>
  </si>
  <si>
    <t xml:space="preserve">Conf135   </t>
  </si>
  <si>
    <t xml:space="preserve">Conf142   </t>
  </si>
  <si>
    <t xml:space="preserve">Conf143   </t>
  </si>
  <si>
    <t xml:space="preserve">Conf144   </t>
  </si>
  <si>
    <t xml:space="preserve">Conf145   </t>
  </si>
  <si>
    <t xml:space="preserve">Conf166   </t>
  </si>
  <si>
    <t xml:space="preserve">Conf173   </t>
  </si>
  <si>
    <t xml:space="preserve">Conf193   </t>
  </si>
  <si>
    <t xml:space="preserve">Conf215   </t>
  </si>
  <si>
    <t xml:space="preserve">Conf241   </t>
  </si>
  <si>
    <t xml:space="preserve">Conf278   </t>
  </si>
  <si>
    <t>J1,2</t>
  </si>
  <si>
    <t>J2,3</t>
  </si>
  <si>
    <t>J34</t>
  </si>
  <si>
    <t>J45</t>
  </si>
  <si>
    <t>J56</t>
  </si>
  <si>
    <t>J67</t>
  </si>
  <si>
    <t>J77'</t>
  </si>
  <si>
    <t>J67'</t>
  </si>
  <si>
    <t>classification</t>
  </si>
  <si>
    <t>Column1</t>
  </si>
  <si>
    <t>Sum of Chair Weights</t>
  </si>
  <si>
    <t>Column2</t>
  </si>
  <si>
    <t>J1,23</t>
  </si>
  <si>
    <t>J2,34</t>
  </si>
  <si>
    <t>J345</t>
  </si>
  <si>
    <t>J456</t>
  </si>
  <si>
    <t>J567</t>
  </si>
  <si>
    <t>J678</t>
  </si>
  <si>
    <t>J67'9</t>
  </si>
  <si>
    <t>J77'10</t>
  </si>
  <si>
    <t>RMSD</t>
  </si>
  <si>
    <t>Exp (Hz)</t>
  </si>
  <si>
    <t>DFT (Hz)</t>
  </si>
  <si>
    <t>Scaled DFT (Hz)</t>
  </si>
  <si>
    <t>weighted</t>
  </si>
  <si>
    <t>Average</t>
  </si>
  <si>
    <t>SdDev</t>
  </si>
  <si>
    <t>J23</t>
  </si>
  <si>
    <t>SD</t>
  </si>
  <si>
    <t xml:space="preserve">Conf14   </t>
  </si>
  <si>
    <t xml:space="preserve">Conf125   </t>
  </si>
  <si>
    <t xml:space="preserve">Conf23   </t>
  </si>
  <si>
    <t xml:space="preserve">Conf45   </t>
  </si>
  <si>
    <t xml:space="preserve">Conf104   </t>
  </si>
  <si>
    <t xml:space="preserve">Conf106   </t>
  </si>
  <si>
    <t xml:space="preserve">Conf107   </t>
  </si>
  <si>
    <t xml:space="preserve">Conf197   </t>
  </si>
  <si>
    <t xml:space="preserve">Conf208   </t>
  </si>
  <si>
    <t xml:space="preserve">Conf212   </t>
  </si>
  <si>
    <t xml:space="preserve">Conf219   </t>
  </si>
  <si>
    <t xml:space="preserve">Conf220   </t>
  </si>
  <si>
    <t xml:space="preserve">Conf272   </t>
  </si>
  <si>
    <t xml:space="preserve">Conf276   </t>
  </si>
  <si>
    <t xml:space="preserve">Conf283   </t>
  </si>
  <si>
    <t xml:space="preserve">Conf290   </t>
  </si>
  <si>
    <t xml:space="preserve">Conf333   </t>
  </si>
  <si>
    <t xml:space="preserve">Conf373   </t>
  </si>
  <si>
    <t>125B</t>
  </si>
  <si>
    <t xml:space="preserve">Conf22   </t>
  </si>
  <si>
    <t xml:space="preserve">Conf33   </t>
  </si>
  <si>
    <t xml:space="preserve">Conf94   </t>
  </si>
  <si>
    <t xml:space="preserve">Conf101   </t>
  </si>
  <si>
    <t xml:space="preserve">Conf136   </t>
  </si>
  <si>
    <t xml:space="preserve">Conf191   </t>
  </si>
  <si>
    <t xml:space="preserve">Conf396   </t>
  </si>
  <si>
    <t>45TH</t>
  </si>
  <si>
    <t>56TH</t>
  </si>
  <si>
    <t>TH45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</si>
</sst>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B0F0"/>
      <name val="Arial"/>
      <family val="2"/>
    </font>
    <font>
      <sz val="8"/>
      <name val="Calibri"/>
      <family val="2"/>
      <scheme val="minor"/>
    </font>
    <font>
      <sz val="10"/>
      <color rgb="FF000000"/>
      <name val="Lucida Console"/>
      <family val="3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NumberFormat="1"/>
    <xf numFmtId="0" fontId="0" fillId="0" borderId="1" xfId="0" applyBorder="1"/>
    <xf numFmtId="2" fontId="0" fillId="0" borderId="0" xfId="0" applyNumberFormat="1"/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0" xfId="0" applyFont="1"/>
    <xf numFmtId="164" fontId="0" fillId="0" borderId="0" xfId="0" applyNumberFormat="1"/>
    <xf numFmtId="0" fontId="0" fillId="0" borderId="1" xfId="0" applyFont="1" applyBorder="1"/>
    <xf numFmtId="0" fontId="0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NumberFormat="1" applyFont="1"/>
  </cellXfs>
  <cellStyles count="1">
    <cellStyle name="Normal" xfId="0" builtinId="0"/>
  </cellStyles>
  <dxfs count="18">
    <dxf>
      <font>
        <color rgb="FF006100"/>
      </font>
      <fill>
        <patternFill>
          <bgColor rgb="FFC6EF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000"/>
    </dxf>
    <dxf>
      <numFmt numFmtId="164" formatCode="0.0000"/>
    </dxf>
    <dxf>
      <numFmt numFmtId="164" formatCode="0.0000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Boltzmann</a:t>
            </a:r>
            <a:r>
              <a:rPr lang="en-US" baseline="0"/>
              <a:t> Distribution of Mannose-based Oxepine in Chloroform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DED-4924-AC9A-58265F8E50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DED-4924-AC9A-58265F8E50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DED-4924-AC9A-58265F8E50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DED-4924-AC9A-58265F8E505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DED-4924-AC9A-58265F8E505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856-4BA8-81EC-29EBBEC6FE3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856-4BA8-81EC-29EBBEC6FE3E}"/>
              </c:ext>
            </c:extLst>
          </c:dPt>
          <c:dLbls>
            <c:dLbl>
              <c:idx val="4"/>
              <c:layout>
                <c:manualLayout>
                  <c:x val="2.2405074365704287E-2"/>
                  <c:y val="5.50621172353455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DED-4924-AC9A-58265F8E50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chloroform!$N$7:$N$13</c:f>
              <c:strCache>
                <c:ptCount val="7"/>
                <c:pt idx="0">
                  <c:v>4H6</c:v>
                </c:pt>
                <c:pt idx="1">
                  <c:v>45TH</c:v>
                </c:pt>
                <c:pt idx="2">
                  <c:v>5C12</c:v>
                </c:pt>
                <c:pt idx="3">
                  <c:v>56TH</c:v>
                </c:pt>
                <c:pt idx="4">
                  <c:v>12C5</c:v>
                </c:pt>
                <c:pt idx="5">
                  <c:v>6H4</c:v>
                </c:pt>
                <c:pt idx="6">
                  <c:v>TH45</c:v>
                </c:pt>
              </c:strCache>
            </c:strRef>
          </c:cat>
          <c:val>
            <c:numRef>
              <c:f>chloroform!$O$7:$O$13</c:f>
              <c:numCache>
                <c:formatCode>General</c:formatCode>
                <c:ptCount val="7"/>
                <c:pt idx="0">
                  <c:v>0.75453566509837044</c:v>
                </c:pt>
                <c:pt idx="1">
                  <c:v>0.14153113259337213</c:v>
                </c:pt>
                <c:pt idx="2">
                  <c:v>7.87330081948239E-2</c:v>
                </c:pt>
                <c:pt idx="3">
                  <c:v>1.6117057492936022E-2</c:v>
                </c:pt>
                <c:pt idx="4">
                  <c:v>4.3480673687499556E-3</c:v>
                </c:pt>
                <c:pt idx="5">
                  <c:v>4.6180890925490289E-3</c:v>
                </c:pt>
                <c:pt idx="6">
                  <c:v>1.1698015919896236E-4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7-4FFD-BFD3-5EBF4F45B71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44203849518811"/>
          <c:y val="0.15804357904496988"/>
          <c:w val="0.89655796150481193"/>
          <c:h val="0.7204994542580647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chloroform!$N$7:$N$12</c:f>
              <c:strCache>
                <c:ptCount val="6"/>
                <c:pt idx="0">
                  <c:v>4H6</c:v>
                </c:pt>
                <c:pt idx="1">
                  <c:v>45TH</c:v>
                </c:pt>
                <c:pt idx="2">
                  <c:v>5C12</c:v>
                </c:pt>
                <c:pt idx="3">
                  <c:v>56TH</c:v>
                </c:pt>
                <c:pt idx="4">
                  <c:v>12C5</c:v>
                </c:pt>
                <c:pt idx="5">
                  <c:v>6H4</c:v>
                </c:pt>
              </c:strCache>
            </c:strRef>
          </c:cat>
          <c:val>
            <c:numRef>
              <c:f>chloroform!$P$7:$P$12</c:f>
              <c:numCache>
                <c:formatCode>General</c:formatCode>
                <c:ptCount val="6"/>
                <c:pt idx="0">
                  <c:v>1.9608587870264755</c:v>
                </c:pt>
                <c:pt idx="1">
                  <c:v>3.109619181447973</c:v>
                </c:pt>
                <c:pt idx="2">
                  <c:v>2.9968329527394171</c:v>
                </c:pt>
                <c:pt idx="3">
                  <c:v>2.8468703603915251</c:v>
                </c:pt>
                <c:pt idx="4">
                  <c:v>3.9676955961622298</c:v>
                </c:pt>
                <c:pt idx="5">
                  <c:v>3.853762575502818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20-4F27-8A67-3CE97FF56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927360"/>
        <c:axId val="159401408"/>
      </c:lineChart>
      <c:catAx>
        <c:axId val="17092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01408"/>
        <c:crosses val="autoZero"/>
        <c:auto val="1"/>
        <c:lblAlgn val="ctr"/>
        <c:lblOffset val="100"/>
        <c:noMultiLvlLbl val="0"/>
      </c:catAx>
      <c:valAx>
        <c:axId val="15940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92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Populations</a:t>
            </a:r>
            <a:r>
              <a:rPr lang="en-US" baseline="0"/>
              <a:t> in Solution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C-4E7D-BC79-5900030166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C-4E7D-BC79-59000301665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C-4E7D-BC79-5900030166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Sheet6!$M$9:$M$11</c:f>
              <c:strCache>
                <c:ptCount val="3"/>
                <c:pt idx="0">
                  <c:v>4H6</c:v>
                </c:pt>
                <c:pt idx="1">
                  <c:v>5C12</c:v>
                </c:pt>
                <c:pt idx="2">
                  <c:v>45TH</c:v>
                </c:pt>
              </c:strCache>
            </c:strRef>
          </c:cat>
          <c:val>
            <c:numRef>
              <c:f>Sheet6!$N$9:$N$11</c:f>
              <c:numCache>
                <c:formatCode>General</c:formatCode>
                <c:ptCount val="3"/>
                <c:pt idx="0">
                  <c:v>0.55130000000000001</c:v>
                </c:pt>
                <c:pt idx="1">
                  <c:v>0.25869999999999999</c:v>
                </c:pt>
                <c:pt idx="2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4-4B7E-84DF-1A0D32F9891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205740</xdr:colOff>
      <xdr:row>19</xdr:row>
      <xdr:rowOff>0</xdr:rowOff>
    </xdr:from>
    <xdr:to>
      <xdr:col>19</xdr:col>
      <xdr:colOff>510540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D88416-F6C6-4E8B-BF60-08E01D1EC4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361950</xdr:colOff>
      <xdr:row>0</xdr:row>
      <xdr:rowOff>181927</xdr:rowOff>
    </xdr:from>
    <xdr:to>
      <xdr:col>24</xdr:col>
      <xdr:colOff>57150</xdr:colOff>
      <xdr:row>16</xdr:row>
      <xdr:rowOff>20002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62B5B3-B473-4A4D-BD21-F0490023D8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280987</xdr:colOff>
      <xdr:row>14</xdr:row>
      <xdr:rowOff>98107</xdr:rowOff>
    </xdr:from>
    <xdr:to>
      <xdr:col>21</xdr:col>
      <xdr:colOff>585787</xdr:colOff>
      <xdr:row>28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9369B8-BB4E-49C6-825A-729EE5C9DA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0F378A-7FF5-477E-9F58-AA57ACA0A4EA}" name="Table1" displayName="Table1" ref="A6:K75" totalsRowShown="0">
  <autoFilter ref="A6:K75" xr:uid="{D2222DA1-7940-4CAF-B639-69BE9EB6EC23}"/>
  <sortState xmlns:xlrd2="http://schemas.microsoft.com/office/spreadsheetml/2017/richdata2" ref="A7:K72">
    <sortCondition ref="E6:E72"/>
  </sortState>
  <tableColumns count="11">
    <tableColumn id="1" xr3:uid="{FEE07942-27E5-496C-9CE0-57C74379E5FA}" name="Energy (hartrees)">
      <calculatedColumnFormula>Table1[[#This Row],[Gibbs Energy (hartree)]]</calculatedColumnFormula>
    </tableColumn>
    <tableColumn id="2" xr3:uid="{63BAC07D-9EEB-4F2C-8811-E61BDC1C21EA}" name="Energy (kcal)">
      <calculatedColumnFormula>Table1[[#This Row],[Energy (hartrees)]]*$C$2</calculatedColumnFormula>
    </tableColumn>
    <tableColumn id="3" xr3:uid="{12894FA1-734B-45A6-9EF2-5148A247DA7B}" name="Rel E" dataDxfId="14">
      <calculatedColumnFormula>Table1[[#This Row],[Energy (kcal)]]-MIN(Table1[Energy (kcal)])</calculatedColumnFormula>
    </tableColumn>
    <tableColumn id="4" xr3:uid="{54C0F622-FA42-47B1-9E9E-743875831B4F}" name="Gibbs Energy (hartree)" dataDxfId="13"/>
    <tableColumn id="5" xr3:uid="{BDB0ECDE-37A8-4A43-A3CD-DD9087669A2C}" name="Conformer" dataCellStyle="Normal"/>
    <tableColumn id="6" xr3:uid="{21628E59-03EB-4814-A6DC-64A3C143958C}" name="Classification"/>
    <tableColumn id="7" xr3:uid="{AA0E77B5-E211-487E-B49A-CB97CCF7EB4C}" name="Rotamer"/>
    <tableColumn id="8" xr3:uid="{C8505BC0-77EE-412B-881D-63638FDCF736}" name="rel G" dataDxfId="12">
      <calculatedColumnFormula>Table1[[#This Row],[Rel E]]</calculatedColumnFormula>
    </tableColumn>
    <tableColumn id="9" xr3:uid="{EBC562E8-B9B1-406E-97BC-1FF976A70B16}" name="rel Pop" dataDxfId="11">
      <calculatedColumnFormula>IF(Table1[[#This Row],[rel G]]&lt;5,EXP(-H7/(D$2*E$2)),0)</calculatedColumnFormula>
    </tableColumn>
    <tableColumn id="10" xr3:uid="{7DDF65B3-2008-4EF1-B471-33FC09D4BF35}" name="weight" dataDxfId="10">
      <calculatedColumnFormula>IF(Table1[[#This Row],[rel G]]&lt;5,I7/$F$2,0)</calculatedColumnFormula>
    </tableColumn>
    <tableColumn id="11" xr3:uid="{89EB24DF-08B1-411D-9901-685CD4A89140}" name="Note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20E235-C4B7-40BE-BA2F-32B5A8BAB326}" name="Table2" displayName="Table2" ref="A1:T70" totalsRowShown="0">
  <autoFilter ref="A1:T70" xr:uid="{80F3E59D-79C5-4B7B-9568-C30BCF944036}"/>
  <tableColumns count="20">
    <tableColumn id="1" xr3:uid="{2198BB88-6605-48FF-B11D-ABBAC4DF32C9}" name="Column1"/>
    <tableColumn id="2" xr3:uid="{ECA138EF-DFE0-4FA2-8395-F326AA2F3EC0}" name="J1,2"/>
    <tableColumn id="3" xr3:uid="{B9719F06-DA97-4A47-A1D7-7DB788F1468E}" name="J2,3"/>
    <tableColumn id="4" xr3:uid="{433F98E4-42A0-4622-9B85-6ED7E3978782}" name="J34"/>
    <tableColumn id="5" xr3:uid="{0D07CCDF-37DB-4EE9-8CAB-117F3F1CC3F9}" name="J45"/>
    <tableColumn id="6" xr3:uid="{35492A16-3276-4B47-BBDF-0FEDEEFEA748}" name="J56"/>
    <tableColumn id="7" xr3:uid="{CAAE7FE1-3744-44F8-AF5E-3389DFAB73C4}" name="J67"/>
    <tableColumn id="8" xr3:uid="{9D491360-065E-4CBB-9EB5-7812C352DDD6}" name="J77'"/>
    <tableColumn id="9" xr3:uid="{16E42B76-E02F-4E7A-B038-1A1894011742}" name="J67'"/>
    <tableColumn id="10" xr3:uid="{A5ABFF3F-34FD-4AA6-A6B0-B78B399F171C}" name="weight" dataDxfId="9">
      <calculatedColumnFormula>chloroform!J7</calculatedColumnFormula>
    </tableColumn>
    <tableColumn id="11" xr3:uid="{F5D86611-FEEF-4B78-86A2-EDD564E6E521}" name="classification">
      <calculatedColumnFormula>chloroform!F7</calculatedColumnFormula>
    </tableColumn>
    <tableColumn id="12" xr3:uid="{BA3D2A2B-257F-4BF1-8E9D-90AD4EBF46A9}" name="Column2"/>
    <tableColumn id="13" xr3:uid="{5F435E63-4F32-4514-99E6-0CED455594F8}" name="J1,23">
      <calculatedColumnFormula>0.9155*Table2[[#This Row],[J1,2]]*Table2[[#This Row],[weight]]</calculatedColumnFormula>
    </tableColumn>
    <tableColumn id="14" xr3:uid="{D5A178FE-CB99-47E9-8362-119DC69FD52C}" name="J2,34">
      <calculatedColumnFormula>0.9155*Table2[[#This Row],[J2,3]]*Table2[[#This Row],[weight]]</calculatedColumnFormula>
    </tableColumn>
    <tableColumn id="15" xr3:uid="{8DCD0B45-C5C6-4C5E-B29A-BB6B1BB901BE}" name="J345">
      <calculatedColumnFormula>0.9155*Table2[[#This Row],[J34]]*Table2[[#This Row],[weight]]</calculatedColumnFormula>
    </tableColumn>
    <tableColumn id="16" xr3:uid="{38299B99-8E91-4F27-81EB-5940CBE11CD5}" name="J456">
      <calculatedColumnFormula>0.9155*Table2[[#This Row],[J45]]*Table2[[#This Row],[weight]]</calculatedColumnFormula>
    </tableColumn>
    <tableColumn id="17" xr3:uid="{ABCC17F3-244D-4473-80F1-D83E9E5DB0D9}" name="J567">
      <calculatedColumnFormula>0.9155*Table2[[#This Row],[J56]]*Table2[[#This Row],[weight]]</calculatedColumnFormula>
    </tableColumn>
    <tableColumn id="18" xr3:uid="{31B4933A-A11E-45C2-895C-F766E90CEA50}" name="J678">
      <calculatedColumnFormula>0.9155*Table2[[#This Row],[J67]]*Table2[[#This Row],[weight]]</calculatedColumnFormula>
    </tableColumn>
    <tableColumn id="19" xr3:uid="{91FA6AC6-01C4-442E-910F-0358D29D2E39}" name="J67'9">
      <calculatedColumnFormula>0.9155*Table2[[#This Row],[J67'']]*Table2[[#This Row],[weight]]</calculatedColumnFormula>
    </tableColumn>
    <tableColumn id="20" xr3:uid="{5A98559C-FB8A-42AD-8563-88BCBF6953A2}" name="J77'10">
      <calculatedColumnFormula>0.9155*Table2[[#This Row],[J77'']]*Table2[[#This Row],[weight]]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C9683B3-1EAE-460D-8A60-9BB936A5D5B7}" name="Table3" displayName="Table3" ref="K1:T70" totalsRowShown="0">
  <autoFilter ref="K1:T70" xr:uid="{D8941E95-9795-4A93-81A8-7906E931066E}"/>
  <tableColumns count="10">
    <tableColumn id="1" xr3:uid="{502316A8-00C9-483C-A55E-042B44DAC480}" name="Column1">
      <calculatedColumnFormula>chloroform!E7</calculatedColumnFormula>
    </tableColumn>
    <tableColumn id="2" xr3:uid="{0E2E6069-2A77-412C-ADA4-C97F3F31DD5A}" name="J1,2" dataDxfId="8">
      <calculatedColumnFormula>Table3[[#This Row],[weight]]*(0.9155*Table2[[#This Row],[J1,2]]-A$9)^2</calculatedColumnFormula>
    </tableColumn>
    <tableColumn id="3" xr3:uid="{99C8AE46-1D36-4558-BECE-2A9182B49057}" name="J2,3" dataDxfId="7">
      <calculatedColumnFormula>Table3[[#This Row],[weight]]*(0.9155*Table2[[#This Row],[J2,3]]-B$9)^2</calculatedColumnFormula>
    </tableColumn>
    <tableColumn id="4" xr3:uid="{803275AF-CFEE-4850-AA59-B7DB234A210B}" name="J34" dataDxfId="6">
      <calculatedColumnFormula>Table3[[#This Row],[weight]]*(0.9155*Table2[[#This Row],[J34]]-C$9)^2</calculatedColumnFormula>
    </tableColumn>
    <tableColumn id="5" xr3:uid="{AD807DCB-A3B0-4EB1-BD30-22361475CD38}" name="J45" dataDxfId="5">
      <calculatedColumnFormula>Table3[[#This Row],[weight]]*(0.9155*Table2[[#This Row],[J45]]-D$9)^2</calculatedColumnFormula>
    </tableColumn>
    <tableColumn id="6" xr3:uid="{37B27F45-4581-4973-9AE8-D34D9029691D}" name="J56" dataDxfId="4">
      <calculatedColumnFormula>Table3[[#This Row],[weight]]*(0.9155*Table2[[#This Row],[J56]]-E$9)^2</calculatedColumnFormula>
    </tableColumn>
    <tableColumn id="7" xr3:uid="{BF4C5F4D-3601-4174-8A18-5C730E7E580B}" name="J67" dataDxfId="3">
      <calculatedColumnFormula>Table3[[#This Row],[weight]]*(0.9155*Table2[[#This Row],[J67]]-F$9)^2</calculatedColumnFormula>
    </tableColumn>
    <tableColumn id="8" xr3:uid="{8B48EF87-E5AD-478B-B6EE-9EF474E2BF1E}" name="J67'" dataDxfId="2">
      <calculatedColumnFormula>Table3[[#This Row],[weight]]*(0.9155*Table2[[#This Row],[J67'']]-G$9)^2</calculatedColumnFormula>
    </tableColumn>
    <tableColumn id="9" xr3:uid="{23ACD263-BA0B-4F2B-A70A-089C885DE580}" name="weight" dataDxfId="1">
      <calculatedColumnFormula>chloroform!J7</calculatedColumnFormula>
    </tableColumn>
    <tableColumn id="10" xr3:uid="{B8477986-80BC-40E3-A47B-C498CC76E9FD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3ED74B9-A30B-4BD6-AB65-69A89EFC19CC}" name="Table4" displayName="Table4" ref="K1:T70" totalsRowShown="0">
  <autoFilter ref="K1:T70" xr:uid="{72BCE483-2C09-4832-8702-E25FB857BDF1}"/>
  <tableColumns count="10">
    <tableColumn id="1" xr3:uid="{1368B06E-9D7F-47B2-837B-5B3FFCC4DCEB}" name="Column1">
      <calculatedColumnFormula>chloroform!E7</calculatedColumnFormula>
    </tableColumn>
    <tableColumn id="2" xr3:uid="{924945EA-979F-4556-BCD1-3140558DF3B9}" name="J1,2">
      <calculatedColumnFormula>Table3[[#This Row],[weight]]*(0.9155*Table2[[#This Row],[J1,2]]-A$9)^2</calculatedColumnFormula>
    </tableColumn>
    <tableColumn id="3" xr3:uid="{B16D6A4B-C897-4F24-9292-680FCE1AFA36}" name="J2,3">
      <calculatedColumnFormula>Table3[[#This Row],[weight]]*(0.9155*Table2[[#This Row],[J2,3]]-B$9)^2</calculatedColumnFormula>
    </tableColumn>
    <tableColumn id="4" xr3:uid="{D7D4DB2C-7E82-49CE-9890-894A972F744D}" name="J34">
      <calculatedColumnFormula>Table3[[#This Row],[weight]]*(0.9155*Table2[[#This Row],[J34]]-C$9)^2</calculatedColumnFormula>
    </tableColumn>
    <tableColumn id="5" xr3:uid="{329867EF-B4FD-4D9F-8B21-873F1039ECD1}" name="J45">
      <calculatedColumnFormula>Table3[[#This Row],[weight]]*(0.9155*Table2[[#This Row],[J45]]-D$9)^2</calculatedColumnFormula>
    </tableColumn>
    <tableColumn id="6" xr3:uid="{E38FCEC6-F7E1-4570-B0C1-BD02BA8301A8}" name="J56">
      <calculatedColumnFormula>Table3[[#This Row],[weight]]*(0.9155*Table2[[#This Row],[J56]]-E$9)^2</calculatedColumnFormula>
    </tableColumn>
    <tableColumn id="7" xr3:uid="{6A9DD2D1-D3CD-44E4-A755-9A5D4A0BC645}" name="J67">
      <calculatedColumnFormula>Table3[[#This Row],[weight]]*(0.9155*Table2[[#This Row],[J67]]-F$9)^2</calculatedColumnFormula>
    </tableColumn>
    <tableColumn id="8" xr3:uid="{06C53635-D467-431F-B5A7-5EE99FF4CC77}" name="J67'">
      <calculatedColumnFormula>Table3[[#This Row],[weight]]*(0.9155*Table2[[#This Row],[J67'']]-G$9)^2</calculatedColumnFormula>
    </tableColumn>
    <tableColumn id="9" xr3:uid="{DBB24344-20B1-4ADA-AA40-CC2EA4535A8B}" name="weight">
      <calculatedColumnFormula>chloroform!J7</calculatedColumnFormula>
    </tableColumn>
    <tableColumn id="10" xr3:uid="{42912BBE-3575-4129-B066-4D88D68AC283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5E1262F-BA39-40E1-89C9-9421AE7EF6E1}" name="Table46" displayName="Table46" ref="K1:T70" totalsRowShown="0">
  <autoFilter ref="K1:T70" xr:uid="{5635A986-4E18-4C6A-B8AE-EAB94580D04F}"/>
  <tableColumns count="10">
    <tableColumn id="1" xr3:uid="{9A65576F-EFEA-4637-B0C1-FDB25A196476}" name="Column1">
      <calculatedColumnFormula>chloroform!E7</calculatedColumnFormula>
    </tableColumn>
    <tableColumn id="2" xr3:uid="{DEE2D069-F740-4FF2-89D3-49944B54C7FF}" name="J1,2">
      <calculatedColumnFormula>Table3[[#This Row],[weight]]*(0.9155*Table2[[#This Row],[J1,2]]-A$9)^2</calculatedColumnFormula>
    </tableColumn>
    <tableColumn id="3" xr3:uid="{E7747EF5-0957-4480-9DE7-24CA82328A99}" name="J2,3">
      <calculatedColumnFormula>Table3[[#This Row],[weight]]*(0.9155*Table2[[#This Row],[J2,3]]-B$9)^2</calculatedColumnFormula>
    </tableColumn>
    <tableColumn id="4" xr3:uid="{74E60ED8-4941-4A00-9BE2-4958444D9730}" name="J34">
      <calculatedColumnFormula>Table3[[#This Row],[weight]]*(0.9155*Table2[[#This Row],[J34]]-C$9)^2</calculatedColumnFormula>
    </tableColumn>
    <tableColumn id="5" xr3:uid="{E6809ACC-6ABE-430F-BD79-8D31A653EB5B}" name="J45">
      <calculatedColumnFormula>Table3[[#This Row],[weight]]*(0.9155*Table2[[#This Row],[J45]]-D$9)^2</calculatedColumnFormula>
    </tableColumn>
    <tableColumn id="6" xr3:uid="{56251C79-0CD2-462A-B882-08E679F9B578}" name="J56">
      <calculatedColumnFormula>Table3[[#This Row],[weight]]*(0.9155*Table2[[#This Row],[J56]]-E$9)^2</calculatedColumnFormula>
    </tableColumn>
    <tableColumn id="7" xr3:uid="{71A5BC7E-E2F4-413F-BFEA-88A11D3EBB68}" name="J67">
      <calculatedColumnFormula>Table3[[#This Row],[weight]]*(0.9155*Table2[[#This Row],[J67]]-F$9)^2</calculatedColumnFormula>
    </tableColumn>
    <tableColumn id="8" xr3:uid="{AF1BB7EF-7F0B-4BFD-A7F6-A2289B0D4B5A}" name="J67'">
      <calculatedColumnFormula>Table3[[#This Row],[weight]]*(0.9155*Table2[[#This Row],[J67'']]-G$9)^2</calculatedColumnFormula>
    </tableColumn>
    <tableColumn id="9" xr3:uid="{6D1CEF2D-AB1E-40A4-890F-C4B755BE95A6}" name="weight">
      <calculatedColumnFormula>chloroform!J7</calculatedColumnFormula>
    </tableColumn>
    <tableColumn id="10" xr3:uid="{2619CD1A-1C8E-4914-8876-6A11DB3CEEA8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78BB-2BC0-4325-8544-70B963963355}">
  <dimension ref="A1:Z86"/>
  <sheetViews>
    <sheetView zoomScale="55" zoomScaleNormal="55" workbookViewId="0">
      <selection activeCell="AI30" sqref="AI30"/>
    </sheetView>
  </sheetViews>
  <sheetFormatPr defaultRowHeight="15" x14ac:dyDescent="0.25"/>
  <cols>
    <col min="1" max="1" width="16.7109375" customWidth="1"/>
    <col min="2" max="2" width="13.140625" customWidth="1"/>
    <col min="4" max="4" width="20.7109375" customWidth="1"/>
    <col min="5" max="5" width="11.7109375" customWidth="1"/>
    <col min="6" max="6" width="13.7109375" customWidth="1"/>
    <col min="7" max="7" width="10" customWidth="1"/>
    <col min="8" max="8" width="11.140625" bestFit="1" customWidth="1"/>
    <col min="9" max="10" width="9.7109375" bestFit="1" customWidth="1"/>
    <col min="15" max="15" width="24.28515625" customWidth="1"/>
    <col min="23" max="23" width="9.140625" customWidth="1"/>
    <col min="24" max="24" width="11" customWidth="1"/>
    <col min="25" max="26" width="9.140625" customWidth="1"/>
  </cols>
  <sheetData>
    <row r="1" spans="1:16" x14ac:dyDescent="0.25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16" x14ac:dyDescent="0.25">
      <c r="A2" s="3"/>
      <c r="B2" s="2"/>
      <c r="C2" s="2">
        <v>627.51</v>
      </c>
      <c r="D2" s="2">
        <v>1.9858800000000002E-3</v>
      </c>
      <c r="E2" s="2">
        <v>298.2</v>
      </c>
      <c r="F2">
        <f>SUMIF(Table1[rel G],"&lt;5",Table1[rel Pop])</f>
        <v>8.9302157230230073</v>
      </c>
      <c r="G2">
        <f>SUM(J7:J116)</f>
        <v>1.0000000000000004</v>
      </c>
    </row>
    <row r="6" spans="1:16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G6" t="s">
        <v>12</v>
      </c>
      <c r="H6" t="s">
        <v>13</v>
      </c>
      <c r="I6" t="s">
        <v>14</v>
      </c>
      <c r="J6" t="s">
        <v>15</v>
      </c>
      <c r="K6" t="s">
        <v>16</v>
      </c>
      <c r="O6" t="s">
        <v>21</v>
      </c>
      <c r="P6" t="s">
        <v>22</v>
      </c>
    </row>
    <row r="7" spans="1:16" x14ac:dyDescent="0.25">
      <c r="A7">
        <f>Table1[[#This Row],[Gibbs Energy (hartree)]]</f>
        <v>-1260.02767745501</v>
      </c>
      <c r="B7">
        <f>Table1[[#This Row],[Energy (hartrees)]]*$C$2</f>
        <v>-790679.96787979337</v>
      </c>
      <c r="C7" s="4">
        <f>Table1[[#This Row],[Energy (kcal)]]-MIN(Table1[Energy (kcal)])</f>
        <v>1.024983556359075</v>
      </c>
      <c r="D7">
        <v>-1260.02767745501</v>
      </c>
      <c r="E7">
        <v>2</v>
      </c>
      <c r="F7" t="s">
        <v>17</v>
      </c>
      <c r="H7" s="10">
        <f>Table1[[#This Row],[Rel E]]</f>
        <v>1.024983556359075</v>
      </c>
      <c r="I7" s="10">
        <f>IF(Table1[[#This Row],[rel G]]&lt;5,EXP(-H7/(D$2*E$2)),0)</f>
        <v>0.17713602393954528</v>
      </c>
      <c r="J7" s="10">
        <f>IF(Table1[[#This Row],[rel G]]&lt;5,I7/$F$2,0)</f>
        <v>1.9835581741084993E-2</v>
      </c>
      <c r="M7">
        <f>COUNTIF(Table1[Classification],N7)</f>
        <v>17</v>
      </c>
      <c r="N7" t="s">
        <v>17</v>
      </c>
      <c r="O7">
        <f>SUMIF(Table1[Classification],N7,Table1[weight])</f>
        <v>0.75453566509837044</v>
      </c>
      <c r="P7">
        <f>AVERAGEIF(Table1[Classification],N7,Table1[rel G])</f>
        <v>1.9608587870264755</v>
      </c>
    </row>
    <row r="8" spans="1:16" x14ac:dyDescent="0.25">
      <c r="A8">
        <f>Table1[[#This Row],[Gibbs Energy (hartree)]]</f>
        <v>-1260.0278872925801</v>
      </c>
      <c r="B8">
        <f>Table1[[#This Row],[Energy (hartrees)]]*$C$2</f>
        <v>-790680.0995549669</v>
      </c>
      <c r="C8" s="4">
        <f>Table1[[#This Row],[Energy (kcal)]]-MIN(Table1[Energy (kcal)])</f>
        <v>0.89330838283058256</v>
      </c>
      <c r="D8">
        <v>-1260.0278872925801</v>
      </c>
      <c r="E8">
        <v>3</v>
      </c>
      <c r="F8" t="s">
        <v>17</v>
      </c>
      <c r="H8" s="10">
        <f>Table1[[#This Row],[Rel E]]</f>
        <v>0.89330838283058256</v>
      </c>
      <c r="I8" s="10">
        <f>IF(Table1[[#This Row],[rel G]]&lt;5,EXP(-H8/(D$2*E$2)),0)</f>
        <v>0.22124508520636904</v>
      </c>
      <c r="J8" s="10">
        <f>IF(Table1[[#This Row],[rel G]]&lt;5,I8/$F$2,0)</f>
        <v>2.4774886975683762E-2</v>
      </c>
      <c r="M8">
        <f>COUNTIF(Table1[Classification],N8)</f>
        <v>15</v>
      </c>
      <c r="N8" t="s">
        <v>122</v>
      </c>
      <c r="O8">
        <f>SUMIF(Table1[Classification],N8,Table1[weight])</f>
        <v>0.14153113259337213</v>
      </c>
      <c r="P8">
        <f>AVERAGEIF(Table1[Classification],N8,Table1[rel G])</f>
        <v>3.109619181447973</v>
      </c>
    </row>
    <row r="9" spans="1:16" x14ac:dyDescent="0.25">
      <c r="A9">
        <f>Table1[[#This Row],[Gibbs Energy (hartree)]]</f>
        <v>-1260.0289534979299</v>
      </c>
      <c r="B9">
        <f>Table1[[#This Row],[Energy (hartrees)]]*$C$2</f>
        <v>-790680.76860948605</v>
      </c>
      <c r="C9" s="4">
        <f>Table1[[#This Row],[Energy (kcal)]]-MIN(Table1[Energy (kcal)])</f>
        <v>0.22425386367831379</v>
      </c>
      <c r="D9">
        <v>-1260.0289534979299</v>
      </c>
      <c r="E9">
        <v>4</v>
      </c>
      <c r="F9" t="s">
        <v>17</v>
      </c>
      <c r="H9" s="10">
        <f>Table1[[#This Row],[Rel E]]</f>
        <v>0.22425386367831379</v>
      </c>
      <c r="I9" s="10">
        <f>IF(Table1[[#This Row],[rel G]]&lt;5,EXP(-H9/(D$2*E$2)),0)</f>
        <v>0.68476056773219196</v>
      </c>
      <c r="J9" s="10">
        <f>IF(Table1[[#This Row],[rel G]]&lt;5,I9/$F$2,0)</f>
        <v>7.6679062294856923E-2</v>
      </c>
      <c r="M9">
        <f>COUNTIF(Table1[Classification],N9)</f>
        <v>11</v>
      </c>
      <c r="N9" t="s">
        <v>19</v>
      </c>
      <c r="O9">
        <f>SUMIF(Table1[Classification],N9,Table1[weight])</f>
        <v>7.87330081948239E-2</v>
      </c>
      <c r="P9">
        <f>AVERAGEIF(Table1[Classification],N9,Table1[rel G])</f>
        <v>2.9968329527394171</v>
      </c>
    </row>
    <row r="10" spans="1:16" x14ac:dyDescent="0.25">
      <c r="A10">
        <f>Table1[[#This Row],[Gibbs Energy (hartree)]]</f>
        <v>-1260.02931086891</v>
      </c>
      <c r="B10">
        <f>Table1[[#This Row],[Energy (hartrees)]]*$C$2</f>
        <v>-790680.99286334973</v>
      </c>
      <c r="C10" s="4">
        <f>Table1[[#This Row],[Energy (kcal)]]-MIN(Table1[Energy (kcal)])</f>
        <v>0</v>
      </c>
      <c r="D10">
        <v>-1260.02931086891</v>
      </c>
      <c r="E10">
        <v>6</v>
      </c>
      <c r="F10" t="s">
        <v>17</v>
      </c>
      <c r="H10" s="10">
        <f>Table1[[#This Row],[Rel E]]</f>
        <v>0</v>
      </c>
      <c r="I10" s="10">
        <f>IF(Table1[[#This Row],[rel G]]&lt;5,EXP(-H10/(D$2*E$2)),0)</f>
        <v>1</v>
      </c>
      <c r="J10" s="10">
        <f>IF(Table1[[#This Row],[rel G]]&lt;5,I10/$F$2,0)</f>
        <v>0.11197937776820978</v>
      </c>
      <c r="M10">
        <f>COUNTIF(Table1[Classification],N10)</f>
        <v>3</v>
      </c>
      <c r="N10" t="s">
        <v>123</v>
      </c>
      <c r="O10">
        <f>SUMIF(Table1[Classification],N10,Table1[weight])</f>
        <v>1.6117057492936022E-2</v>
      </c>
      <c r="P10">
        <f>AVERAGEIF(Table1[Classification],N10,Table1[rel G])</f>
        <v>2.8468703603915251</v>
      </c>
    </row>
    <row r="11" spans="1:16" x14ac:dyDescent="0.25">
      <c r="A11">
        <f>Table1[[#This Row],[Gibbs Energy (hartree)]]</f>
        <v>-1260.02598944176</v>
      </c>
      <c r="B11">
        <f>Table1[[#This Row],[Energy (hartrees)]]*$C$2</f>
        <v>-790678.90863459883</v>
      </c>
      <c r="C11" s="4">
        <f>Table1[[#This Row],[Energy (kcal)]]-MIN(Table1[Energy (kcal)])</f>
        <v>2.0842287509003654</v>
      </c>
      <c r="D11">
        <v>-1260.02598944176</v>
      </c>
      <c r="E11">
        <v>7</v>
      </c>
      <c r="F11" t="s">
        <v>122</v>
      </c>
      <c r="H11" s="10">
        <f>Table1[[#This Row],[Rel E]]</f>
        <v>2.0842287509003654</v>
      </c>
      <c r="I11" s="10">
        <f>IF(Table1[[#This Row],[rel G]]&lt;5,EXP(-H11/(D$2*E$2)),0)</f>
        <v>2.9613333389702751E-2</v>
      </c>
      <c r="J11" s="10">
        <f>IF(Table1[[#This Row],[rel G]]&lt;5,I11/$F$2,0)</f>
        <v>3.3160826466214649E-3</v>
      </c>
      <c r="M11">
        <f>COUNTIF(Table1[Classification],N11)</f>
        <v>12</v>
      </c>
      <c r="N11" t="s">
        <v>20</v>
      </c>
      <c r="O11">
        <f>SUMIF(Table1[Classification],N11,Table1[weight])</f>
        <v>4.3480673687499556E-3</v>
      </c>
      <c r="P11">
        <f>AVERAGEIF(Table1[Classification],N11,Table1[rel G])</f>
        <v>3.9676955961622298</v>
      </c>
    </row>
    <row r="12" spans="1:16" x14ac:dyDescent="0.25">
      <c r="A12">
        <f>Table1[[#This Row],[Gibbs Energy (hartree)]]</f>
        <v>-1260.0287252732001</v>
      </c>
      <c r="B12">
        <f>Table1[[#This Row],[Energy (hartrees)]]*$C$2</f>
        <v>-790680.62539618579</v>
      </c>
      <c r="C12" s="4">
        <f>Table1[[#This Row],[Energy (kcal)]]-MIN(Table1[Energy (kcal)])</f>
        <v>0.36746716394554824</v>
      </c>
      <c r="D12">
        <v>-1260.0287252732001</v>
      </c>
      <c r="E12">
        <v>8</v>
      </c>
      <c r="F12" t="s">
        <v>17</v>
      </c>
      <c r="H12" s="10">
        <f>Table1[[#This Row],[Rel E]]</f>
        <v>0.36746716394554824</v>
      </c>
      <c r="I12" s="10">
        <f>IF(Table1[[#This Row],[rel G]]&lt;5,EXP(-H12/(D$2*E$2)),0)</f>
        <v>0.53766315626094985</v>
      </c>
      <c r="J12" s="10">
        <f>IF(Table1[[#This Row],[rel G]]&lt;5,I12/$F$2,0)</f>
        <v>6.020718568699291E-2</v>
      </c>
      <c r="M12">
        <f>COUNTIF(Table1[Classification],N12)</f>
        <v>6</v>
      </c>
      <c r="N12" t="s">
        <v>18</v>
      </c>
      <c r="O12">
        <f>SUMIF(Table1[Classification],N12,Table1[weight])</f>
        <v>4.6180890925490289E-3</v>
      </c>
      <c r="P12">
        <f>AVERAGEIF(Table1[Classification],N12,Table1[rel G])</f>
        <v>3.853762575502818</v>
      </c>
    </row>
    <row r="13" spans="1:16" x14ac:dyDescent="0.25">
      <c r="A13">
        <f>Table1[[#This Row],[Gibbs Energy (hartree)]]</f>
        <v>-1260.0284101910199</v>
      </c>
      <c r="B13">
        <f>Table1[[#This Row],[Energy (hartrees)]]*$C$2</f>
        <v>-790680.42767896689</v>
      </c>
      <c r="C13" s="4">
        <f>Table1[[#This Row],[Energy (kcal)]]-MIN(Table1[Energy (kcal)])</f>
        <v>0.56518438283819705</v>
      </c>
      <c r="D13">
        <v>-1260.0284101910199</v>
      </c>
      <c r="E13">
        <v>9</v>
      </c>
      <c r="F13" t="s">
        <v>17</v>
      </c>
      <c r="H13" s="10">
        <f>Table1[[#This Row],[Rel E]]</f>
        <v>0.56518438283819705</v>
      </c>
      <c r="I13" s="10">
        <f>IF(Table1[[#This Row],[rel G]]&lt;5,EXP(-H13/(D$2*E$2)),0)</f>
        <v>0.38504387862774248</v>
      </c>
      <c r="J13" s="10">
        <f>IF(Table1[[#This Row],[rel G]]&lt;5,I13/$F$2,0)</f>
        <v>4.3116973942192695E-2</v>
      </c>
      <c r="M13">
        <f>COUNTIF(Table1[Classification],N13)</f>
        <v>4</v>
      </c>
      <c r="N13" t="s">
        <v>124</v>
      </c>
      <c r="O13">
        <f>SUMIF(Table1[Classification],N13,Table1[weight])</f>
        <v>1.1698015919896236E-4</v>
      </c>
      <c r="P13">
        <f>AVERAGEIF(Table1[Classification],N13,Table1[rel G])</f>
        <v>4.9509579129808117</v>
      </c>
    </row>
    <row r="14" spans="1:16" x14ac:dyDescent="0.25">
      <c r="A14">
        <f>Table1[[#This Row],[Gibbs Energy (hartree)]]</f>
        <v>-1260.0185095762099</v>
      </c>
      <c r="B14">
        <f>Table1[[#This Row],[Energy (hartrees)]]*$C$2</f>
        <v>-790674.21494416741</v>
      </c>
      <c r="C14" s="4">
        <f>Table1[[#This Row],[Energy (kcal)]]-MIN(Table1[Energy (kcal)])</f>
        <v>6.7779191823210567</v>
      </c>
      <c r="D14">
        <v>-1260.0185095762099</v>
      </c>
      <c r="E14">
        <v>14</v>
      </c>
      <c r="F14" t="s">
        <v>122</v>
      </c>
      <c r="H14" s="10">
        <f>Table1[[#This Row],[Rel E]]</f>
        <v>6.7779191823210567</v>
      </c>
      <c r="I14" s="10">
        <f>IF(Table1[[#This Row],[rel G]]&lt;5,EXP(-H14/(D$2*E$2)),0)</f>
        <v>0</v>
      </c>
      <c r="J14" s="10">
        <f>IF(Table1[[#This Row],[rel G]]&lt;5,I14/$F$2,0)</f>
        <v>0</v>
      </c>
      <c r="M14">
        <f>COUNTIF(Table1[Classification],N14)</f>
        <v>1</v>
      </c>
      <c r="N14" t="s">
        <v>114</v>
      </c>
      <c r="O14">
        <f>SUMIF(Table1[Classification],N14,Table1[weight])</f>
        <v>0</v>
      </c>
      <c r="P14">
        <f>AVERAGEIF(Table1[Classification],N14,Table1[rel G])</f>
        <v>7.0977090776432306</v>
      </c>
    </row>
    <row r="15" spans="1:16" x14ac:dyDescent="0.25">
      <c r="A15">
        <f>Table1[[#This Row],[Gibbs Energy (hartree)]]</f>
        <v>-1260.02743329899</v>
      </c>
      <c r="B15">
        <f>Table1[[#This Row],[Energy (hartrees)]]*$C$2</f>
        <v>-790679.81466944923</v>
      </c>
      <c r="C15" s="4">
        <f>Table1[[#This Row],[Energy (kcal)]]-MIN(Table1[Energy (kcal)])</f>
        <v>1.1781939005013555</v>
      </c>
      <c r="D15">
        <v>-1260.02743329899</v>
      </c>
      <c r="E15">
        <v>15</v>
      </c>
      <c r="F15" t="s">
        <v>122</v>
      </c>
      <c r="H15" s="10">
        <f>Table1[[#This Row],[Rel E]]</f>
        <v>1.1781939005013555</v>
      </c>
      <c r="I15" s="10">
        <f>IF(Table1[[#This Row],[rel G]]&lt;5,EXP(-H15/(D$2*E$2)),0)</f>
        <v>0.13675615599313568</v>
      </c>
      <c r="J15" s="10">
        <f>IF(Table1[[#This Row],[rel G]]&lt;5,I15/$F$2,0)</f>
        <v>1.5313869254083566E-2</v>
      </c>
      <c r="O15">
        <f>SUM(O7:O14)</f>
        <v>1.0000000000000004</v>
      </c>
    </row>
    <row r="16" spans="1:16" x14ac:dyDescent="0.25">
      <c r="A16">
        <f>Table1[[#This Row],[Gibbs Energy (hartree)]]</f>
        <v>-1260.0290998492101</v>
      </c>
      <c r="B16">
        <f>Table1[[#This Row],[Energy (hartrees)]]*$C$2</f>
        <v>-790680.86044637777</v>
      </c>
      <c r="C16" s="4">
        <f>Table1[[#This Row],[Energy (kcal)]]-MIN(Table1[Energy (kcal)])</f>
        <v>0.13241697195917368</v>
      </c>
      <c r="D16">
        <v>-1260.0290998492101</v>
      </c>
      <c r="E16">
        <v>16</v>
      </c>
      <c r="F16" t="s">
        <v>17</v>
      </c>
      <c r="H16" s="10">
        <f>Table1[[#This Row],[Rel E]]</f>
        <v>0.13241697195917368</v>
      </c>
      <c r="I16" s="10">
        <f>IF(Table1[[#This Row],[rel G]]&lt;5,EXP(-H16/(D$2*E$2)),0)</f>
        <v>0.7996303083245051</v>
      </c>
      <c r="J16" s="10">
        <f>IF(Table1[[#This Row],[rel G]]&lt;5,I16/$F$2,0)</f>
        <v>8.9542104370779821E-2</v>
      </c>
    </row>
    <row r="17" spans="1:15" x14ac:dyDescent="0.25">
      <c r="A17">
        <f>Table1[[#This Row],[Gibbs Energy (hartree)]]</f>
        <v>-1260.0285772275399</v>
      </c>
      <c r="B17">
        <f>Table1[[#This Row],[Energy (hartrees)]]*$C$2</f>
        <v>-790680.53249605361</v>
      </c>
      <c r="C17" s="4">
        <f>Table1[[#This Row],[Energy (kcal)]]-MIN(Table1[Energy (kcal)])</f>
        <v>0.46036729612387717</v>
      </c>
      <c r="D17">
        <v>-1260.0285772275399</v>
      </c>
      <c r="E17">
        <v>17</v>
      </c>
      <c r="F17" t="s">
        <v>122</v>
      </c>
      <c r="H17" s="10">
        <f>Table1[[#This Row],[Rel E]]</f>
        <v>0.46036729612387717</v>
      </c>
      <c r="I17" s="10">
        <f>IF(Table1[[#This Row],[rel G]]&lt;5,EXP(-H17/(D$2*E$2)),0)</f>
        <v>0.45960000432677117</v>
      </c>
      <c r="J17" s="10">
        <f>IF(Table1[[#This Row],[rel G]]&lt;5,I17/$F$2,0)</f>
        <v>5.1465722506778361E-2</v>
      </c>
      <c r="O17">
        <f>SUM(O7:O9)</f>
        <v>0.97479980588656645</v>
      </c>
    </row>
    <row r="18" spans="1:15" x14ac:dyDescent="0.25">
      <c r="A18">
        <f>Table1[[#This Row],[Gibbs Energy (hartree)]]</f>
        <v>-1260.02577763307</v>
      </c>
      <c r="B18">
        <f>Table1[[#This Row],[Energy (hartrees)]]*$C$2</f>
        <v>-790678.77572252776</v>
      </c>
      <c r="C18" s="4">
        <f>Table1[[#This Row],[Energy (kcal)]]-MIN(Table1[Energy (kcal)])</f>
        <v>2.2171408219728619</v>
      </c>
      <c r="D18">
        <v>-1260.02577763307</v>
      </c>
      <c r="E18">
        <v>19</v>
      </c>
      <c r="F18" t="s">
        <v>18</v>
      </c>
      <c r="H18" s="10">
        <f>Table1[[#This Row],[Rel E]]</f>
        <v>2.2171408219728619</v>
      </c>
      <c r="I18" s="10">
        <f>IF(Table1[[#This Row],[rel G]]&lt;5,EXP(-H18/(D$2*E$2)),0)</f>
        <v>2.3659929787322342E-2</v>
      </c>
      <c r="J18" s="10">
        <f>IF(Table1[[#This Row],[rel G]]&lt;5,I18/$F$2,0)</f>
        <v>2.6494242156238882E-3</v>
      </c>
    </row>
    <row r="19" spans="1:15" x14ac:dyDescent="0.25">
      <c r="A19">
        <f>Table1[[#This Row],[Gibbs Energy (hartree)]]</f>
        <v>-1260.02900739953</v>
      </c>
      <c r="B19">
        <f>Table1[[#This Row],[Energy (hartrees)]]*$C$2</f>
        <v>-790680.80243327899</v>
      </c>
      <c r="C19" s="4">
        <f>Table1[[#This Row],[Energy (kcal)]]-MIN(Table1[Energy (kcal)])</f>
        <v>0.19043007073923945</v>
      </c>
      <c r="D19">
        <v>-1260.02900739953</v>
      </c>
      <c r="E19">
        <v>20</v>
      </c>
      <c r="F19" t="s">
        <v>17</v>
      </c>
      <c r="H19" s="10">
        <f>Table1[[#This Row],[Rel E]]</f>
        <v>0.19043007073923945</v>
      </c>
      <c r="I19" s="10">
        <f>IF(Table1[[#This Row],[rel G]]&lt;5,EXP(-H19/(D$2*E$2)),0)</f>
        <v>0.7250102200710945</v>
      </c>
      <c r="J19" s="10">
        <f>IF(Table1[[#This Row],[rel G]]&lt;5,I19/$F$2,0)</f>
        <v>8.1186193319153999E-2</v>
      </c>
    </row>
    <row r="20" spans="1:15" x14ac:dyDescent="0.25">
      <c r="A20">
        <f>Table1[[#This Row],[Gibbs Energy (hartree)]]</f>
        <v>-1260.0215636113001</v>
      </c>
      <c r="B20">
        <f>Table1[[#This Row],[Energy (hartrees)]]*$C$2</f>
        <v>-790676.13138172694</v>
      </c>
      <c r="C20" s="4">
        <f>Table1[[#This Row],[Energy (kcal)]]-MIN(Table1[Energy (kcal)])</f>
        <v>4.8614816227927804</v>
      </c>
      <c r="D20">
        <v>-1260.0215636113001</v>
      </c>
      <c r="E20">
        <v>21</v>
      </c>
      <c r="F20" t="s">
        <v>124</v>
      </c>
      <c r="H20" s="10">
        <f>Table1[[#This Row],[Rel E]]</f>
        <v>4.8614816227927804</v>
      </c>
      <c r="I20" s="10">
        <f>IF(Table1[[#This Row],[rel G]]&lt;5,EXP(-H20/(D$2*E$2)),0)</f>
        <v>2.7210146011304647E-4</v>
      </c>
      <c r="J20" s="10">
        <f>IF(Table1[[#This Row],[rel G]]&lt;5,I20/$F$2,0)</f>
        <v>3.0469752193280297E-5</v>
      </c>
    </row>
    <row r="21" spans="1:15" x14ac:dyDescent="0.25">
      <c r="A21">
        <f>Table1[[#This Row],[Gibbs Energy (hartree)]]</f>
        <v>-1260.0235857932</v>
      </c>
      <c r="B21">
        <f>Table1[[#This Row],[Energy (hartrees)]]*$C$2</f>
        <v>-790677.40032109094</v>
      </c>
      <c r="C21" s="4">
        <f>Table1[[#This Row],[Energy (kcal)]]-MIN(Table1[Energy (kcal)])</f>
        <v>3.5925422587897629</v>
      </c>
      <c r="D21">
        <v>-1260.0235857932</v>
      </c>
      <c r="E21">
        <v>22</v>
      </c>
      <c r="F21" t="s">
        <v>122</v>
      </c>
      <c r="H21" s="10">
        <f>Table1[[#This Row],[Rel E]]</f>
        <v>3.5925422587897629</v>
      </c>
      <c r="I21" s="10">
        <f>IF(Table1[[#This Row],[rel G]]&lt;5,EXP(-H21/(D$2*E$2)),0)</f>
        <v>2.319177927727057E-3</v>
      </c>
      <c r="J21" s="10">
        <f>IF(Table1[[#This Row],[rel G]]&lt;5,I21/$F$2,0)</f>
        <v>2.5970010128064205E-4</v>
      </c>
    </row>
    <row r="22" spans="1:15" x14ac:dyDescent="0.25">
      <c r="A22">
        <f>Table1[[#This Row],[Gibbs Energy (hartree)]]</f>
        <v>-1260.0208613802399</v>
      </c>
      <c r="B22">
        <f>Table1[[#This Row],[Energy (hartrees)]]*$C$2</f>
        <v>-790675.69072471431</v>
      </c>
      <c r="C22" s="4">
        <f>Table1[[#This Row],[Energy (kcal)]]-MIN(Table1[Energy (kcal)])</f>
        <v>5.3021386354230344</v>
      </c>
      <c r="D22">
        <v>-1260.0208613802399</v>
      </c>
      <c r="E22">
        <v>23</v>
      </c>
      <c r="F22" t="s">
        <v>124</v>
      </c>
      <c r="H22" s="10">
        <f>Table1[[#This Row],[Rel E]]</f>
        <v>5.3021386354230344</v>
      </c>
      <c r="I22" s="10">
        <f>IF(Table1[[#This Row],[rel G]]&lt;5,EXP(-H22/(D$2*E$2)),0)</f>
        <v>0</v>
      </c>
      <c r="J22" s="10">
        <f>IF(Table1[[#This Row],[rel G]]&lt;5,I22/$F$2,0)</f>
        <v>0</v>
      </c>
    </row>
    <row r="23" spans="1:15" x14ac:dyDescent="0.25">
      <c r="A23">
        <f>Table1[[#This Row],[Gibbs Energy (hartree)]]</f>
        <v>-1260.0238162215701</v>
      </c>
      <c r="B23">
        <f>Table1[[#This Row],[Energy (hartrees)]]*$C$2</f>
        <v>-790677.54491719743</v>
      </c>
      <c r="C23" s="4">
        <f>Table1[[#This Row],[Energy (kcal)]]-MIN(Table1[Energy (kcal)])</f>
        <v>3.4479461523005739</v>
      </c>
      <c r="D23">
        <v>-1260.0238162215701</v>
      </c>
      <c r="E23">
        <v>24</v>
      </c>
      <c r="F23" t="s">
        <v>122</v>
      </c>
      <c r="H23" s="10">
        <f>Table1[[#This Row],[Rel E]]</f>
        <v>3.4479461523005739</v>
      </c>
      <c r="I23" s="10">
        <f>IF(Table1[[#This Row],[rel G]]&lt;5,EXP(-H23/(D$2*E$2)),0)</f>
        <v>2.9605789372177138E-3</v>
      </c>
      <c r="J23" s="10">
        <f>IF(Table1[[#This Row],[rel G]]&lt;5,I23/$F$2,0)</f>
        <v>3.3152378722330739E-4</v>
      </c>
    </row>
    <row r="24" spans="1:15" x14ac:dyDescent="0.25">
      <c r="A24">
        <f>Table1[[#This Row],[Gibbs Energy (hartree)]]</f>
        <v>-1260.0263178963201</v>
      </c>
      <c r="B24">
        <f>Table1[[#This Row],[Energy (hartrees)]]*$C$2</f>
        <v>-790679.1147431198</v>
      </c>
      <c r="C24" s="4">
        <f>Table1[[#This Row],[Energy (kcal)]]-MIN(Table1[Energy (kcal)])</f>
        <v>1.8781202299287543</v>
      </c>
      <c r="D24">
        <v>-1260.0263178963201</v>
      </c>
      <c r="E24">
        <v>26</v>
      </c>
      <c r="F24" t="s">
        <v>122</v>
      </c>
      <c r="H24" s="10">
        <f>Table1[[#This Row],[Rel E]]</f>
        <v>1.8781202299287543</v>
      </c>
      <c r="I24" s="10">
        <f>IF(Table1[[#This Row],[rel G]]&lt;5,EXP(-H24/(D$2*E$2)),0)</f>
        <v>4.1941241943435001E-2</v>
      </c>
      <c r="J24" s="10">
        <f>IF(Table1[[#This Row],[rel G]]&lt;5,I24/$F$2,0)</f>
        <v>4.6965541756517929E-3</v>
      </c>
    </row>
    <row r="25" spans="1:15" x14ac:dyDescent="0.25">
      <c r="A25">
        <f>Table1[[#This Row],[Gibbs Energy (hartree)]]</f>
        <v>-1260.0288382584199</v>
      </c>
      <c r="B25">
        <f>Table1[[#This Row],[Energy (hartrees)]]*$C$2</f>
        <v>-790680.69629554101</v>
      </c>
      <c r="C25" s="4">
        <f>Table1[[#This Row],[Energy (kcal)]]-MIN(Table1[Energy (kcal)])</f>
        <v>0.29656780872028321</v>
      </c>
      <c r="D25">
        <v>-1260.0288382584199</v>
      </c>
      <c r="E25">
        <v>27</v>
      </c>
      <c r="F25" t="s">
        <v>17</v>
      </c>
      <c r="H25" s="10">
        <f>Table1[[#This Row],[Rel E]]</f>
        <v>0.29656780872028321</v>
      </c>
      <c r="I25" s="10">
        <f>IF(Table1[[#This Row],[rel G]]&lt;5,EXP(-H25/(D$2*E$2)),0)</f>
        <v>0.60604629526370324</v>
      </c>
      <c r="J25" s="10">
        <f>IF(Table1[[#This Row],[rel G]]&lt;5,I25/$F$2,0)</f>
        <v>6.7864687042358235E-2</v>
      </c>
    </row>
    <row r="26" spans="1:15" x14ac:dyDescent="0.25">
      <c r="A26">
        <f>Table1[[#This Row],[Gibbs Energy (hartree)]]</f>
        <v>-1260.02441184088</v>
      </c>
      <c r="B26">
        <f>Table1[[#This Row],[Energy (hartrees)]]*$C$2</f>
        <v>-790677.91867427062</v>
      </c>
      <c r="C26" s="4">
        <f>Table1[[#This Row],[Energy (kcal)]]-MIN(Table1[Energy (kcal)])</f>
        <v>3.0741890791105106</v>
      </c>
      <c r="D26">
        <v>-1260.02441184088</v>
      </c>
      <c r="E26">
        <v>30</v>
      </c>
      <c r="F26" t="s">
        <v>18</v>
      </c>
      <c r="H26" s="10">
        <f>Table1[[#This Row],[Rel E]]</f>
        <v>3.0741890791105106</v>
      </c>
      <c r="I26" s="10">
        <f>IF(Table1[[#This Row],[rel G]]&lt;5,EXP(-H26/(D$2*E$2)),0)</f>
        <v>5.5651798534384397E-3</v>
      </c>
      <c r="J26" s="10">
        <f>IF(Table1[[#This Row],[rel G]]&lt;5,I26/$F$2,0)</f>
        <v>6.2318537715621344E-4</v>
      </c>
    </row>
    <row r="27" spans="1:15" x14ac:dyDescent="0.25">
      <c r="A27">
        <f>Table1[[#This Row],[Gibbs Energy (hartree)]]</f>
        <v>-1260.02495754284</v>
      </c>
      <c r="B27">
        <f>Table1[[#This Row],[Energy (hartrees)]]*$C$2</f>
        <v>-790678.26110770751</v>
      </c>
      <c r="C27" s="4">
        <f>Table1[[#This Row],[Energy (kcal)]]-MIN(Table1[Energy (kcal)])</f>
        <v>2.7317556422203779</v>
      </c>
      <c r="D27">
        <v>-1260.02495754284</v>
      </c>
      <c r="E27">
        <v>33</v>
      </c>
      <c r="F27" t="s">
        <v>122</v>
      </c>
      <c r="H27" s="10">
        <f>Table1[[#This Row],[Rel E]]</f>
        <v>2.7317556422203779</v>
      </c>
      <c r="I27" s="10">
        <f>IF(Table1[[#This Row],[rel G]]&lt;5,EXP(-H27/(D$2*E$2)),0)</f>
        <v>9.9222444027862369E-3</v>
      </c>
      <c r="J27" s="10">
        <f>IF(Table1[[#This Row],[rel G]]&lt;5,I27/$F$2,0)</f>
        <v>1.1110867542881051E-3</v>
      </c>
    </row>
    <row r="28" spans="1:15" x14ac:dyDescent="0.25">
      <c r="A28">
        <f>Table1[[#This Row],[Gibbs Energy (hartree)]]</f>
        <v>-1260.0241903781</v>
      </c>
      <c r="B28">
        <f>Table1[[#This Row],[Energy (hartrees)]]*$C$2</f>
        <v>-790677.77970416157</v>
      </c>
      <c r="C28" s="4">
        <f>Table1[[#This Row],[Energy (kcal)]]-MIN(Table1[Energy (kcal)])</f>
        <v>3.2131591881625354</v>
      </c>
      <c r="D28">
        <v>-1260.0241903781</v>
      </c>
      <c r="E28">
        <v>34</v>
      </c>
      <c r="F28" t="s">
        <v>18</v>
      </c>
      <c r="H28" s="10">
        <f>Table1[[#This Row],[Rel E]]</f>
        <v>3.2131591881625354</v>
      </c>
      <c r="I28" s="10">
        <f>IF(Table1[[#This Row],[rel G]]&lt;5,EXP(-H28/(D$2*E$2)),0)</f>
        <v>4.4011135237591505E-3</v>
      </c>
      <c r="J28" s="10">
        <f>IF(Table1[[#This Row],[rel G]]&lt;5,I28/$F$2,0)</f>
        <v>4.9283395387780284E-4</v>
      </c>
    </row>
    <row r="29" spans="1:15" x14ac:dyDescent="0.25">
      <c r="A29">
        <f>Table1[[#This Row],[Gibbs Energy (hartree)]]</f>
        <v>-1260.02809630158</v>
      </c>
      <c r="B29">
        <f>Table1[[#This Row],[Energy (hartrees)]]*$C$2</f>
        <v>-790680.23071020446</v>
      </c>
      <c r="C29" s="4">
        <f>Table1[[#This Row],[Energy (kcal)]]-MIN(Table1[Energy (kcal)])</f>
        <v>0.76215314527507871</v>
      </c>
      <c r="D29">
        <v>-1260.02809630158</v>
      </c>
      <c r="E29">
        <v>38</v>
      </c>
      <c r="F29" t="s">
        <v>122</v>
      </c>
      <c r="H29" s="10">
        <f>Table1[[#This Row],[Rel E]]</f>
        <v>0.76215314527507871</v>
      </c>
      <c r="I29" s="10">
        <f>IF(Table1[[#This Row],[rel G]]&lt;5,EXP(-H29/(D$2*E$2)),0)</f>
        <v>0.27609533319427293</v>
      </c>
      <c r="J29" s="10">
        <f>IF(Table1[[#This Row],[rel G]]&lt;5,I29/$F$2,0)</f>
        <v>3.0916983615801238E-2</v>
      </c>
    </row>
    <row r="30" spans="1:15" x14ac:dyDescent="0.25">
      <c r="A30">
        <f>Table1[[#This Row],[Gibbs Energy (hartree)]]</f>
        <v>-1260.02929590964</v>
      </c>
      <c r="B30">
        <f>Table1[[#This Row],[Energy (hartrees)]]*$C$2</f>
        <v>-790680.98347625823</v>
      </c>
      <c r="C30" s="4">
        <f>Table1[[#This Row],[Energy (kcal)]]-MIN(Table1[Energy (kcal)])</f>
        <v>9.3870915006846189E-3</v>
      </c>
      <c r="D30">
        <v>-1260.02929590964</v>
      </c>
      <c r="E30">
        <v>39</v>
      </c>
      <c r="F30" t="s">
        <v>17</v>
      </c>
      <c r="H30" s="10">
        <f>Table1[[#This Row],[Rel E]]</f>
        <v>9.3870915006846189E-3</v>
      </c>
      <c r="I30" s="10">
        <f>IF(Table1[[#This Row],[rel G]]&lt;5,EXP(-H30/(D$2*E$2)),0)</f>
        <v>0.98427347219681094</v>
      </c>
      <c r="J30" s="10">
        <f>IF(Table1[[#This Row],[rel G]]&lt;5,I30/$F$2,0)</f>
        <v>0.11021833097035422</v>
      </c>
    </row>
    <row r="31" spans="1:15" x14ac:dyDescent="0.25">
      <c r="A31">
        <f>Table1[[#This Row],[Gibbs Energy (hartree)]]</f>
        <v>-1260.0288155257299</v>
      </c>
      <c r="B31">
        <f>Table1[[#This Row],[Energy (hartrees)]]*$C$2</f>
        <v>-790680.68203055079</v>
      </c>
      <c r="C31" s="4">
        <f>Table1[[#This Row],[Energy (kcal)]]-MIN(Table1[Energy (kcal)])</f>
        <v>0.31083279894664884</v>
      </c>
      <c r="D31">
        <v>-1260.0288155257299</v>
      </c>
      <c r="E31">
        <v>41</v>
      </c>
      <c r="F31" t="s">
        <v>17</v>
      </c>
      <c r="H31" s="10">
        <f>Table1[[#This Row],[Rel E]]</f>
        <v>0.31083279894664884</v>
      </c>
      <c r="I31" s="10">
        <f>IF(Table1[[#This Row],[rel G]]&lt;5,EXP(-H31/(D$2*E$2)),0)</f>
        <v>0.59162194121075562</v>
      </c>
      <c r="J31" s="10">
        <f>IF(Table1[[#This Row],[rel G]]&lt;5,I31/$F$2,0)</f>
        <v>6.6249456850800803E-2</v>
      </c>
    </row>
    <row r="32" spans="1:15" x14ac:dyDescent="0.25">
      <c r="A32">
        <f>Table1[[#This Row],[Gibbs Energy (hartree)]]</f>
        <v>-1260.0203890134701</v>
      </c>
      <c r="B32">
        <f>Table1[[#This Row],[Energy (hartrees)]]*$C$2</f>
        <v>-790675.39430984261</v>
      </c>
      <c r="C32" s="4">
        <f>Table1[[#This Row],[Energy (kcal)]]-MIN(Table1[Energy (kcal)])</f>
        <v>5.5985535071231425</v>
      </c>
      <c r="D32">
        <v>-1260.0203890134701</v>
      </c>
      <c r="E32">
        <v>45</v>
      </c>
      <c r="F32" t="s">
        <v>122</v>
      </c>
      <c r="H32" s="10">
        <f>Table1[[#This Row],[Rel E]]</f>
        <v>5.5985535071231425</v>
      </c>
      <c r="I32" s="10">
        <f>IF(Table1[[#This Row],[rel G]]&lt;5,EXP(-H32/(D$2*E$2)),0)</f>
        <v>0</v>
      </c>
      <c r="J32" s="10">
        <f>IF(Table1[[#This Row],[rel G]]&lt;5,I32/$F$2,0)</f>
        <v>0</v>
      </c>
    </row>
    <row r="33" spans="1:17" x14ac:dyDescent="0.25">
      <c r="A33">
        <f>Table1[[#This Row],[Gibbs Energy (hartree)]]</f>
        <v>-1260.02726059001</v>
      </c>
      <c r="B33">
        <f>Table1[[#This Row],[Energy (hartrees)]]*$C$2</f>
        <v>-790679.70629283716</v>
      </c>
      <c r="C33" s="4">
        <f>Table1[[#This Row],[Energy (kcal)]]-MIN(Table1[Energy (kcal)])</f>
        <v>1.2865705125732347</v>
      </c>
      <c r="D33">
        <v>-1260.02726059001</v>
      </c>
      <c r="E33">
        <v>48</v>
      </c>
      <c r="F33" t="s">
        <v>123</v>
      </c>
      <c r="H33" s="10">
        <f>Table1[[#This Row],[Rel E]]</f>
        <v>1.2865705125732347</v>
      </c>
      <c r="I33" s="10">
        <f>IF(Table1[[#This Row],[rel G]]&lt;5,EXP(-H33/(D$2*E$2)),0)</f>
        <v>0.11388502775409266</v>
      </c>
      <c r="J33" s="10">
        <f>IF(Table1[[#This Row],[rel G]]&lt;5,I33/$F$2,0)</f>
        <v>1.2752774545018598E-2</v>
      </c>
    </row>
    <row r="34" spans="1:17" x14ac:dyDescent="0.25">
      <c r="A34">
        <f>Table1[[#This Row],[Gibbs Energy (hartree)]]</f>
        <v>-1260.0247076948399</v>
      </c>
      <c r="B34">
        <f>Table1[[#This Row],[Energy (hartrees)]]*$C$2</f>
        <v>-790678.10432558903</v>
      </c>
      <c r="C34" s="4">
        <f>Table1[[#This Row],[Energy (kcal)]]-MIN(Table1[Energy (kcal)])</f>
        <v>2.8885377607075498</v>
      </c>
      <c r="D34">
        <v>-1260.0247076948399</v>
      </c>
      <c r="E34">
        <v>57</v>
      </c>
      <c r="F34" t="s">
        <v>18</v>
      </c>
      <c r="H34" s="10">
        <f>Table1[[#This Row],[Rel E]]</f>
        <v>2.8885377607075498</v>
      </c>
      <c r="I34" s="10">
        <f>IF(Table1[[#This Row],[rel G]]&lt;5,EXP(-H34/(D$2*E$2)),0)</f>
        <v>7.6143086600824516E-3</v>
      </c>
      <c r="J34" s="10">
        <f>IF(Table1[[#This Row],[rel G]]&lt;5,I34/$F$2,0)</f>
        <v>8.5264554589112415E-4</v>
      </c>
    </row>
    <row r="35" spans="1:17" x14ac:dyDescent="0.25">
      <c r="A35">
        <f>Table1[[#This Row],[Gibbs Energy (hartree)]]</f>
        <v>-1260.02219534541</v>
      </c>
      <c r="B35">
        <f>Table1[[#This Row],[Energy (hartrees)]]*$C$2</f>
        <v>-790676.52780119819</v>
      </c>
      <c r="C35" s="4">
        <f>Table1[[#This Row],[Energy (kcal)]]-MIN(Table1[Energy (kcal)])</f>
        <v>4.46506215154659</v>
      </c>
      <c r="D35">
        <v>-1260.02219534541</v>
      </c>
      <c r="E35">
        <v>59</v>
      </c>
      <c r="F35" t="s">
        <v>122</v>
      </c>
      <c r="H35" s="10">
        <f>Table1[[#This Row],[Rel E]]</f>
        <v>4.46506215154659</v>
      </c>
      <c r="I35" s="10">
        <f>IF(Table1[[#This Row],[rel G]]&lt;5,EXP(-H35/(D$2*E$2)),0)</f>
        <v>5.3143894169312058E-4</v>
      </c>
      <c r="J35" s="10">
        <f>IF(Table1[[#This Row],[rel G]]&lt;5,I35/$F$2,0)</f>
        <v>5.9510202012591562E-5</v>
      </c>
    </row>
    <row r="36" spans="1:17" x14ac:dyDescent="0.25">
      <c r="A36">
        <f>Table1[[#This Row],[Gibbs Energy (hartree)]]</f>
        <v>-1260.0258341291201</v>
      </c>
      <c r="B36">
        <f>Table1[[#This Row],[Energy (hartrees)]]*$C$2</f>
        <v>-790678.81117436418</v>
      </c>
      <c r="C36" s="4">
        <f>Table1[[#This Row],[Energy (kcal)]]-MIN(Table1[Energy (kcal)])</f>
        <v>2.1816889855545014</v>
      </c>
      <c r="D36">
        <v>-1260.0258341291201</v>
      </c>
      <c r="E36">
        <v>72</v>
      </c>
      <c r="F36" t="s">
        <v>17</v>
      </c>
      <c r="H36" s="10">
        <f>Table1[[#This Row],[Rel E]]</f>
        <v>2.1816889855545014</v>
      </c>
      <c r="I36" s="10">
        <f>IF(Table1[[#This Row],[rel G]]&lt;5,EXP(-H36/(D$2*E$2)),0)</f>
        <v>2.5119604453382516E-2</v>
      </c>
      <c r="J36" s="10">
        <f>IF(Table1[[#This Row],[rel G]]&lt;5,I36/$F$2,0)</f>
        <v>2.8128776764733254E-3</v>
      </c>
    </row>
    <row r="37" spans="1:17" x14ac:dyDescent="0.25">
      <c r="A37">
        <f>Table1[[#This Row],[Gibbs Energy (hartree)]]</f>
        <v>-1260.0284174163701</v>
      </c>
      <c r="B37">
        <f>Table1[[#This Row],[Energy (hartrees)]]*$C$2</f>
        <v>-790680.43221294635</v>
      </c>
      <c r="C37" s="4">
        <f>Table1[[#This Row],[Energy (kcal)]]-MIN(Table1[Energy (kcal)])</f>
        <v>0.56065040337853134</v>
      </c>
      <c r="D37">
        <v>-1260.0284174163701</v>
      </c>
      <c r="E37">
        <v>73</v>
      </c>
      <c r="F37" t="s">
        <v>19</v>
      </c>
      <c r="H37" s="10">
        <f>Table1[[#This Row],[Rel E]]</f>
        <v>0.56065040337853134</v>
      </c>
      <c r="I37" s="10">
        <f>IF(Table1[[#This Row],[rel G]]&lt;5,EXP(-H37/(D$2*E$2)),0)</f>
        <v>0.38800320412262357</v>
      </c>
      <c r="J37" s="10">
        <f>IF(Table1[[#This Row],[rel G]]&lt;5,I37/$F$2,0)</f>
        <v>4.3448357369723078E-2</v>
      </c>
    </row>
    <row r="38" spans="1:17" x14ac:dyDescent="0.25">
      <c r="A38">
        <f>Table1[[#This Row],[Gibbs Energy (hartree)]]</f>
        <v>-1260.02254840449</v>
      </c>
      <c r="B38">
        <f>Table1[[#This Row],[Energy (hartrees)]]*$C$2</f>
        <v>-790676.74934930145</v>
      </c>
      <c r="C38" s="4">
        <f>Table1[[#This Row],[Energy (kcal)]]-MIN(Table1[Energy (kcal)])</f>
        <v>4.243514048284851</v>
      </c>
      <c r="D38">
        <v>-1260.02254840449</v>
      </c>
      <c r="E38">
        <v>76</v>
      </c>
      <c r="F38" t="s">
        <v>124</v>
      </c>
      <c r="H38" s="10">
        <f>Table1[[#This Row],[Rel E]]</f>
        <v>4.243514048284851</v>
      </c>
      <c r="I38" s="10">
        <f>IF(Table1[[#This Row],[rel G]]&lt;5,EXP(-H38/(D$2*E$2)),0)</f>
        <v>7.7255659684726159E-4</v>
      </c>
      <c r="J38" s="10">
        <f>IF(Table1[[#This Row],[rel G]]&lt;5,I38/$F$2,0)</f>
        <v>8.6510407005682056E-5</v>
      </c>
    </row>
    <row r="39" spans="1:17" x14ac:dyDescent="0.25">
      <c r="A39">
        <f>Table1[[#This Row],[Gibbs Energy (hartree)]]</f>
        <v>-1260.0278364360499</v>
      </c>
      <c r="B39">
        <f>Table1[[#This Row],[Energy (hartrees)]]*$C$2</f>
        <v>-790680.06764198572</v>
      </c>
      <c r="C39" s="4">
        <f>Table1[[#This Row],[Energy (kcal)]]-MIN(Table1[Energy (kcal)])</f>
        <v>0.92522136401385069</v>
      </c>
      <c r="D39">
        <v>-1260.0278364360499</v>
      </c>
      <c r="E39">
        <v>78</v>
      </c>
      <c r="F39" t="s">
        <v>122</v>
      </c>
      <c r="H39" s="10">
        <f>Table1[[#This Row],[Rel E]]</f>
        <v>0.92522136401385069</v>
      </c>
      <c r="I39" s="10">
        <f>IF(Table1[[#This Row],[rel G]]&lt;5,EXP(-H39/(D$2*E$2)),0)</f>
        <v>0.20963779369714905</v>
      </c>
      <c r="J39" s="10">
        <f>IF(Table1[[#This Row],[rel G]]&lt;5,I39/$F$2,0)</f>
        <v>2.3475109694907081E-2</v>
      </c>
      <c r="Q39" s="11"/>
    </row>
    <row r="40" spans="1:17" x14ac:dyDescent="0.25">
      <c r="A40">
        <f>Table1[[#This Row],[Gibbs Energy (hartree)]]</f>
        <v>-1260.02259869509</v>
      </c>
      <c r="B40">
        <f>Table1[[#This Row],[Energy (hartrees)]]*$C$2</f>
        <v>-790676.78090715595</v>
      </c>
      <c r="C40" s="4">
        <f>Table1[[#This Row],[Energy (kcal)]]-MIN(Table1[Energy (kcal)])</f>
        <v>4.2119561937870458</v>
      </c>
      <c r="D40">
        <v>-1260.02259869509</v>
      </c>
      <c r="E40">
        <v>86</v>
      </c>
      <c r="F40" t="s">
        <v>20</v>
      </c>
      <c r="H40" s="10">
        <f>Table1[[#This Row],[Rel E]]</f>
        <v>4.2119561937870458</v>
      </c>
      <c r="I40" s="10">
        <f>IF(Table1[[#This Row],[rel G]]&lt;5,EXP(-H40/(D$2*E$2)),0)</f>
        <v>8.148429592065333E-4</v>
      </c>
      <c r="J40" s="10">
        <f>IF(Table1[[#This Row],[rel G]]&lt;5,I40/$F$2,0)</f>
        <v>9.1245607550754346E-5</v>
      </c>
      <c r="Q40" s="11"/>
    </row>
    <row r="41" spans="1:17" x14ac:dyDescent="0.25">
      <c r="A41">
        <f>Table1[[#This Row],[Gibbs Energy (hartree)]]</f>
        <v>-1260.01949617523</v>
      </c>
      <c r="B41">
        <f>Table1[[#This Row],[Energy (hartrees)]]*$C$2</f>
        <v>-790674.83404491853</v>
      </c>
      <c r="C41" s="4">
        <f>Table1[[#This Row],[Energy (kcal)]]-MIN(Table1[Energy (kcal)])</f>
        <v>6.158818431198597</v>
      </c>
      <c r="D41">
        <v>-1260.01949617523</v>
      </c>
      <c r="E41">
        <v>94</v>
      </c>
      <c r="F41" t="s">
        <v>18</v>
      </c>
      <c r="H41" s="10">
        <f>Table1[[#This Row],[Rel E]]</f>
        <v>6.158818431198597</v>
      </c>
      <c r="I41" s="10">
        <f>IF(Table1[[#This Row],[rel G]]&lt;5,EXP(-H41/(D$2*E$2)),0)</f>
        <v>0</v>
      </c>
      <c r="J41" s="10">
        <f>IF(Table1[[#This Row],[rel G]]&lt;5,I41/$F$2,0)</f>
        <v>0</v>
      </c>
      <c r="Q41" s="11"/>
    </row>
    <row r="42" spans="1:17" x14ac:dyDescent="0.25">
      <c r="A42">
        <f>Table1[[#This Row],[Gibbs Energy (hartree)]]</f>
        <v>-1260.02071069147</v>
      </c>
      <c r="B42">
        <f>Table1[[#This Row],[Energy (hartrees)]]*$C$2</f>
        <v>-790675.59616600431</v>
      </c>
      <c r="C42" s="4">
        <f>Table1[[#This Row],[Energy (kcal)]]-MIN(Table1[Energy (kcal)])</f>
        <v>5.3966973454225808</v>
      </c>
      <c r="D42">
        <v>-1260.02071069147</v>
      </c>
      <c r="E42">
        <v>101</v>
      </c>
      <c r="F42" t="s">
        <v>124</v>
      </c>
      <c r="H42" s="10">
        <f>Table1[[#This Row],[Rel E]]</f>
        <v>5.3966973454225808</v>
      </c>
      <c r="I42" s="10">
        <f>IF(Table1[[#This Row],[rel G]]&lt;5,EXP(-H42/(D$2*E$2)),0)</f>
        <v>0</v>
      </c>
      <c r="J42" s="10">
        <f>IF(Table1[[#This Row],[rel G]]&lt;5,I42/$F$2,0)</f>
        <v>0</v>
      </c>
      <c r="Q42" s="11"/>
    </row>
    <row r="43" spans="1:17" x14ac:dyDescent="0.25">
      <c r="A43">
        <f>Table1[[#This Row],[Gibbs Energy (hartree)]]</f>
        <v>-1260.02787065031</v>
      </c>
      <c r="B43">
        <f>Table1[[#This Row],[Energy (hartrees)]]*$C$2</f>
        <v>-790680.08911177597</v>
      </c>
      <c r="C43" s="4">
        <f>Table1[[#This Row],[Energy (kcal)]]-MIN(Table1[Energy (kcal)])</f>
        <v>0.90375157375819981</v>
      </c>
      <c r="D43">
        <v>-1260.02787065031</v>
      </c>
      <c r="E43">
        <v>103</v>
      </c>
      <c r="F43" t="s">
        <v>19</v>
      </c>
      <c r="H43" s="10">
        <f>Table1[[#This Row],[Rel E]]</f>
        <v>0.90375157375819981</v>
      </c>
      <c r="I43" s="10">
        <f>IF(Table1[[#This Row],[rel G]]&lt;5,EXP(-H43/(D$2*E$2)),0)</f>
        <v>0.21737765513061624</v>
      </c>
      <c r="J43" s="10">
        <f>IF(Table1[[#This Row],[rel G]]&lt;5,I43/$F$2,0)</f>
        <v>2.4341814562238901E-2</v>
      </c>
      <c r="Q43" s="11"/>
    </row>
    <row r="44" spans="1:17" x14ac:dyDescent="0.25">
      <c r="A44">
        <f>Table1[[#This Row],[Gibbs Energy (hartree)]]</f>
        <v>-1260.0178216756999</v>
      </c>
      <c r="B44">
        <f>Table1[[#This Row],[Energy (hartrees)]]*$C$2</f>
        <v>-790673.78327971848</v>
      </c>
      <c r="C44" s="4">
        <f>Table1[[#This Row],[Energy (kcal)]]-MIN(Table1[Energy (kcal)])</f>
        <v>7.2095836312510073</v>
      </c>
      <c r="D44">
        <v>-1260.0178216756999</v>
      </c>
      <c r="E44">
        <v>104</v>
      </c>
      <c r="F44" t="s">
        <v>122</v>
      </c>
      <c r="H44" s="10">
        <f>Table1[[#This Row],[Rel E]]</f>
        <v>7.2095836312510073</v>
      </c>
      <c r="I44" s="10">
        <f>IF(Table1[[#This Row],[rel G]]&lt;5,EXP(-H44/(D$2*E$2)),0)</f>
        <v>0</v>
      </c>
      <c r="J44" s="10">
        <f>IF(Table1[[#This Row],[rel G]]&lt;5,I44/$F$2,0)</f>
        <v>0</v>
      </c>
      <c r="Q44" s="11"/>
    </row>
    <row r="45" spans="1:17" x14ac:dyDescent="0.25">
      <c r="A45">
        <f>Table1[[#This Row],[Gibbs Energy (hartree)]]</f>
        <v>-1260.0204333527399</v>
      </c>
      <c r="B45">
        <f>Table1[[#This Row],[Energy (hartrees)]]*$C$2</f>
        <v>-790675.42213317787</v>
      </c>
      <c r="C45" s="4">
        <f>Table1[[#This Row],[Energy (kcal)]]-MIN(Table1[Energy (kcal)])</f>
        <v>5.5707301718648523</v>
      </c>
      <c r="D45">
        <v>-1260.0204333527399</v>
      </c>
      <c r="E45">
        <v>106</v>
      </c>
      <c r="F45" t="s">
        <v>18</v>
      </c>
      <c r="H45" s="10">
        <f>Table1[[#This Row],[Rel E]]</f>
        <v>5.5707301718648523</v>
      </c>
      <c r="I45" s="10">
        <f>IF(Table1[[#This Row],[rel G]]&lt;5,EXP(-H45/(D$2*E$2)),0)</f>
        <v>0</v>
      </c>
      <c r="J45" s="10">
        <f>IF(Table1[[#This Row],[rel G]]&lt;5,I45/$F$2,0)</f>
        <v>0</v>
      </c>
      <c r="Q45" s="11"/>
    </row>
    <row r="46" spans="1:17" x14ac:dyDescent="0.25">
      <c r="A46">
        <f>Table1[[#This Row],[Gibbs Energy (hartree)]]</f>
        <v>-1260.0208156024501</v>
      </c>
      <c r="B46">
        <f>Table1[[#This Row],[Energy (hartrees)]]*$C$2</f>
        <v>-790675.66199869337</v>
      </c>
      <c r="C46" s="4">
        <f>Table1[[#This Row],[Energy (kcal)]]-MIN(Table1[Energy (kcal)])</f>
        <v>5.3308646563673392</v>
      </c>
      <c r="D46">
        <v>-1260.0208156024501</v>
      </c>
      <c r="E46">
        <v>107</v>
      </c>
      <c r="F46" t="s">
        <v>20</v>
      </c>
      <c r="H46" s="10">
        <f>Table1[[#This Row],[Rel E]]</f>
        <v>5.3308646563673392</v>
      </c>
      <c r="I46" s="10">
        <f>IF(Table1[[#This Row],[rel G]]&lt;5,EXP(-H46/(D$2*E$2)),0)</f>
        <v>0</v>
      </c>
      <c r="J46" s="10">
        <f>IF(Table1[[#This Row],[rel G]]&lt;5,I46/$F$2,0)</f>
        <v>0</v>
      </c>
      <c r="Q46" s="11"/>
    </row>
    <row r="47" spans="1:17" x14ac:dyDescent="0.25">
      <c r="A47">
        <f>Table1[[#This Row],[Gibbs Energy (hartree)]]</f>
        <v>-1260.0270753734301</v>
      </c>
      <c r="B47">
        <f>Table1[[#This Row],[Energy (hartrees)]]*$C$2</f>
        <v>-790679.59006758104</v>
      </c>
      <c r="C47" s="4">
        <f>Table1[[#This Row],[Energy (kcal)]]-MIN(Table1[Energy (kcal)])</f>
        <v>1.4027957686921582</v>
      </c>
      <c r="D47">
        <v>-1260.0270753734301</v>
      </c>
      <c r="E47">
        <v>109</v>
      </c>
      <c r="F47" t="s">
        <v>122</v>
      </c>
      <c r="H47" s="10">
        <f>Table1[[#This Row],[Rel E]]</f>
        <v>1.4027957686921582</v>
      </c>
      <c r="I47" s="10">
        <f>IF(Table1[[#This Row],[rel G]]&lt;5,EXP(-H47/(D$2*E$2)),0)</f>
        <v>9.3590207873904166E-2</v>
      </c>
      <c r="J47" s="10">
        <f>IF(Table1[[#This Row],[rel G]]&lt;5,I47/$F$2,0)</f>
        <v>1.0480173242917196E-2</v>
      </c>
      <c r="Q47" s="11"/>
    </row>
    <row r="48" spans="1:17" x14ac:dyDescent="0.25">
      <c r="A48">
        <f>Table1[[#This Row],[Gibbs Energy (hartree)]]</f>
        <v>-1260.0248911111801</v>
      </c>
      <c r="B48">
        <f>Table1[[#This Row],[Energy (hartrees)]]*$C$2</f>
        <v>-790678.21942117659</v>
      </c>
      <c r="C48" s="4">
        <f>Table1[[#This Row],[Energy (kcal)]]-MIN(Table1[Energy (kcal)])</f>
        <v>2.7734421731438488</v>
      </c>
      <c r="D48">
        <v>-1260.0248911111801</v>
      </c>
      <c r="E48">
        <v>123</v>
      </c>
      <c r="F48" t="s">
        <v>19</v>
      </c>
      <c r="H48" s="10">
        <f>Table1[[#This Row],[Rel E]]</f>
        <v>2.7734421731438488</v>
      </c>
      <c r="I48" s="10">
        <f>IF(Table1[[#This Row],[rel G]]&lt;5,EXP(-H48/(D$2*E$2)),0)</f>
        <v>9.2477958053498455E-3</v>
      </c>
      <c r="J48" s="10">
        <f>IF(Table1[[#This Row],[rel G]]&lt;5,I48/$F$2,0)</f>
        <v>1.0355624200105362E-3</v>
      </c>
      <c r="Q48" s="11"/>
    </row>
    <row r="49" spans="1:17" x14ac:dyDescent="0.25">
      <c r="A49">
        <f>Table1[[#This Row],[Gibbs Energy (hartree)]]</f>
        <v>-1260.017999959</v>
      </c>
      <c r="B49">
        <f>Table1[[#This Row],[Energy (hartrees)]]*$C$2</f>
        <v>-790673.89515427209</v>
      </c>
      <c r="C49" s="4">
        <f>Table1[[#This Row],[Energy (kcal)]]-MIN(Table1[Energy (kcal)])</f>
        <v>7.0977090776432306</v>
      </c>
      <c r="D49">
        <v>-1260.017999959</v>
      </c>
      <c r="E49">
        <v>125</v>
      </c>
      <c r="F49" t="s">
        <v>114</v>
      </c>
      <c r="H49" s="10">
        <f>Table1[[#This Row],[Rel E]]</f>
        <v>7.0977090776432306</v>
      </c>
      <c r="I49" s="10">
        <f>IF(Table1[[#This Row],[rel G]]&lt;5,EXP(-H49/(D$2*E$2)),0)</f>
        <v>0</v>
      </c>
      <c r="J49" s="10">
        <f>IF(Table1[[#This Row],[rel G]]&lt;5,I49/$F$2,0)</f>
        <v>0</v>
      </c>
      <c r="Q49" s="11"/>
    </row>
    <row r="50" spans="1:17" x14ac:dyDescent="0.25">
      <c r="A50">
        <f>Table1[[#This Row],[Gibbs Energy (hartree)]]</f>
        <v>-1260.0239548070899</v>
      </c>
      <c r="B50">
        <f>Table1[[#This Row],[Energy (hartrees)]]*$C$2</f>
        <v>-790677.63188099698</v>
      </c>
      <c r="C50" s="4">
        <f>Table1[[#This Row],[Energy (kcal)]]-MIN(Table1[Energy (kcal)])</f>
        <v>3.3609823527513072</v>
      </c>
      <c r="D50">
        <v>-1260.0239548070899</v>
      </c>
      <c r="E50">
        <v>128</v>
      </c>
      <c r="F50" t="s">
        <v>20</v>
      </c>
      <c r="H50" s="10">
        <f>Table1[[#This Row],[Rel E]]</f>
        <v>3.3609823527513072</v>
      </c>
      <c r="I50" s="10">
        <f>IF(Table1[[#This Row],[rel G]]&lt;5,EXP(-H50/(D$2*E$2)),0)</f>
        <v>3.4288885120188723E-3</v>
      </c>
      <c r="J50" s="10">
        <f>IF(Table1[[#This Row],[rel G]]&lt;5,I50/$F$2,0)</f>
        <v>3.8396480201243605E-4</v>
      </c>
      <c r="Q50" s="11"/>
    </row>
    <row r="51" spans="1:17" x14ac:dyDescent="0.25">
      <c r="A51">
        <f>Table1[[#This Row],[Gibbs Energy (hartree)]]</f>
        <v>-1260.0260030601901</v>
      </c>
      <c r="B51">
        <f>Table1[[#This Row],[Energy (hartrees)]]*$C$2</f>
        <v>-790678.91718029988</v>
      </c>
      <c r="C51" s="4">
        <f>Table1[[#This Row],[Energy (kcal)]]-MIN(Table1[Energy (kcal)])</f>
        <v>2.0756830498576164</v>
      </c>
      <c r="D51">
        <v>-1260.0260030601901</v>
      </c>
      <c r="E51">
        <v>135</v>
      </c>
      <c r="F51" t="s">
        <v>123</v>
      </c>
      <c r="H51" s="10">
        <f>Table1[[#This Row],[Rel E]]</f>
        <v>2.0756830498576164</v>
      </c>
      <c r="I51" s="10">
        <f>IF(Table1[[#This Row],[rel G]]&lt;5,EXP(-H51/(D$2*E$2)),0)</f>
        <v>3.004377247819039E-2</v>
      </c>
      <c r="J51" s="10">
        <f>IF(Table1[[#This Row],[rel G]]&lt;5,I51/$F$2,0)</f>
        <v>3.3642829479174261E-3</v>
      </c>
      <c r="Q51" s="11"/>
    </row>
    <row r="52" spans="1:17" x14ac:dyDescent="0.25">
      <c r="A52">
        <f>Table1[[#This Row],[Gibbs Energy (hartree)]]</f>
        <v>-1260.02494030771</v>
      </c>
      <c r="B52">
        <f>Table1[[#This Row],[Energy (hartrees)]]*$C$2</f>
        <v>-790678.25029249117</v>
      </c>
      <c r="C52" s="4">
        <f>Table1[[#This Row],[Energy (kcal)]]-MIN(Table1[Energy (kcal)])</f>
        <v>2.7425708585651591</v>
      </c>
      <c r="D52">
        <v>-1260.02494030771</v>
      </c>
      <c r="E52">
        <v>136</v>
      </c>
      <c r="F52" t="s">
        <v>19</v>
      </c>
      <c r="H52" s="10">
        <f>Table1[[#This Row],[Rel E]]</f>
        <v>2.7425708585651591</v>
      </c>
      <c r="I52" s="10">
        <f>IF(Table1[[#This Row],[rel G]]&lt;5,EXP(-H52/(D$2*E$2)),0)</f>
        <v>9.7426781401277127E-3</v>
      </c>
      <c r="J52" s="10">
        <f>IF(Table1[[#This Row],[rel G]]&lt;5,I52/$F$2,0)</f>
        <v>1.0909790359274407E-3</v>
      </c>
      <c r="Q52" s="11"/>
    </row>
    <row r="53" spans="1:17" x14ac:dyDescent="0.25">
      <c r="A53">
        <f>Table1[[#This Row],[Gibbs Energy (hartree)]]</f>
        <v>-1260.0266702218901</v>
      </c>
      <c r="B53">
        <f>Table1[[#This Row],[Energy (hartrees)]]*$C$2</f>
        <v>-790679.33583093819</v>
      </c>
      <c r="C53" s="4">
        <f>Table1[[#This Row],[Energy (kcal)]]-MIN(Table1[Energy (kcal)])</f>
        <v>1.6570324115455151</v>
      </c>
      <c r="D53">
        <v>-1260.0266702218901</v>
      </c>
      <c r="E53">
        <v>142</v>
      </c>
      <c r="F53" t="s">
        <v>19</v>
      </c>
      <c r="H53" s="10">
        <f>Table1[[#This Row],[Rel E]]</f>
        <v>1.6570324115455151</v>
      </c>
      <c r="I53" s="10">
        <f>IF(Table1[[#This Row],[rel G]]&lt;5,EXP(-H53/(D$2*E$2)),0)</f>
        <v>6.0922912563420015E-2</v>
      </c>
      <c r="J53" s="10">
        <f>IF(Table1[[#This Row],[rel G]]&lt;5,I53/$F$2,0)</f>
        <v>6.8221098406788241E-3</v>
      </c>
      <c r="Q53" s="11"/>
    </row>
    <row r="54" spans="1:17" x14ac:dyDescent="0.25">
      <c r="A54">
        <f>Table1[[#This Row],[Gibbs Energy (hartree)]]</f>
        <v>-1260.0227295479101</v>
      </c>
      <c r="B54">
        <f>Table1[[#This Row],[Energy (hartrees)]]*$C$2</f>
        <v>-790676.863018609</v>
      </c>
      <c r="C54" s="4">
        <f>Table1[[#This Row],[Energy (kcal)]]-MIN(Table1[Energy (kcal)])</f>
        <v>4.1298447407316417</v>
      </c>
      <c r="D54">
        <v>-1260.0227295479101</v>
      </c>
      <c r="E54">
        <v>143</v>
      </c>
      <c r="F54" t="s">
        <v>122</v>
      </c>
      <c r="H54" s="10">
        <f>Table1[[#This Row],[Rel E]]</f>
        <v>4.1298447407316417</v>
      </c>
      <c r="I54" s="10">
        <f>IF(Table1[[#This Row],[rel G]]&lt;5,EXP(-H54/(D$2*E$2)),0)</f>
        <v>9.360349547910627E-4</v>
      </c>
      <c r="J54" s="10">
        <f>IF(Table1[[#This Row],[rel G]]&lt;5,I54/$F$2,0)</f>
        <v>1.0481661180679757E-4</v>
      </c>
      <c r="Q54" s="11"/>
    </row>
    <row r="55" spans="1:17" x14ac:dyDescent="0.25">
      <c r="A55">
        <f>Table1[[#This Row],[Gibbs Energy (hartree)]]</f>
        <v>-1260.0226816433301</v>
      </c>
      <c r="B55">
        <f>Table1[[#This Row],[Energy (hartrees)]]*$C$2</f>
        <v>-790676.83295800607</v>
      </c>
      <c r="C55" s="4">
        <f>Table1[[#This Row],[Energy (kcal)]]-MIN(Table1[Energy (kcal)])</f>
        <v>4.1599053436657414</v>
      </c>
      <c r="D55">
        <v>-1260.0226816433301</v>
      </c>
      <c r="E55">
        <v>144</v>
      </c>
      <c r="F55" t="s">
        <v>20</v>
      </c>
      <c r="H55" s="10">
        <f>Table1[[#This Row],[Rel E]]</f>
        <v>4.1599053436657414</v>
      </c>
      <c r="I55" s="10">
        <f>IF(Table1[[#This Row],[rel G]]&lt;5,EXP(-H55/(D$2*E$2)),0)</f>
        <v>8.8970595176977038E-4</v>
      </c>
      <c r="J55" s="10">
        <f>IF(Table1[[#This Row],[rel G]]&lt;5,I55/$F$2,0)</f>
        <v>9.9628718875851752E-5</v>
      </c>
      <c r="Q55" s="11"/>
    </row>
    <row r="56" spans="1:17" x14ac:dyDescent="0.25">
      <c r="A56">
        <f>Table1[[#This Row],[Gibbs Energy (hartree)]]</f>
        <v>-1260.02364446197</v>
      </c>
      <c r="B56">
        <f>Table1[[#This Row],[Energy (hartrees)]]*$C$2</f>
        <v>-790677.43713633076</v>
      </c>
      <c r="C56" s="4">
        <f>Table1[[#This Row],[Energy (kcal)]]-MIN(Table1[Energy (kcal)])</f>
        <v>3.5557270189747214</v>
      </c>
      <c r="D56">
        <v>-1260.02364446197</v>
      </c>
      <c r="E56">
        <v>145</v>
      </c>
      <c r="F56" t="s">
        <v>19</v>
      </c>
      <c r="H56" s="10">
        <f>Table1[[#This Row],[Rel E]]</f>
        <v>3.5557270189747214</v>
      </c>
      <c r="I56" s="10">
        <f>IF(Table1[[#This Row],[rel G]]&lt;5,EXP(-H56/(D$2*E$2)),0)</f>
        <v>2.4679325978492384E-3</v>
      </c>
      <c r="J56" s="10">
        <f>IF(Table1[[#This Row],[rel G]]&lt;5,I56/$F$2,0)</f>
        <v>2.7635755668103923E-4</v>
      </c>
      <c r="Q56" s="11"/>
    </row>
    <row r="57" spans="1:17" x14ac:dyDescent="0.25">
      <c r="A57">
        <f>Table1[[#This Row],[Gibbs Energy (hartree)]]</f>
        <v>-1260.02521262818</v>
      </c>
      <c r="B57">
        <f>Table1[[#This Row],[Energy (hartrees)]]*$C$2</f>
        <v>-790678.42117630923</v>
      </c>
      <c r="C57" s="4">
        <f>Table1[[#This Row],[Energy (kcal)]]-MIN(Table1[Energy (kcal)])</f>
        <v>2.5716870405012742</v>
      </c>
      <c r="D57">
        <v>-1260.02521262818</v>
      </c>
      <c r="E57">
        <v>166</v>
      </c>
      <c r="F57" t="s">
        <v>19</v>
      </c>
      <c r="H57" s="10">
        <f>Table1[[#This Row],[Rel E]]</f>
        <v>2.5716870405012742</v>
      </c>
      <c r="I57" s="10">
        <f>IF(Table1[[#This Row],[rel G]]&lt;5,EXP(-H57/(D$2*E$2)),0)</f>
        <v>1.3001683025790894E-2</v>
      </c>
      <c r="J57" s="10">
        <f>IF(Table1[[#This Row],[rel G]]&lt;5,I57/$F$2,0)</f>
        <v>1.4559203751675592E-3</v>
      </c>
      <c r="Q57" s="11"/>
    </row>
    <row r="58" spans="1:17" x14ac:dyDescent="0.25">
      <c r="A58">
        <f>Table1[[#This Row],[Gibbs Energy (hartree)]]</f>
        <v>-1260.0237451553301</v>
      </c>
      <c r="B58">
        <f>Table1[[#This Row],[Energy (hartrees)]]*$C$2</f>
        <v>-790677.5003224212</v>
      </c>
      <c r="C58" s="4">
        <f>Table1[[#This Row],[Energy (kcal)]]-MIN(Table1[Energy (kcal)])</f>
        <v>3.4925409285351634</v>
      </c>
      <c r="D58">
        <v>-1260.0237451553301</v>
      </c>
      <c r="E58">
        <v>173</v>
      </c>
      <c r="F58" t="s">
        <v>20</v>
      </c>
      <c r="H58" s="10">
        <f>Table1[[#This Row],[Rel E]]</f>
        <v>3.4925409285351634</v>
      </c>
      <c r="I58" s="10">
        <f>IF(Table1[[#This Row],[rel G]]&lt;5,EXP(-H58/(D$2*E$2)),0)</f>
        <v>2.7458204432143827E-3</v>
      </c>
      <c r="J58" s="10">
        <f>IF(Table1[[#This Row],[rel G]]&lt;5,I58/$F$2,0)</f>
        <v>3.0747526469437659E-4</v>
      </c>
      <c r="Q58" s="11"/>
    </row>
    <row r="59" spans="1:17" x14ac:dyDescent="0.25">
      <c r="A59">
        <f>Table1[[#This Row],[Gibbs Energy (hartree)]]</f>
        <v>-1260.0225793550101</v>
      </c>
      <c r="B59">
        <f>Table1[[#This Row],[Energy (hartrees)]]*$C$2</f>
        <v>-790676.76877106237</v>
      </c>
      <c r="C59" s="4">
        <f>Table1[[#This Row],[Energy (kcal)]]-MIN(Table1[Energy (kcal)])</f>
        <v>4.2240922873606905</v>
      </c>
      <c r="D59">
        <v>-1260.0225793550101</v>
      </c>
      <c r="E59">
        <v>191</v>
      </c>
      <c r="F59" t="s">
        <v>20</v>
      </c>
      <c r="H59" s="10">
        <f>Table1[[#This Row],[Rel E]]</f>
        <v>4.2240922873606905</v>
      </c>
      <c r="I59" s="10">
        <f>IF(Table1[[#This Row],[rel G]]&lt;5,EXP(-H59/(D$2*E$2)),0)</f>
        <v>7.9831384183581616E-4</v>
      </c>
      <c r="J59" s="10">
        <f>IF(Table1[[#This Row],[rel G]]&lt;5,I59/$F$2,0)</f>
        <v>8.9394687272523727E-5</v>
      </c>
      <c r="Q59" s="11"/>
    </row>
    <row r="60" spans="1:17" x14ac:dyDescent="0.25">
      <c r="A60">
        <f>Table1[[#This Row],[Gibbs Energy (hartree)]]</f>
        <v>-1260.02477807369</v>
      </c>
      <c r="B60">
        <f>Table1[[#This Row],[Energy (hartrees)]]*$C$2</f>
        <v>-790678.14848902123</v>
      </c>
      <c r="C60" s="4">
        <f>Table1[[#This Row],[Energy (kcal)]]-MIN(Table1[Energy (kcal)])</f>
        <v>2.8443743285024539</v>
      </c>
      <c r="D60">
        <v>-1260.02477807369</v>
      </c>
      <c r="E60">
        <v>193</v>
      </c>
      <c r="F60" t="s">
        <v>20</v>
      </c>
      <c r="H60" s="10">
        <f>Table1[[#This Row],[Rel E]]</f>
        <v>2.8443743285024539</v>
      </c>
      <c r="I60" s="10">
        <f>IF(Table1[[#This Row],[rel G]]&lt;5,EXP(-H60/(D$2*E$2)),0)</f>
        <v>8.2038678033920214E-3</v>
      </c>
      <c r="J60" s="10">
        <f>IF(Table1[[#This Row],[rel G]]&lt;5,I60/$F$2,0)</f>
        <v>9.1866401191648855E-4</v>
      </c>
      <c r="Q60" s="11"/>
    </row>
    <row r="61" spans="1:17" x14ac:dyDescent="0.25">
      <c r="A61">
        <f>Table1[[#This Row],[Gibbs Energy (hartree)]]</f>
        <v>-1260.0199967004601</v>
      </c>
      <c r="B61">
        <f>Table1[[#This Row],[Energy (hartrees)]]*$C$2</f>
        <v>-790675.14812950569</v>
      </c>
      <c r="C61" s="4">
        <f>Table1[[#This Row],[Energy (kcal)]]-MIN(Table1[Energy (kcal)])</f>
        <v>5.8447338440455496</v>
      </c>
      <c r="D61">
        <v>-1260.0199967004601</v>
      </c>
      <c r="E61">
        <v>197</v>
      </c>
      <c r="F61" t="s">
        <v>17</v>
      </c>
      <c r="H61" s="10">
        <f>Table1[[#This Row],[Rel E]]</f>
        <v>5.8447338440455496</v>
      </c>
      <c r="I61" s="10">
        <f>IF(Table1[[#This Row],[rel G]]&lt;5,EXP(-H61/(D$2*E$2)),0)</f>
        <v>0</v>
      </c>
      <c r="J61" s="10">
        <f>IF(Table1[[#This Row],[rel G]]&lt;5,I61/$F$2,0)</f>
        <v>0</v>
      </c>
      <c r="Q61" s="11"/>
    </row>
    <row r="62" spans="1:17" x14ac:dyDescent="0.25">
      <c r="A62">
        <f>Table1[[#This Row],[Gibbs Energy (hartree)]]</f>
        <v>-1260.02173789312</v>
      </c>
      <c r="B62">
        <f>Table1[[#This Row],[Energy (hartrees)]]*$C$2</f>
        <v>-790676.24074531172</v>
      </c>
      <c r="C62" s="4">
        <f>Table1[[#This Row],[Energy (kcal)]]-MIN(Table1[Energy (kcal)])</f>
        <v>4.7521180380135775</v>
      </c>
      <c r="D62">
        <v>-1260.02173789312</v>
      </c>
      <c r="E62">
        <v>208</v>
      </c>
      <c r="F62" t="s">
        <v>19</v>
      </c>
      <c r="H62" s="10">
        <f>Table1[[#This Row],[Rel E]]</f>
        <v>4.7521180380135775</v>
      </c>
      <c r="I62" s="10">
        <f>IF(Table1[[#This Row],[rel G]]&lt;5,EXP(-H62/(D$2*E$2)),0)</f>
        <v>3.2729166259746036E-4</v>
      </c>
      <c r="J62" s="10">
        <f>IF(Table1[[#This Row],[rel G]]&lt;5,I62/$F$2,0)</f>
        <v>3.6649916726386473E-5</v>
      </c>
      <c r="Q62" s="11"/>
    </row>
    <row r="63" spans="1:17" x14ac:dyDescent="0.25">
      <c r="A63">
        <f>Table1[[#This Row],[Gibbs Energy (hartree)]]</f>
        <v>-1260.0233616258899</v>
      </c>
      <c r="B63">
        <f>Table1[[#This Row],[Energy (hartrees)]]*$C$2</f>
        <v>-790677.25965386222</v>
      </c>
      <c r="C63" s="4">
        <f>Table1[[#This Row],[Energy (kcal)]]-MIN(Table1[Energy (kcal)])</f>
        <v>3.733209487516433</v>
      </c>
      <c r="D63">
        <v>-1260.0233616258899</v>
      </c>
      <c r="E63">
        <v>212</v>
      </c>
      <c r="F63" t="s">
        <v>20</v>
      </c>
      <c r="H63" s="10">
        <f>Table1[[#This Row],[Rel E]]</f>
        <v>3.733209487516433</v>
      </c>
      <c r="I63" s="10">
        <f>IF(Table1[[#This Row],[rel G]]&lt;5,EXP(-H63/(D$2*E$2)),0)</f>
        <v>1.8288278120165917E-3</v>
      </c>
      <c r="J63" s="10">
        <f>IF(Table1[[#This Row],[rel G]]&lt;5,I63/$F$2,0)</f>
        <v>2.0479100043481447E-4</v>
      </c>
      <c r="Q63" s="11"/>
    </row>
    <row r="64" spans="1:17" x14ac:dyDescent="0.25">
      <c r="A64">
        <f>Table1[[#This Row],[Gibbs Energy (hartree)]]</f>
        <v>-1260.02503379675</v>
      </c>
      <c r="B64">
        <f>Table1[[#This Row],[Energy (hartrees)]]*$C$2</f>
        <v>-790678.30895779852</v>
      </c>
      <c r="C64" s="4">
        <f>Table1[[#This Row],[Energy (kcal)]]-MIN(Table1[Energy (kcal)])</f>
        <v>2.6839055512100458</v>
      </c>
      <c r="D64">
        <v>-1260.02503379675</v>
      </c>
      <c r="E64">
        <v>215</v>
      </c>
      <c r="F64" t="s">
        <v>20</v>
      </c>
      <c r="H64" s="10">
        <f>Table1[[#This Row],[Rel E]]</f>
        <v>2.6839055512100458</v>
      </c>
      <c r="I64" s="10">
        <f>IF(Table1[[#This Row],[rel G]]&lt;5,EXP(-H64/(D$2*E$2)),0)</f>
        <v>1.075726294310698E-2</v>
      </c>
      <c r="J64" s="10">
        <f>IF(Table1[[#This Row],[rel G]]&lt;5,I64/$F$2,0)</f>
        <v>1.2045916108581406E-3</v>
      </c>
      <c r="Q64" s="11"/>
    </row>
    <row r="65" spans="1:17" x14ac:dyDescent="0.25">
      <c r="A65">
        <f>Table1[[#This Row],[Gibbs Energy (hartree)]]</f>
        <v>-1260.02237983499</v>
      </c>
      <c r="B65">
        <f>Table1[[#This Row],[Energy (hartrees)]]*$C$2</f>
        <v>-790676.64357025456</v>
      </c>
      <c r="C65" s="4">
        <f>Table1[[#This Row],[Energy (kcal)]]-MIN(Table1[Energy (kcal)])</f>
        <v>4.3492930951761082</v>
      </c>
      <c r="D65">
        <v>-1260.02237983499</v>
      </c>
      <c r="E65">
        <v>219</v>
      </c>
      <c r="F65" t="s">
        <v>20</v>
      </c>
      <c r="H65" s="10">
        <f>Table1[[#This Row],[Rel E]]</f>
        <v>4.3492930951761082</v>
      </c>
      <c r="I65" s="10">
        <f>IF(Table1[[#This Row],[rel G]]&lt;5,EXP(-H65/(D$2*E$2)),0)</f>
        <v>6.4618226018371173E-4</v>
      </c>
      <c r="J65" s="10">
        <f>IF(Table1[[#This Row],[rel G]]&lt;5,I65/$F$2,0)</f>
        <v>7.2359087420227486E-5</v>
      </c>
      <c r="Q65" s="11"/>
    </row>
    <row r="66" spans="1:17" x14ac:dyDescent="0.25">
      <c r="A66">
        <f>Table1[[#This Row],[Gibbs Energy (hartree)]]</f>
        <v>-1260.0190916337799</v>
      </c>
      <c r="B66">
        <f>Table1[[#This Row],[Energy (hartrees)]]*$C$2</f>
        <v>-790674.58019111317</v>
      </c>
      <c r="C66" s="4">
        <f>Table1[[#This Row],[Energy (kcal)]]-MIN(Table1[Energy (kcal)])</f>
        <v>6.4126722365617752</v>
      </c>
      <c r="D66">
        <v>-1260.0190916337799</v>
      </c>
      <c r="E66">
        <v>220</v>
      </c>
      <c r="F66" t="s">
        <v>20</v>
      </c>
      <c r="H66" s="10">
        <f>Table1[[#This Row],[Rel E]]</f>
        <v>6.4126722365617752</v>
      </c>
      <c r="I66" s="10">
        <f>IF(Table1[[#This Row],[rel G]]&lt;5,EXP(-H66/(D$2*E$2)),0)</f>
        <v>0</v>
      </c>
      <c r="J66" s="10">
        <f>IF(Table1[[#This Row],[rel G]]&lt;5,I66/$F$2,0)</f>
        <v>0</v>
      </c>
      <c r="Q66" s="11"/>
    </row>
    <row r="67" spans="1:17" x14ac:dyDescent="0.25">
      <c r="A67">
        <f>Table1[[#This Row],[Gibbs Energy (hartree)]]</f>
        <v>-1260.0248351622399</v>
      </c>
      <c r="B67">
        <f>Table1[[#This Row],[Energy (hartrees)]]*$C$2</f>
        <v>-790678.18431265722</v>
      </c>
      <c r="C67" s="4">
        <f>Table1[[#This Row],[Energy (kcal)]]-MIN(Table1[Energy (kcal)])</f>
        <v>2.8085506925126538</v>
      </c>
      <c r="D67">
        <v>-1260.0248351622399</v>
      </c>
      <c r="E67">
        <v>241</v>
      </c>
      <c r="F67" t="s">
        <v>20</v>
      </c>
      <c r="H67" s="10">
        <f>Table1[[#This Row],[Rel E]]</f>
        <v>2.8085506925126538</v>
      </c>
      <c r="I67" s="10">
        <f>IF(Table1[[#This Row],[rel G]]&lt;5,EXP(-H67/(D$2*E$2)),0)</f>
        <v>8.7154670544294481E-3</v>
      </c>
      <c r="J67" s="10">
        <f>IF(Table1[[#This Row],[rel G]]&lt;5,I67/$F$2,0)</f>
        <v>9.7595257771434173E-4</v>
      </c>
      <c r="Q67" s="11"/>
    </row>
    <row r="68" spans="1:17" x14ac:dyDescent="0.25">
      <c r="A68">
        <f>Table1[[#This Row],[Gibbs Energy (hartree)]]</f>
        <v>-1260.0230974889</v>
      </c>
      <c r="B68">
        <f>Table1[[#This Row],[Energy (hartrees)]]*$C$2</f>
        <v>-790677.09390525962</v>
      </c>
      <c r="C68" s="4">
        <f>Table1[[#This Row],[Energy (kcal)]]-MIN(Table1[Energy (kcal)])</f>
        <v>3.898958090110682</v>
      </c>
      <c r="D68">
        <v>-1260.0230974889</v>
      </c>
      <c r="E68">
        <v>272</v>
      </c>
      <c r="F68" t="s">
        <v>19</v>
      </c>
      <c r="H68" s="10">
        <f>Table1[[#This Row],[Rel E]]</f>
        <v>3.898958090110682</v>
      </c>
      <c r="I68" s="10">
        <f>IF(Table1[[#This Row],[rel G]]&lt;5,EXP(-H68/(D$2*E$2)),0)</f>
        <v>1.3823487261871289E-3</v>
      </c>
      <c r="J68" s="10">
        <f>IF(Table1[[#This Row],[rel G]]&lt;5,I68/$F$2,0)</f>
        <v>1.5479455021711209E-4</v>
      </c>
      <c r="Q68" s="11"/>
    </row>
    <row r="69" spans="1:17" x14ac:dyDescent="0.25">
      <c r="A69">
        <f>Table1[[#This Row],[Gibbs Energy (hartree)]]</f>
        <v>-1260.02176798298</v>
      </c>
      <c r="B69">
        <f>Table1[[#This Row],[Energy (hartrees)]]*$C$2</f>
        <v>-790676.25962699973</v>
      </c>
      <c r="C69" s="4">
        <f>Table1[[#This Row],[Energy (kcal)]]-MIN(Table1[Energy (kcal)])</f>
        <v>4.7332363500026986</v>
      </c>
      <c r="D69">
        <v>-1260.02176798298</v>
      </c>
      <c r="E69">
        <v>276</v>
      </c>
      <c r="F69" t="s">
        <v>17</v>
      </c>
      <c r="H69" s="10">
        <f>Table1[[#This Row],[Rel E]]</f>
        <v>4.7332363500026986</v>
      </c>
      <c r="I69" s="10">
        <f>IF(Table1[[#This Row],[rel G]]&lt;5,EXP(-H69/(D$2*E$2)),0)</f>
        <v>3.3789535582940495E-4</v>
      </c>
      <c r="J69" s="10">
        <f>IF(Table1[[#This Row],[rel G]]&lt;5,I69/$F$2,0)</f>
        <v>3.7837311696544603E-5</v>
      </c>
      <c r="Q69" s="11"/>
    </row>
    <row r="70" spans="1:17" x14ac:dyDescent="0.25">
      <c r="A70">
        <f>Table1[[#This Row],[Gibbs Energy (hartree)]]</f>
        <v>-1260.02104932159</v>
      </c>
      <c r="B70">
        <f>Table1[[#This Row],[Energy (hartrees)]]*$C$2</f>
        <v>-790675.8086597909</v>
      </c>
      <c r="C70" s="4">
        <f>Table1[[#This Row],[Energy (kcal)]]-MIN(Table1[Energy (kcal)])</f>
        <v>5.1842035588342696</v>
      </c>
      <c r="D70">
        <v>-1260.02104932159</v>
      </c>
      <c r="E70">
        <v>278</v>
      </c>
      <c r="F70" t="s">
        <v>19</v>
      </c>
      <c r="H70" s="10">
        <f>Table1[[#This Row],[Rel E]]</f>
        <v>5.1842035588342696</v>
      </c>
      <c r="I70" s="10">
        <f>IF(Table1[[#This Row],[rel G]]&lt;5,EXP(-H70/(D$2*E$2)),0)</f>
        <v>0</v>
      </c>
      <c r="J70" s="10">
        <f>IF(Table1[[#This Row],[rel G]]&lt;5,I70/$F$2,0)</f>
        <v>0</v>
      </c>
      <c r="Q70" s="11"/>
    </row>
    <row r="71" spans="1:17" x14ac:dyDescent="0.25">
      <c r="A71">
        <f>Table1[[#This Row],[Gibbs Energy (hartree)]]</f>
        <v>-1260.0223547705</v>
      </c>
      <c r="B71">
        <f>Table1[[#This Row],[Energy (hartrees)]]*$C$2</f>
        <v>-790676.62784203643</v>
      </c>
      <c r="C71" s="4">
        <f>Table1[[#This Row],[Energy (kcal)]]-MIN(Table1[Energy (kcal)])</f>
        <v>4.3650213133078068</v>
      </c>
      <c r="D71">
        <v>-1260.0223547705</v>
      </c>
      <c r="E71">
        <v>283</v>
      </c>
      <c r="F71" t="s">
        <v>19</v>
      </c>
      <c r="H71" s="10">
        <f>Table1[[#This Row],[Rel E]]</f>
        <v>4.3650213133078068</v>
      </c>
      <c r="I71" s="10">
        <f>IF(Table1[[#This Row],[rel G]]&lt;5,EXP(-H71/(D$2*E$2)),0)</f>
        <v>6.2924592775361033E-4</v>
      </c>
      <c r="J71" s="10">
        <f>IF(Table1[[#This Row],[rel G]]&lt;5,I71/$F$2,0)</f>
        <v>7.0462567453029177E-5</v>
      </c>
      <c r="Q71" s="11"/>
    </row>
    <row r="72" spans="1:17" x14ac:dyDescent="0.25">
      <c r="A72">
        <f>Table1[[#This Row],[Gibbs Energy (hartree)]]</f>
        <v>-1260.0192879937699</v>
      </c>
      <c r="B72">
        <f>Table1[[#This Row],[Energy (hartrees)]]*$C$2</f>
        <v>-790674.7034089705</v>
      </c>
      <c r="C72" s="4">
        <f>Table1[[#This Row],[Energy (kcal)]]-MIN(Table1[Energy (kcal)])</f>
        <v>6.2894543792353943</v>
      </c>
      <c r="D72">
        <v>-1260.0192879937699</v>
      </c>
      <c r="E72">
        <v>290</v>
      </c>
      <c r="F72" t="s">
        <v>17</v>
      </c>
      <c r="H72" s="10">
        <f>Table1[[#This Row],[Rel E]]</f>
        <v>6.2894543792353943</v>
      </c>
      <c r="I72" s="10">
        <f>IF(Table1[[#This Row],[rel G]]&lt;5,EXP(-H72/(D$2*E$2)),0)</f>
        <v>0</v>
      </c>
      <c r="J72" s="10">
        <f>IF(Table1[[#This Row],[rel G]]&lt;5,I72/$F$2,0)</f>
        <v>0</v>
      </c>
      <c r="Q72" s="11"/>
    </row>
    <row r="73" spans="1:17" x14ac:dyDescent="0.25">
      <c r="A73">
        <f>Table1[[#This Row],[Gibbs Energy (hartree)]]</f>
        <v>-1260.02105863784</v>
      </c>
      <c r="B73">
        <f>Table1[[#This Row],[Energy (hartrees)]]*$C$2</f>
        <v>-790675.81450583099</v>
      </c>
      <c r="C73" s="4">
        <f>Table1[[#This Row],[Energy (kcal)]]-MIN(Table1[Energy (kcal)])</f>
        <v>5.1783575187437236</v>
      </c>
      <c r="D73">
        <v>-1260.02105863784</v>
      </c>
      <c r="E73">
        <v>333</v>
      </c>
      <c r="F73" t="s">
        <v>123</v>
      </c>
      <c r="H73" s="10">
        <f>Table1[[#This Row],[Rel E]]</f>
        <v>5.1783575187437236</v>
      </c>
      <c r="I73" s="10">
        <f>IF(Table1[[#This Row],[rel G]]&lt;5,EXP(-H73/(D$2*E$2)),0)</f>
        <v>0</v>
      </c>
      <c r="J73" s="10">
        <f>IF(Table1[[#This Row],[rel G]]&lt;5,I73/$F$2,0)</f>
        <v>0</v>
      </c>
      <c r="Q73" s="11"/>
    </row>
    <row r="74" spans="1:17" x14ac:dyDescent="0.25">
      <c r="A74">
        <f>Table1[[#This Row],[Gibbs Energy (hartree)]]</f>
        <v>-1260.0215832098199</v>
      </c>
      <c r="B74">
        <f>Table1[[#This Row],[Energy (hartrees)]]*$C$2</f>
        <v>-790676.14367999404</v>
      </c>
      <c r="C74" s="4">
        <f>Table1[[#This Row],[Energy (kcal)]]-MIN(Table1[Energy (kcal)])</f>
        <v>4.8491833556909114</v>
      </c>
      <c r="D74">
        <v>-1260.0215832098199</v>
      </c>
      <c r="E74">
        <v>373</v>
      </c>
      <c r="F74" t="s">
        <v>17</v>
      </c>
      <c r="H74" s="10">
        <f>Table1[[#This Row],[Rel E]]</f>
        <v>4.8491833556909114</v>
      </c>
      <c r="I74" s="10">
        <f>IF(Table1[[#This Row],[rel G]]&lt;5,EXP(-H74/(D$2*E$2)),0)</f>
        <v>2.7781140021109656E-4</v>
      </c>
      <c r="J74" s="10">
        <f>IF(Table1[[#This Row],[rel G]]&lt;5,I74/$F$2,0)</f>
        <v>3.1109147732553699E-5</v>
      </c>
      <c r="Q74" s="11"/>
    </row>
    <row r="75" spans="1:17" x14ac:dyDescent="0.25">
      <c r="A75">
        <f>Table1[[#This Row],[Gibbs Energy (hartree)]]</f>
        <v>-1260.0206712131701</v>
      </c>
      <c r="B75">
        <f>Table1[[#This Row],[Energy (hartrees)]]*$C$2</f>
        <v>-790675.57139297633</v>
      </c>
      <c r="C75" s="4">
        <f>Table1[[#This Row],[Energy (kcal)]]-MIN(Table1[Energy (kcal)])</f>
        <v>5.421470373403281</v>
      </c>
      <c r="D75">
        <v>-1260.0206712131701</v>
      </c>
      <c r="E75">
        <v>396</v>
      </c>
      <c r="F75" t="s">
        <v>17</v>
      </c>
      <c r="H75" s="10">
        <f>Table1[[#This Row],[Rel E]]</f>
        <v>5.421470373403281</v>
      </c>
      <c r="I75" s="10">
        <f>IF(Table1[[#This Row],[rel G]]&lt;5,EXP(-H75/(D$2*E$2)),0)</f>
        <v>0</v>
      </c>
      <c r="J75" s="10">
        <f>IF(Table1[[#This Row],[rel G]]&lt;5,I75/$F$2,0)</f>
        <v>0</v>
      </c>
      <c r="Q75" s="11"/>
    </row>
    <row r="76" spans="1:17" x14ac:dyDescent="0.25">
      <c r="C76" s="4"/>
      <c r="H76" s="10"/>
      <c r="I76" s="10"/>
      <c r="J76" s="10"/>
      <c r="Q76" s="11"/>
    </row>
    <row r="77" spans="1:17" x14ac:dyDescent="0.25">
      <c r="C77" s="4"/>
      <c r="H77" s="10"/>
      <c r="I77" s="10"/>
      <c r="J77" s="10"/>
      <c r="Q77" s="11"/>
    </row>
    <row r="78" spans="1:17" x14ac:dyDescent="0.25">
      <c r="C78" s="4"/>
      <c r="H78" s="10"/>
      <c r="I78" s="10"/>
      <c r="J78" s="10"/>
      <c r="Q78" s="11"/>
    </row>
    <row r="79" spans="1:17" x14ac:dyDescent="0.25">
      <c r="C79" s="4"/>
      <c r="H79" s="10"/>
      <c r="I79" s="10"/>
      <c r="J79" s="10"/>
      <c r="Q79" s="11"/>
    </row>
    <row r="80" spans="1:17" x14ac:dyDescent="0.25">
      <c r="C80" s="4"/>
      <c r="H80" s="10"/>
      <c r="I80" s="10"/>
      <c r="J80" s="10"/>
      <c r="Q80" s="11"/>
    </row>
    <row r="81" spans="3:17" x14ac:dyDescent="0.25">
      <c r="C81" s="4"/>
      <c r="H81" s="10"/>
      <c r="I81" s="10"/>
      <c r="J81" s="10"/>
      <c r="Q81" s="11"/>
    </row>
    <row r="82" spans="3:17" x14ac:dyDescent="0.25">
      <c r="C82" s="4"/>
      <c r="H82" s="10"/>
      <c r="I82" s="10"/>
      <c r="J82" s="10"/>
      <c r="Q82" s="11"/>
    </row>
    <row r="83" spans="3:17" x14ac:dyDescent="0.25">
      <c r="C83" s="4"/>
      <c r="D83" s="4"/>
      <c r="H83" s="4"/>
      <c r="I83" s="4"/>
      <c r="J83" s="4"/>
      <c r="Q83" s="12"/>
    </row>
    <row r="84" spans="3:17" x14ac:dyDescent="0.25">
      <c r="C84" s="4"/>
      <c r="D84" s="4"/>
      <c r="H84" s="4"/>
      <c r="I84" s="4"/>
      <c r="J84" s="4"/>
    </row>
    <row r="85" spans="3:17" x14ac:dyDescent="0.25">
      <c r="C85" s="4"/>
      <c r="D85" s="4"/>
      <c r="H85" s="4"/>
      <c r="I85" s="4"/>
      <c r="J85" s="4"/>
    </row>
    <row r="86" spans="3:17" x14ac:dyDescent="0.25">
      <c r="C86" s="4"/>
      <c r="D86" s="4"/>
      <c r="H86" s="4"/>
      <c r="I86" s="4"/>
      <c r="J86" s="4"/>
    </row>
  </sheetData>
  <sortState xmlns:xlrd2="http://schemas.microsoft.com/office/spreadsheetml/2017/richdata2" ref="M7:P13">
    <sortCondition descending="1" ref="O7:O13"/>
  </sortState>
  <phoneticPr fontId="4" type="noConversion"/>
  <conditionalFormatting sqref="H7:H75">
    <cfRule type="cellIs" dxfId="17" priority="3" operator="lessThan">
      <formula>5</formula>
    </cfRule>
    <cfRule type="cellIs" dxfId="16" priority="4" operator="greaterThan">
      <formula>5</formula>
    </cfRule>
  </conditionalFormatting>
  <conditionalFormatting sqref="X76:X79">
    <cfRule type="cellIs" dxfId="15" priority="2" operator="greaterThan">
      <formula>5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EDE23-14B5-4F34-8B41-10E18CB07CA4}">
  <dimension ref="A1:AF79"/>
  <sheetViews>
    <sheetView topLeftCell="A55" workbookViewId="0">
      <selection activeCell="S73" sqref="S73"/>
    </sheetView>
  </sheetViews>
  <sheetFormatPr defaultRowHeight="15" x14ac:dyDescent="0.25"/>
  <cols>
    <col min="1" max="1" width="10.140625" customWidth="1"/>
    <col min="11" max="11" width="13.42578125" customWidth="1"/>
  </cols>
  <sheetData>
    <row r="1" spans="1:31" x14ac:dyDescent="0.25">
      <c r="A1" t="s">
        <v>76</v>
      </c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  <c r="H1" t="s">
        <v>73</v>
      </c>
      <c r="I1" t="s">
        <v>74</v>
      </c>
      <c r="J1" t="s">
        <v>15</v>
      </c>
      <c r="K1" t="s">
        <v>75</v>
      </c>
      <c r="L1" t="s">
        <v>78</v>
      </c>
      <c r="M1" t="s">
        <v>79</v>
      </c>
      <c r="N1" t="s">
        <v>80</v>
      </c>
      <c r="O1" t="s">
        <v>81</v>
      </c>
      <c r="P1" t="s">
        <v>82</v>
      </c>
      <c r="Q1" t="s">
        <v>83</v>
      </c>
      <c r="R1" t="s">
        <v>84</v>
      </c>
      <c r="S1" t="s">
        <v>85</v>
      </c>
      <c r="T1" t="s">
        <v>86</v>
      </c>
    </row>
    <row r="2" spans="1:31" x14ac:dyDescent="0.25">
      <c r="A2" t="s">
        <v>23</v>
      </c>
      <c r="B2">
        <v>7.6769999999999996</v>
      </c>
      <c r="C2">
        <v>8.5869999999999997</v>
      </c>
      <c r="D2">
        <v>6.492</v>
      </c>
      <c r="E2">
        <v>0.92100000000000004</v>
      </c>
      <c r="F2">
        <v>12.112</v>
      </c>
      <c r="G2">
        <v>1.4730000000000001</v>
      </c>
      <c r="H2">
        <v>-12.196</v>
      </c>
      <c r="I2">
        <v>10.313000000000001</v>
      </c>
      <c r="J2" s="9">
        <f>chloroform!J7</f>
        <v>1.9835581741084993E-2</v>
      </c>
      <c r="K2" t="str">
        <f>chloroform!F7</f>
        <v>4H6</v>
      </c>
      <c r="M2">
        <f>0.9155*Table2[[#This Row],[J1,2]]*Table2[[#This Row],[weight]]</f>
        <v>0.13941029021958634</v>
      </c>
      <c r="N2">
        <f>0.9155*Table2[[#This Row],[J2,3]]*Table2[[#This Row],[weight]]</f>
        <v>0.15593541254599297</v>
      </c>
      <c r="O2">
        <f>0.9155*Table2[[#This Row],[J34]]*Table2[[#This Row],[weight]]</f>
        <v>0.11789131224508981</v>
      </c>
      <c r="P2">
        <f>0.9155*Table2[[#This Row],[J45]]*Table2[[#This Row],[weight]]</f>
        <v>1.6724876552330209E-2</v>
      </c>
      <c r="Q2">
        <f>0.9155*Table2[[#This Row],[J56]]*Table2[[#This Row],[weight]]</f>
        <v>0.21994756221696363</v>
      </c>
      <c r="R2">
        <f>0.9155*Table2[[#This Row],[J67]]*Table2[[#This Row],[weight]]</f>
        <v>2.6748906798677956E-2</v>
      </c>
      <c r="S2">
        <f>0.9155*Table2[[#This Row],[J67'']]*Table2[[#This Row],[weight]]</f>
        <v>0.18727866654091366</v>
      </c>
      <c r="T2">
        <f>0.9155*Table2[[#This Row],[J77'']]*Table2[[#This Row],[weight]]</f>
        <v>-0.22147295812401654</v>
      </c>
      <c r="Y2">
        <v>7.7371451697936386</v>
      </c>
      <c r="Z2">
        <v>7.6223406092934836</v>
      </c>
      <c r="AA2">
        <v>4.4114338850180577</v>
      </c>
      <c r="AB2">
        <v>3.5152098552688251</v>
      </c>
      <c r="AC2">
        <v>10.009112483138958</v>
      </c>
      <c r="AD2">
        <v>1.6169491914418774</v>
      </c>
      <c r="AE2">
        <v>3.0819887538197386</v>
      </c>
    </row>
    <row r="3" spans="1:31" x14ac:dyDescent="0.25">
      <c r="A3" t="s">
        <v>24</v>
      </c>
      <c r="B3">
        <v>7.8250000000000002</v>
      </c>
      <c r="C3">
        <v>8.1839999999999993</v>
      </c>
      <c r="D3">
        <v>5.9489999999999998</v>
      </c>
      <c r="E3">
        <v>0.56100000000000005</v>
      </c>
      <c r="F3">
        <v>11.586</v>
      </c>
      <c r="G3">
        <v>1.276</v>
      </c>
      <c r="H3">
        <v>-13.053000000000001</v>
      </c>
      <c r="I3">
        <v>10.183</v>
      </c>
      <c r="J3" s="9">
        <f>chloroform!J8</f>
        <v>2.4774886975683762E-2</v>
      </c>
      <c r="K3" t="str">
        <f>chloroform!F8</f>
        <v>4H6</v>
      </c>
      <c r="M3">
        <f>0.9155*Table2[[#This Row],[J1,2]]*Table2[[#This Row],[weight]]</f>
        <v>0.17748202563031615</v>
      </c>
      <c r="N3">
        <f>0.9155*Table2[[#This Row],[J2,3]]*Table2[[#This Row],[weight]]</f>
        <v>0.18562465147073573</v>
      </c>
      <c r="O3">
        <f>0.9155*Table2[[#This Row],[J34]]*Table2[[#This Row],[weight]]</f>
        <v>0.13493170229709275</v>
      </c>
      <c r="P3">
        <f>0.9155*Table2[[#This Row],[J45]]*Table2[[#This Row],[weight]]</f>
        <v>1.2724270463719793E-2</v>
      </c>
      <c r="Q3">
        <f>0.9155*Table2[[#This Row],[J56]]*Table2[[#This Row],[weight]]</f>
        <v>0.26278680497799906</v>
      </c>
      <c r="R3">
        <f>0.9155*Table2[[#This Row],[J67]]*Table2[[#This Row],[weight]]</f>
        <v>2.8941477917480304E-2</v>
      </c>
      <c r="S3">
        <f>0.9155*Table2[[#This Row],[J67'']]*Table2[[#This Row],[weight]]</f>
        <v>0.2309647881141865</v>
      </c>
      <c r="T3">
        <f>0.9155*Table2[[#This Row],[J77'']]*Table2[[#This Row],[weight]]</f>
        <v>-0.29606043201949095</v>
      </c>
      <c r="Y3">
        <v>6.95</v>
      </c>
      <c r="Z3">
        <v>6.15</v>
      </c>
      <c r="AA3">
        <v>5.73</v>
      </c>
      <c r="AB3">
        <v>4.0999999999999996</v>
      </c>
      <c r="AC3">
        <v>9.66</v>
      </c>
      <c r="AD3">
        <v>2.23</v>
      </c>
      <c r="AE3">
        <v>5.15</v>
      </c>
    </row>
    <row r="4" spans="1:31" x14ac:dyDescent="0.25">
      <c r="A4" t="s">
        <v>25</v>
      </c>
      <c r="B4">
        <v>7.86</v>
      </c>
      <c r="C4">
        <v>8.9190000000000005</v>
      </c>
      <c r="D4">
        <v>6.3090000000000002</v>
      </c>
      <c r="E4">
        <v>0.46700000000000003</v>
      </c>
      <c r="F4">
        <v>11.747</v>
      </c>
      <c r="G4">
        <v>0.96399999999999997</v>
      </c>
      <c r="H4">
        <v>-13.75</v>
      </c>
      <c r="I4">
        <v>3.2669999999999999</v>
      </c>
      <c r="J4" s="9">
        <f>chloroform!J9</f>
        <v>7.6679062294856923E-2</v>
      </c>
      <c r="K4" t="str">
        <f>chloroform!F9</f>
        <v>4H6</v>
      </c>
      <c r="M4">
        <f>0.9155*Table2[[#This Row],[J1,2]]*Table2[[#This Row],[weight]]</f>
        <v>0.55176949683320031</v>
      </c>
      <c r="N4">
        <f>0.9155*Table2[[#This Row],[J2,3]]*Table2[[#This Row],[weight]]</f>
        <v>0.62611095957446739</v>
      </c>
      <c r="O4">
        <f>0.9155*Table2[[#This Row],[J34]]*Table2[[#This Row],[weight]]</f>
        <v>0.44288979077870999</v>
      </c>
      <c r="P4">
        <f>0.9155*Table2[[#This Row],[J45]]*Table2[[#This Row],[weight]]</f>
        <v>3.2783251274949687E-2</v>
      </c>
      <c r="Q4">
        <f>0.9155*Table2[[#This Row],[J56]]*Table2[[#This Row],[weight]]</f>
        <v>0.82463565894396995</v>
      </c>
      <c r="R4">
        <f>0.9155*Table2[[#This Row],[J67]]*Table2[[#This Row],[weight]]</f>
        <v>6.7672492995827616E-2</v>
      </c>
      <c r="S4">
        <f>0.9155*Table2[[#This Row],[J67'']]*Table2[[#This Row],[weight]]</f>
        <v>0.22934235956158591</v>
      </c>
      <c r="T4">
        <f>0.9155*Table2[[#This Row],[J77'']]*Table2[[#This Row],[weight]]</f>
        <v>-0.96524562105044576</v>
      </c>
    </row>
    <row r="5" spans="1:31" x14ac:dyDescent="0.25">
      <c r="A5" t="s">
        <v>26</v>
      </c>
      <c r="B5">
        <v>8.0250000000000004</v>
      </c>
      <c r="C5">
        <v>8.577</v>
      </c>
      <c r="D5">
        <v>5.6319999999999997</v>
      </c>
      <c r="E5">
        <v>0.32900000000000001</v>
      </c>
      <c r="F5">
        <v>11.805999999999999</v>
      </c>
      <c r="G5">
        <v>1.1950000000000001</v>
      </c>
      <c r="H5">
        <v>-13.618</v>
      </c>
      <c r="I5">
        <v>2.831</v>
      </c>
      <c r="J5" s="9">
        <f>chloroform!J10</f>
        <v>0.11197937776820978</v>
      </c>
      <c r="K5" t="str">
        <f>chloroform!F10</f>
        <v>4H6</v>
      </c>
      <c r="M5">
        <f>0.9155*Table2[[#This Row],[J1,2]]*Table2[[#This Row],[weight]]</f>
        <v>0.8226998907830384</v>
      </c>
      <c r="N5">
        <f>0.9155*Table2[[#This Row],[J2,3]]*Table2[[#This Row],[weight]]</f>
        <v>0.87928934121446978</v>
      </c>
      <c r="O5">
        <f>0.9155*Table2[[#This Row],[J34]]*Table2[[#This Row],[weight]]</f>
        <v>0.57737642179315529</v>
      </c>
      <c r="P5">
        <f>0.9155*Table2[[#This Row],[J45]]*Table2[[#This Row],[weight]]</f>
        <v>3.3728132594095905E-2</v>
      </c>
      <c r="Q5">
        <f>0.9155*Table2[[#This Row],[J56]]*Table2[[#This Row],[weight]]</f>
        <v>1.2103171228142739</v>
      </c>
      <c r="R5">
        <f>0.9155*Table2[[#This Row],[J67]]*Table2[[#This Row],[weight]]</f>
        <v>0.12250795881442129</v>
      </c>
      <c r="S5">
        <f>0.9155*Table2[[#This Row],[J67'']]*Table2[[#This Row],[weight]]</f>
        <v>0.29022596770177961</v>
      </c>
      <c r="T5">
        <f>0.9155*Table2[[#This Row],[J77'']]*Table2[[#This Row],[weight]]</f>
        <v>-1.3960781448826687</v>
      </c>
    </row>
    <row r="6" spans="1:31" x14ac:dyDescent="0.25">
      <c r="A6" t="s">
        <v>27</v>
      </c>
      <c r="B6">
        <v>8.6199999999999992</v>
      </c>
      <c r="C6">
        <v>9.6829999999999998</v>
      </c>
      <c r="D6">
        <v>2.9089999999999998</v>
      </c>
      <c r="E6">
        <v>6.5730000000000004</v>
      </c>
      <c r="F6">
        <v>9.1850000000000005</v>
      </c>
      <c r="G6">
        <v>1.722</v>
      </c>
      <c r="H6">
        <v>-14.025</v>
      </c>
      <c r="I6">
        <v>2.375</v>
      </c>
      <c r="J6" s="9">
        <f>chloroform!J11</f>
        <v>3.3160826466214649E-3</v>
      </c>
      <c r="K6" t="str">
        <f>chloroform!F11</f>
        <v>45TH</v>
      </c>
      <c r="M6">
        <f>0.9155*Table2[[#This Row],[J1,2]]*Table2[[#This Row],[weight]]</f>
        <v>2.6169230974904416E-2</v>
      </c>
      <c r="N6">
        <f>0.9155*Table2[[#This Row],[J2,3]]*Table2[[#This Row],[weight]]</f>
        <v>2.9396364678654231E-2</v>
      </c>
      <c r="O6">
        <f>0.9155*Table2[[#This Row],[J34]]*Table2[[#This Row],[weight]]</f>
        <v>8.8313564856144951E-3</v>
      </c>
      <c r="P6">
        <f>0.9155*Table2[[#This Row],[J45]]*Table2[[#This Row],[weight]]</f>
        <v>1.9954797586780367E-2</v>
      </c>
      <c r="Q6">
        <f>0.9155*Table2[[#This Row],[J56]]*Table2[[#This Row],[weight]]</f>
        <v>2.7884499594489218E-2</v>
      </c>
      <c r="R6">
        <f>0.9155*Table2[[#This Row],[J67]]*Table2[[#This Row],[weight]]</f>
        <v>5.2277744476549193E-3</v>
      </c>
      <c r="S6">
        <f>0.9155*Table2[[#This Row],[J67'']]*Table2[[#This Row],[weight]]</f>
        <v>7.2101999495821339E-3</v>
      </c>
      <c r="T6">
        <f>0.9155*Table2[[#This Row],[J77'']]*Table2[[#This Row],[weight]]</f>
        <v>-4.2578128123321859E-2</v>
      </c>
      <c r="Z6" t="s">
        <v>88</v>
      </c>
      <c r="AA6" t="s">
        <v>89</v>
      </c>
      <c r="AB6" t="s">
        <v>90</v>
      </c>
    </row>
    <row r="7" spans="1:31" x14ac:dyDescent="0.25">
      <c r="A7" t="s">
        <v>28</v>
      </c>
      <c r="B7">
        <v>8.0510000000000002</v>
      </c>
      <c r="C7">
        <v>9.1110000000000007</v>
      </c>
      <c r="D7">
        <v>5.5350000000000001</v>
      </c>
      <c r="E7">
        <v>0.44900000000000001</v>
      </c>
      <c r="F7">
        <v>11.731</v>
      </c>
      <c r="G7">
        <v>1.379</v>
      </c>
      <c r="H7">
        <v>-13.701000000000001</v>
      </c>
      <c r="I7">
        <v>2.6360000000000001</v>
      </c>
      <c r="J7" s="9">
        <f>chloroform!J12</f>
        <v>6.020718568699291E-2</v>
      </c>
      <c r="K7" t="str">
        <f>chloroform!F12</f>
        <v>4H6</v>
      </c>
      <c r="M7">
        <f>0.9155*Table2[[#This Row],[J1,2]]*Table2[[#This Row],[weight]]</f>
        <v>0.44376853157485463</v>
      </c>
      <c r="N7">
        <f>0.9155*Table2[[#This Row],[J2,3]]*Table2[[#This Row],[weight]]</f>
        <v>0.50219539078108322</v>
      </c>
      <c r="O7">
        <f>0.9155*Table2[[#This Row],[J34]]*Table2[[#This Row],[weight]]</f>
        <v>0.30508742047780651</v>
      </c>
      <c r="P7">
        <f>0.9155*Table2[[#This Row],[J45]]*Table2[[#This Row],[weight]]</f>
        <v>2.4748735644902462E-2</v>
      </c>
      <c r="Q7">
        <f>0.9155*Table2[[#This Row],[J56]]*Table2[[#This Row],[weight]]</f>
        <v>0.6466089484417612</v>
      </c>
      <c r="R7">
        <f>0.9155*Table2[[#This Row],[J67]]*Table2[[#This Row],[weight]]</f>
        <v>7.6010036646593532E-2</v>
      </c>
      <c r="S7">
        <f>0.9155*Table2[[#This Row],[J67'']]*Table2[[#This Row],[weight]]</f>
        <v>0.14529547251662114</v>
      </c>
      <c r="T7">
        <f>0.9155*Table2[[#This Row],[J77'']]*Table2[[#This Row],[weight]]</f>
        <v>-0.755194715079752</v>
      </c>
      <c r="Z7" s="6">
        <v>6.95</v>
      </c>
      <c r="AA7" s="6">
        <f>AB7/0.9155</f>
        <v>8.4512781756347781</v>
      </c>
      <c r="AB7" s="6">
        <v>7.7371451697936386</v>
      </c>
    </row>
    <row r="8" spans="1:31" x14ac:dyDescent="0.25">
      <c r="A8" t="s">
        <v>29</v>
      </c>
      <c r="B8">
        <v>7.7359999999999998</v>
      </c>
      <c r="C8">
        <v>8.6690000000000005</v>
      </c>
      <c r="D8">
        <v>6.4820000000000002</v>
      </c>
      <c r="E8">
        <v>0.86899999999999999</v>
      </c>
      <c r="F8">
        <v>11.75</v>
      </c>
      <c r="G8">
        <v>2.597</v>
      </c>
      <c r="H8">
        <v>-13.023999999999999</v>
      </c>
      <c r="I8">
        <v>1.232</v>
      </c>
      <c r="J8" s="9">
        <f>chloroform!J13</f>
        <v>4.3116973942192695E-2</v>
      </c>
      <c r="K8" t="str">
        <f>chloroform!F13</f>
        <v>4H6</v>
      </c>
      <c r="M8">
        <f>0.9155*Table2[[#This Row],[J1,2]]*Table2[[#This Row],[weight]]</f>
        <v>0.30536768948658283</v>
      </c>
      <c r="N8">
        <f>0.9155*Table2[[#This Row],[J2,3]]*Table2[[#This Row],[weight]]</f>
        <v>0.3421965486245071</v>
      </c>
      <c r="O8">
        <f>0.9155*Table2[[#This Row],[J34]]*Table2[[#This Row],[weight]]</f>
        <v>0.25586780807290976</v>
      </c>
      <c r="P8">
        <f>0.9155*Table2[[#This Row],[J45]]*Table2[[#This Row],[weight]]</f>
        <v>3.4302549400703271E-2</v>
      </c>
      <c r="Q8">
        <f>0.9155*Table2[[#This Row],[J56]]*Table2[[#This Row],[weight]]</f>
        <v>0.46381467831790962</v>
      </c>
      <c r="R8">
        <f>0.9155*Table2[[#This Row],[J67]]*Table2[[#This Row],[weight]]</f>
        <v>0.10251291230566903</v>
      </c>
      <c r="S8">
        <f>0.9155*Table2[[#This Row],[J67'']]*Table2[[#This Row],[weight]]</f>
        <v>4.8631462441503369E-2</v>
      </c>
      <c r="T8">
        <f>0.9155*Table2[[#This Row],[J77'']]*Table2[[#This Row],[weight]]</f>
        <v>-0.51410403152446416</v>
      </c>
      <c r="Z8" s="6">
        <v>6.15</v>
      </c>
      <c r="AA8" s="6">
        <f t="shared" ref="AA8:AA13" si="0">AB8/0.9155</f>
        <v>8.3258772357110686</v>
      </c>
      <c r="AB8" s="6">
        <v>7.6223406092934836</v>
      </c>
    </row>
    <row r="9" spans="1:31" x14ac:dyDescent="0.25">
      <c r="A9" t="s">
        <v>96</v>
      </c>
      <c r="B9">
        <v>8.5609999999999999</v>
      </c>
      <c r="C9">
        <v>9.6329999999999991</v>
      </c>
      <c r="D9">
        <v>2.177</v>
      </c>
      <c r="E9">
        <v>7.8090000000000002</v>
      </c>
      <c r="F9">
        <v>9.3729999999999993</v>
      </c>
      <c r="G9">
        <v>1.7150000000000001</v>
      </c>
      <c r="H9">
        <v>-14.05</v>
      </c>
      <c r="I9">
        <v>2.335</v>
      </c>
      <c r="J9" s="9">
        <f>chloroform!J14</f>
        <v>0</v>
      </c>
      <c r="K9" t="str">
        <f>chloroform!F14</f>
        <v>45TH</v>
      </c>
      <c r="M9">
        <f>0.9155*Table2[[#This Row],[J1,2]]*Table2[[#This Row],[weight]]</f>
        <v>0</v>
      </c>
      <c r="N9">
        <f>0.9155*Table2[[#This Row],[J2,3]]*Table2[[#This Row],[weight]]</f>
        <v>0</v>
      </c>
      <c r="O9">
        <f>0.9155*Table2[[#This Row],[J34]]*Table2[[#This Row],[weight]]</f>
        <v>0</v>
      </c>
      <c r="P9">
        <f>0.9155*Table2[[#This Row],[J45]]*Table2[[#This Row],[weight]]</f>
        <v>0</v>
      </c>
      <c r="Q9">
        <f>0.9155*Table2[[#This Row],[J56]]*Table2[[#This Row],[weight]]</f>
        <v>0</v>
      </c>
      <c r="R9">
        <f>0.9155*Table2[[#This Row],[J67]]*Table2[[#This Row],[weight]]</f>
        <v>0</v>
      </c>
      <c r="S9">
        <f>0.9155*Table2[[#This Row],[J67'']]*Table2[[#This Row],[weight]]</f>
        <v>0</v>
      </c>
      <c r="T9">
        <f>0.9155*Table2[[#This Row],[J77'']]*Table2[[#This Row],[weight]]</f>
        <v>0</v>
      </c>
      <c r="Z9" s="6">
        <v>5.73</v>
      </c>
      <c r="AA9" s="6">
        <f t="shared" si="0"/>
        <v>4.8186061005112588</v>
      </c>
      <c r="AB9" s="6">
        <v>4.4114338850180577</v>
      </c>
    </row>
    <row r="10" spans="1:31" x14ac:dyDescent="0.25">
      <c r="A10" t="s">
        <v>30</v>
      </c>
      <c r="B10">
        <v>8.7080000000000002</v>
      </c>
      <c r="C10">
        <v>9.1489999999999991</v>
      </c>
      <c r="D10">
        <v>2.19</v>
      </c>
      <c r="E10">
        <v>6.3179999999999996</v>
      </c>
      <c r="F10">
        <v>9.5809999999999995</v>
      </c>
      <c r="G10">
        <v>2.9950000000000001</v>
      </c>
      <c r="H10">
        <v>-12.337999999999999</v>
      </c>
      <c r="I10">
        <v>11.654</v>
      </c>
      <c r="J10" s="9">
        <f>chloroform!J15</f>
        <v>1.5313869254083566E-2</v>
      </c>
      <c r="K10" t="str">
        <f>chloroform!F15</f>
        <v>45TH</v>
      </c>
      <c r="M10">
        <f>0.9155*Table2[[#This Row],[J1,2]]*Table2[[#This Row],[weight]]</f>
        <v>0.12208483030680439</v>
      </c>
      <c r="N10">
        <f>0.9155*Table2[[#This Row],[J2,3]]*Table2[[#This Row],[weight]]</f>
        <v>0.12826758296703644</v>
      </c>
      <c r="O10">
        <f>0.9155*Table2[[#This Row],[J34]]*Table2[[#This Row],[weight]]</f>
        <v>3.0703465591628572E-2</v>
      </c>
      <c r="P10">
        <f>0.9155*Table2[[#This Row],[J45]]*Table2[[#This Row],[weight]]</f>
        <v>8.8577395254753111E-2</v>
      </c>
      <c r="Q10">
        <f>0.9155*Table2[[#This Row],[J56]]*Table2[[#This Row],[weight]]</f>
        <v>0.13432415700154948</v>
      </c>
      <c r="R10">
        <f>0.9155*Table2[[#This Row],[J67]]*Table2[[#This Row],[weight]]</f>
        <v>4.1989442669829943E-2</v>
      </c>
      <c r="S10">
        <f>0.9155*Table2[[#This Row],[J67'']]*Table2[[#This Row],[weight]]</f>
        <v>0.16338730045883076</v>
      </c>
      <c r="T10">
        <f>0.9155*Table2[[#This Row],[J77'']]*Table2[[#This Row],[weight]]</f>
        <v>-0.17297687601347639</v>
      </c>
      <c r="Z10" s="6">
        <v>4.0999999999999996</v>
      </c>
      <c r="AA10" s="6">
        <f t="shared" si="0"/>
        <v>3.8396612291303387</v>
      </c>
      <c r="AB10" s="6">
        <v>3.5152098552688251</v>
      </c>
    </row>
    <row r="11" spans="1:31" x14ac:dyDescent="0.25">
      <c r="A11" t="s">
        <v>31</v>
      </c>
      <c r="B11">
        <v>7.907</v>
      </c>
      <c r="C11">
        <v>8.4039999999999999</v>
      </c>
      <c r="D11">
        <v>5.7629999999999999</v>
      </c>
      <c r="E11">
        <v>0.371</v>
      </c>
      <c r="F11">
        <v>11.929</v>
      </c>
      <c r="G11">
        <v>2.4020000000000001</v>
      </c>
      <c r="H11">
        <v>-13.055999999999999</v>
      </c>
      <c r="I11">
        <v>1.373</v>
      </c>
      <c r="J11" s="9">
        <f>chloroform!J16</f>
        <v>8.9542104370779821E-2</v>
      </c>
      <c r="K11" t="str">
        <f>chloroform!F16</f>
        <v>4H6</v>
      </c>
      <c r="M11">
        <f>0.9155*Table2[[#This Row],[J1,2]]*Table2[[#This Row],[weight]]</f>
        <v>0.6481826233323067</v>
      </c>
      <c r="N11">
        <f>0.9155*Table2[[#This Row],[J2,3]]*Table2[[#This Row],[weight]]</f>
        <v>0.68892459421837682</v>
      </c>
      <c r="O11">
        <f>0.9155*Table2[[#This Row],[J34]]*Table2[[#This Row],[weight]]</f>
        <v>0.47242651552600012</v>
      </c>
      <c r="P11">
        <f>0.9155*Table2[[#This Row],[J45]]*Table2[[#This Row],[weight]]</f>
        <v>3.0413020520587548E-2</v>
      </c>
      <c r="Q11">
        <f>0.9155*Table2[[#This Row],[J56]]*Table2[[#This Row],[weight]]</f>
        <v>0.97788927706223427</v>
      </c>
      <c r="R11">
        <f>0.9155*Table2[[#This Row],[J67]]*Table2[[#This Row],[weight]]</f>
        <v>0.19690586331658033</v>
      </c>
      <c r="S11">
        <f>0.9155*Table2[[#This Row],[J67'']]*Table2[[#This Row],[weight]]</f>
        <v>0.11255276866513937</v>
      </c>
      <c r="T11">
        <f>0.9155*Table2[[#This Row],[J77'']]*Table2[[#This Row],[weight]]</f>
        <v>-1.0702759997757172</v>
      </c>
      <c r="Z11" s="6">
        <v>9.66</v>
      </c>
      <c r="AA11" s="6">
        <f t="shared" si="0"/>
        <v>10.932946458917487</v>
      </c>
      <c r="AB11" s="6">
        <v>10.009112483138958</v>
      </c>
    </row>
    <row r="12" spans="1:31" x14ac:dyDescent="0.25">
      <c r="A12" t="s">
        <v>32</v>
      </c>
      <c r="B12">
        <v>8.7279999999999998</v>
      </c>
      <c r="C12">
        <v>9.1859999999999999</v>
      </c>
      <c r="D12">
        <v>2.351</v>
      </c>
      <c r="E12">
        <v>5.9160000000000004</v>
      </c>
      <c r="F12">
        <v>10.324</v>
      </c>
      <c r="G12">
        <v>2.06</v>
      </c>
      <c r="H12">
        <v>-13.089</v>
      </c>
      <c r="I12">
        <v>1.907</v>
      </c>
      <c r="J12" s="9">
        <f>chloroform!J17</f>
        <v>5.1465722506778361E-2</v>
      </c>
      <c r="K12" t="str">
        <f>chloroform!F17</f>
        <v>45TH</v>
      </c>
      <c r="M12">
        <f>0.9155*Table2[[#This Row],[J1,2]]*Table2[[#This Row],[weight]]</f>
        <v>0.41123603223885236</v>
      </c>
      <c r="N12">
        <f>0.9155*Table2[[#This Row],[J2,3]]*Table2[[#This Row],[weight]]</f>
        <v>0.432815558220222</v>
      </c>
      <c r="O12">
        <f>0.9155*Table2[[#This Row],[J34]]*Table2[[#This Row],[weight]]</f>
        <v>0.11077175891310058</v>
      </c>
      <c r="P12">
        <f>0.9155*Table2[[#This Row],[J45]]*Table2[[#This Row],[weight]]</f>
        <v>0.27874339673751725</v>
      </c>
      <c r="Q12">
        <f>0.9155*Table2[[#This Row],[J56]]*Table2[[#This Row],[weight]]</f>
        <v>0.48643455509096151</v>
      </c>
      <c r="R12">
        <f>0.9155*Table2[[#This Row],[J67]]*Table2[[#This Row],[weight]]</f>
        <v>9.7060750047208516E-2</v>
      </c>
      <c r="S12">
        <f>0.9155*Table2[[#This Row],[J67'']]*Table2[[#This Row],[weight]]</f>
        <v>8.9851869097100301E-2</v>
      </c>
      <c r="T12">
        <f>0.9155*Table2[[#This Row],[J77'']]*Table2[[#This Row],[weight]]</f>
        <v>-0.6167126977514138</v>
      </c>
      <c r="Z12" s="6">
        <v>2.23</v>
      </c>
      <c r="AA12" s="6">
        <f t="shared" si="0"/>
        <v>1.7661924537868678</v>
      </c>
      <c r="AB12" s="6">
        <v>1.6169491914418774</v>
      </c>
    </row>
    <row r="13" spans="1:31" x14ac:dyDescent="0.25">
      <c r="A13" t="s">
        <v>33</v>
      </c>
      <c r="B13">
        <v>8.8230000000000004</v>
      </c>
      <c r="C13">
        <v>2.0190000000000001</v>
      </c>
      <c r="D13">
        <v>11.984999999999999</v>
      </c>
      <c r="E13">
        <v>9.3070000000000004</v>
      </c>
      <c r="F13">
        <v>0.26</v>
      </c>
      <c r="G13">
        <v>12.739000000000001</v>
      </c>
      <c r="H13">
        <v>-11.784000000000001</v>
      </c>
      <c r="I13">
        <v>6</v>
      </c>
      <c r="J13" s="9">
        <f>chloroform!J18</f>
        <v>2.6494242156238882E-3</v>
      </c>
      <c r="K13" t="str">
        <f>chloroform!F18</f>
        <v>6H4</v>
      </c>
      <c r="M13">
        <f>0.9155*Table2[[#This Row],[J1,2]]*Table2[[#This Row],[weight]]</f>
        <v>2.1400608851748576E-2</v>
      </c>
      <c r="N13">
        <f>0.9155*Table2[[#This Row],[J2,3]]*Table2[[#This Row],[weight]]</f>
        <v>4.897181148326009E-3</v>
      </c>
      <c r="O13">
        <f>0.9155*Table2[[#This Row],[J34]]*Table2[[#This Row],[weight]]</f>
        <v>2.907019121480298E-2</v>
      </c>
      <c r="P13">
        <f>0.9155*Table2[[#This Row],[J45]]*Table2[[#This Row],[weight]]</f>
        <v>2.2574574020539952E-2</v>
      </c>
      <c r="Q13">
        <f>0.9155*Table2[[#This Row],[J56]]*Table2[[#This Row],[weight]]</f>
        <v>6.3064244604495406E-4</v>
      </c>
      <c r="R13">
        <f>0.9155*Table2[[#This Row],[J67]]*Table2[[#This Row],[weight]]</f>
        <v>3.0899054308333347E-2</v>
      </c>
      <c r="S13">
        <f>0.9155*Table2[[#This Row],[J67'']]*Table2[[#This Row],[weight]]</f>
        <v>1.4553287216422019E-2</v>
      </c>
      <c r="T13">
        <f>0.9155*Table2[[#This Row],[J77'']]*Table2[[#This Row],[weight]]</f>
        <v>-2.8582656093052841E-2</v>
      </c>
      <c r="Z13" s="6">
        <v>5.15</v>
      </c>
      <c r="AA13" s="6">
        <f t="shared" si="0"/>
        <v>3.3664541276021174</v>
      </c>
      <c r="AB13" s="6">
        <v>3.0819887538197386</v>
      </c>
    </row>
    <row r="14" spans="1:31" x14ac:dyDescent="0.25">
      <c r="A14" t="s">
        <v>34</v>
      </c>
      <c r="B14">
        <v>7.8150000000000004</v>
      </c>
      <c r="C14">
        <v>8.7650000000000006</v>
      </c>
      <c r="D14">
        <v>6.44</v>
      </c>
      <c r="E14">
        <v>0.82299999999999995</v>
      </c>
      <c r="F14">
        <v>11.782999999999999</v>
      </c>
      <c r="G14">
        <v>1.885</v>
      </c>
      <c r="H14">
        <v>-13.999000000000001</v>
      </c>
      <c r="I14">
        <v>2.1230000000000002</v>
      </c>
      <c r="J14" s="9">
        <f>chloroform!J19</f>
        <v>8.1186193319153999E-2</v>
      </c>
      <c r="K14" t="str">
        <f>chloroform!F19</f>
        <v>4H6</v>
      </c>
      <c r="M14">
        <f>0.9155*Table2[[#This Row],[J1,2]]*Table2[[#This Row],[weight]]</f>
        <v>0.58085737727250208</v>
      </c>
      <c r="N14">
        <f>0.9155*Table2[[#This Row],[J2,3]]*Table2[[#This Row],[weight]]</f>
        <v>0.65146703925700333</v>
      </c>
      <c r="O14">
        <f>0.9155*Table2[[#This Row],[J34]]*Table2[[#This Row],[weight]]</f>
        <v>0.47865918229493459</v>
      </c>
      <c r="P14">
        <f>0.9155*Table2[[#This Row],[J45]]*Table2[[#This Row],[weight]]</f>
        <v>6.1170265066573151E-2</v>
      </c>
      <c r="Q14">
        <f>0.9155*Table2[[#This Row],[J56]]*Table2[[#This Row],[weight]]</f>
        <v>0.87578278648776597</v>
      </c>
      <c r="R14">
        <f>0.9155*Table2[[#This Row],[J67]]*Table2[[#This Row],[weight]]</f>
        <v>0.14010443456924715</v>
      </c>
      <c r="S14">
        <f>0.9155*Table2[[#This Row],[J67'']]*Table2[[#This Row],[weight]]</f>
        <v>0.15779401304536431</v>
      </c>
      <c r="T14">
        <f>0.9155*Table2[[#This Row],[J77'']]*Table2[[#This Row],[weight]]</f>
        <v>-1.0404891138116132</v>
      </c>
      <c r="Z14" t="s">
        <v>87</v>
      </c>
      <c r="AA14" s="6">
        <f>SQRT(SUMXMY2($Z$7:$Z$13,AA$7:AA$13)/7)</f>
        <v>1.357689162159023</v>
      </c>
      <c r="AB14" s="6">
        <f>SQRT(SUMXMY2($Z7:$Z13,AB7:AB13)/7)</f>
        <v>1.1736610507992684</v>
      </c>
    </row>
    <row r="15" spans="1:31" x14ac:dyDescent="0.25">
      <c r="A15" t="s">
        <v>35</v>
      </c>
      <c r="B15">
        <v>9.7270000000000003</v>
      </c>
      <c r="C15">
        <v>2.7839999999999998</v>
      </c>
      <c r="D15">
        <v>7.343</v>
      </c>
      <c r="E15">
        <v>1.5860000000000001</v>
      </c>
      <c r="F15">
        <v>4.367</v>
      </c>
      <c r="G15">
        <v>4.2720000000000002</v>
      </c>
      <c r="H15">
        <v>-14.541</v>
      </c>
      <c r="I15">
        <v>1.2330000000000001</v>
      </c>
      <c r="J15" s="9">
        <f>chloroform!J20</f>
        <v>3.0469752193280297E-5</v>
      </c>
      <c r="K15" t="str">
        <f>chloroform!F20</f>
        <v>TH45</v>
      </c>
      <c r="M15">
        <f>0.9155*Table2[[#This Row],[J1,2]]*Table2[[#This Row],[weight]]</f>
        <v>2.7133523045918628E-4</v>
      </c>
      <c r="N15">
        <f>0.9155*Table2[[#This Row],[J2,3]]*Table2[[#This Row],[weight]]</f>
        <v>7.7659841842127539E-5</v>
      </c>
      <c r="O15">
        <f>0.9155*Table2[[#This Row],[J34]]*Table2[[#This Row],[weight]]</f>
        <v>2.04833411870238E-4</v>
      </c>
      <c r="P15">
        <f>0.9155*Table2[[#This Row],[J45]]*Table2[[#This Row],[weight]]</f>
        <v>4.4241562198855705E-5</v>
      </c>
      <c r="Q15">
        <f>0.9155*Table2[[#This Row],[J56]]*Table2[[#This Row],[weight]]</f>
        <v>1.218177188665844E-4</v>
      </c>
      <c r="R15">
        <f>0.9155*Table2[[#This Row],[J67]]*Table2[[#This Row],[weight]]</f>
        <v>1.1916768834395434E-4</v>
      </c>
      <c r="S15">
        <f>0.9155*Table2[[#This Row],[J67'']]*Table2[[#This Row],[weight]]</f>
        <v>3.4394606677925022E-5</v>
      </c>
      <c r="T15">
        <f>0.9155*Table2[[#This Row],[J77'']]*Table2[[#This Row],[weight]]</f>
        <v>-4.0562204031119851E-4</v>
      </c>
      <c r="AA15" s="6">
        <f>SQRT(SUMXMY2($Z$7:$Z$11,AA$7:AA$11)/5)</f>
        <v>1.3789188307102573</v>
      </c>
      <c r="AB15" s="6">
        <f>SQRT(SUMXMY2($Z$7:$Z$11,AB$7:AB$11)/5)</f>
        <v>0.99898548807686827</v>
      </c>
    </row>
    <row r="16" spans="1:31" x14ac:dyDescent="0.25">
      <c r="A16" t="s">
        <v>115</v>
      </c>
      <c r="B16">
        <v>8.5969999999999995</v>
      </c>
      <c r="C16">
        <v>9.6620000000000008</v>
      </c>
      <c r="D16">
        <v>2.8620000000000001</v>
      </c>
      <c r="E16">
        <v>6.9160000000000004</v>
      </c>
      <c r="F16">
        <v>8.8810000000000002</v>
      </c>
      <c r="G16">
        <v>3.665</v>
      </c>
      <c r="H16">
        <v>-11.833</v>
      </c>
      <c r="I16">
        <v>11.688000000000001</v>
      </c>
      <c r="J16" s="9">
        <f>chloroform!J21</f>
        <v>2.5970010128064205E-4</v>
      </c>
      <c r="K16" t="str">
        <f>chloroform!F21</f>
        <v>45TH</v>
      </c>
      <c r="M16">
        <f>0.9155*Table2[[#This Row],[J1,2]]*Table2[[#This Row],[weight]]</f>
        <v>2.0439835410847118E-3</v>
      </c>
      <c r="N16">
        <f>0.9155*Table2[[#This Row],[J2,3]]*Table2[[#This Row],[weight]]</f>
        <v>2.2971930875840974E-3</v>
      </c>
      <c r="O16">
        <f>0.9155*Table2[[#This Row],[J34]]*Table2[[#This Row],[weight]]</f>
        <v>6.8045607707158833E-4</v>
      </c>
      <c r="P16">
        <f>0.9155*Table2[[#This Row],[J45]]*Table2[[#This Row],[weight]]</f>
        <v>1.6443166418683107E-3</v>
      </c>
      <c r="Q16">
        <f>0.9155*Table2[[#This Row],[J56]]*Table2[[#This Row],[weight]]</f>
        <v>2.111506086817881E-3</v>
      </c>
      <c r="R16">
        <f>0.9155*Table2[[#This Row],[J67]]*Table2[[#This Row],[weight]]</f>
        <v>8.713736975776978E-4</v>
      </c>
      <c r="S16">
        <f>0.9155*Table2[[#This Row],[J67'']]*Table2[[#This Row],[weight]]</f>
        <v>2.778885614539736E-3</v>
      </c>
      <c r="T16">
        <f>0.9155*Table2[[#This Row],[J77'']]*Table2[[#This Row],[weight]]</f>
        <v>-2.8133601537344878E-3</v>
      </c>
    </row>
    <row r="17" spans="1:20" x14ac:dyDescent="0.25">
      <c r="A17" t="s">
        <v>98</v>
      </c>
      <c r="B17">
        <v>9.3859999999999992</v>
      </c>
      <c r="C17">
        <v>3.327</v>
      </c>
      <c r="D17">
        <v>10.962999999999999</v>
      </c>
      <c r="E17">
        <v>0.61799999999999999</v>
      </c>
      <c r="F17">
        <v>5.5819999999999999</v>
      </c>
      <c r="G17">
        <v>5.9370000000000003</v>
      </c>
      <c r="H17">
        <v>-12.641999999999999</v>
      </c>
      <c r="I17">
        <v>0.499</v>
      </c>
      <c r="J17" s="9">
        <f>chloroform!J22</f>
        <v>0</v>
      </c>
      <c r="K17" t="str">
        <f>chloroform!F22</f>
        <v>TH45</v>
      </c>
      <c r="M17">
        <f>0.9155*Table2[[#This Row],[J1,2]]*Table2[[#This Row],[weight]]</f>
        <v>0</v>
      </c>
      <c r="N17">
        <f>0.9155*Table2[[#This Row],[J2,3]]*Table2[[#This Row],[weight]]</f>
        <v>0</v>
      </c>
      <c r="O17">
        <f>0.9155*Table2[[#This Row],[J34]]*Table2[[#This Row],[weight]]</f>
        <v>0</v>
      </c>
      <c r="P17">
        <f>0.9155*Table2[[#This Row],[J45]]*Table2[[#This Row],[weight]]</f>
        <v>0</v>
      </c>
      <c r="Q17">
        <f>0.9155*Table2[[#This Row],[J56]]*Table2[[#This Row],[weight]]</f>
        <v>0</v>
      </c>
      <c r="R17">
        <f>0.9155*Table2[[#This Row],[J67]]*Table2[[#This Row],[weight]]</f>
        <v>0</v>
      </c>
      <c r="S17">
        <f>0.9155*Table2[[#This Row],[J67'']]*Table2[[#This Row],[weight]]</f>
        <v>0</v>
      </c>
      <c r="T17">
        <f>0.9155*Table2[[#This Row],[J77'']]*Table2[[#This Row],[weight]]</f>
        <v>0</v>
      </c>
    </row>
    <row r="18" spans="1:20" x14ac:dyDescent="0.25">
      <c r="A18" t="s">
        <v>36</v>
      </c>
      <c r="B18">
        <v>8.5730000000000004</v>
      </c>
      <c r="C18">
        <v>9.6470000000000002</v>
      </c>
      <c r="D18">
        <v>3.0409999999999999</v>
      </c>
      <c r="E18">
        <v>6.4870000000000001</v>
      </c>
      <c r="F18">
        <v>9.7669999999999995</v>
      </c>
      <c r="G18">
        <v>10.85</v>
      </c>
      <c r="H18">
        <v>-11.714</v>
      </c>
      <c r="I18">
        <v>2.6219999999999999</v>
      </c>
      <c r="J18" s="9">
        <f>chloroform!J23</f>
        <v>3.3152378722330739E-4</v>
      </c>
      <c r="K18" t="str">
        <f>chloroform!F23</f>
        <v>45TH</v>
      </c>
      <c r="M18">
        <f>0.9155*Table2[[#This Row],[J1,2]]*Table2[[#This Row],[weight]]</f>
        <v>2.6019914632107867E-3</v>
      </c>
      <c r="N18">
        <f>0.9155*Table2[[#This Row],[J2,3]]*Table2[[#This Row],[weight]]</f>
        <v>2.9279612324267421E-3</v>
      </c>
      <c r="O18">
        <f>0.9155*Table2[[#This Row],[J34]]*Table2[[#This Row],[weight]]</f>
        <v>9.2297399272413413E-4</v>
      </c>
      <c r="P18">
        <f>0.9155*Table2[[#This Row],[J45]]*Table2[[#This Row],[weight]]</f>
        <v>1.9688695464654582E-3</v>
      </c>
      <c r="Q18">
        <f>0.9155*Table2[[#This Row],[J56]]*Table2[[#This Row],[weight]]</f>
        <v>2.9643824356910945E-3</v>
      </c>
      <c r="R18">
        <f>0.9155*Table2[[#This Row],[J67]]*Table2[[#This Row],[weight]]</f>
        <v>3.2930837951518767E-3</v>
      </c>
      <c r="S18">
        <f>0.9155*Table2[[#This Row],[J67'']]*Table2[[#This Row],[weight]]</f>
        <v>7.958032913261032E-4</v>
      </c>
      <c r="T18">
        <f>0.9155*Table2[[#This Row],[J77'']]*Table2[[#This Row],[weight]]</f>
        <v>-3.5553164586552147E-3</v>
      </c>
    </row>
    <row r="19" spans="1:20" x14ac:dyDescent="0.25">
      <c r="A19" t="s">
        <v>37</v>
      </c>
      <c r="B19">
        <v>8.782</v>
      </c>
      <c r="C19">
        <v>9.2530000000000001</v>
      </c>
      <c r="D19">
        <v>1.7949999999999999</v>
      </c>
      <c r="E19">
        <v>8.3360000000000003</v>
      </c>
      <c r="F19">
        <v>8.6300000000000008</v>
      </c>
      <c r="G19">
        <v>2.008</v>
      </c>
      <c r="H19">
        <v>-13.927</v>
      </c>
      <c r="I19">
        <v>2.0049999999999999</v>
      </c>
      <c r="J19" s="9">
        <f>chloroform!J24</f>
        <v>4.6965541756517929E-3</v>
      </c>
      <c r="K19" t="str">
        <f>chloroform!F24</f>
        <v>45TH</v>
      </c>
      <c r="M19">
        <f>0.9155*Table2[[#This Row],[J1,2]]*Table2[[#This Row],[weight]]</f>
        <v>3.7759924544460539E-2</v>
      </c>
      <c r="N19">
        <f>0.9155*Table2[[#This Row],[J2,3]]*Table2[[#This Row],[weight]]</f>
        <v>3.978508105327868E-2</v>
      </c>
      <c r="O19">
        <f>0.9155*Table2[[#This Row],[J34]]*Table2[[#This Row],[weight]]</f>
        <v>7.7179531493175423E-3</v>
      </c>
      <c r="P19">
        <f>0.9155*Table2[[#This Row],[J45]]*Table2[[#This Row],[weight]]</f>
        <v>3.5842260419337628E-2</v>
      </c>
      <c r="Q19">
        <f>0.9155*Table2[[#This Row],[J56]]*Table2[[#This Row],[weight]]</f>
        <v>3.7106370851593538E-2</v>
      </c>
      <c r="R19">
        <f>0.9155*Table2[[#This Row],[J67]]*Table2[[#This Row],[weight]]</f>
        <v>8.6337882584009065E-3</v>
      </c>
      <c r="S19">
        <f>0.9155*Table2[[#This Row],[J67'']]*Table2[[#This Row],[weight]]</f>
        <v>8.6208891723574786E-3</v>
      </c>
      <c r="T19">
        <f>0.9155*Table2[[#This Row],[J77'']]*Table2[[#This Row],[weight]]</f>
        <v>-5.9881857108938952E-2</v>
      </c>
    </row>
    <row r="20" spans="1:20" x14ac:dyDescent="0.25">
      <c r="A20" t="s">
        <v>38</v>
      </c>
      <c r="B20">
        <v>7.6859999999999999</v>
      </c>
      <c r="C20">
        <v>8.58</v>
      </c>
      <c r="D20">
        <v>6.4980000000000002</v>
      </c>
      <c r="E20">
        <v>0.97299999999999998</v>
      </c>
      <c r="F20">
        <v>12.156000000000001</v>
      </c>
      <c r="G20">
        <v>1.2889999999999999</v>
      </c>
      <c r="H20">
        <v>-13.638</v>
      </c>
      <c r="I20">
        <v>10.845000000000001</v>
      </c>
      <c r="J20" s="9">
        <f>chloroform!J25</f>
        <v>6.7864687042358235E-2</v>
      </c>
      <c r="K20" t="str">
        <f>chloroform!F25</f>
        <v>4H6</v>
      </c>
      <c r="M20">
        <f>0.9155*Table2[[#This Row],[J1,2]]*Table2[[#This Row],[weight]]</f>
        <v>0.47753210990822609</v>
      </c>
      <c r="N20">
        <f>0.9155*Table2[[#This Row],[J2,3]]*Table2[[#This Row],[weight]]</f>
        <v>0.53307643807085348</v>
      </c>
      <c r="O20">
        <f>0.9155*Table2[[#This Row],[J34]]*Table2[[#This Row],[weight]]</f>
        <v>0.40372152617533874</v>
      </c>
      <c r="P20">
        <f>0.9155*Table2[[#This Row],[J45]]*Table2[[#This Row],[weight]]</f>
        <v>6.0452607720622435E-2</v>
      </c>
      <c r="Q20">
        <f>0.9155*Table2[[#This Row],[J56]]*Table2[[#This Row],[weight]]</f>
        <v>0.75525375072136314</v>
      </c>
      <c r="R20">
        <f>0.9155*Table2[[#This Row],[J67]]*Table2[[#This Row],[weight]]</f>
        <v>8.0085725952602577E-2</v>
      </c>
      <c r="S20">
        <f>0.9155*Table2[[#This Row],[J67'']]*Table2[[#This Row],[weight]]</f>
        <v>0.67380116210704044</v>
      </c>
      <c r="T20">
        <f>0.9155*Table2[[#This Row],[J77'']]*Table2[[#This Row],[weight]]</f>
        <v>-0.8473305900245105</v>
      </c>
    </row>
    <row r="21" spans="1:20" x14ac:dyDescent="0.25">
      <c r="A21" t="s">
        <v>39</v>
      </c>
      <c r="B21">
        <v>8.4489999999999998</v>
      </c>
      <c r="C21">
        <v>2.0910000000000002</v>
      </c>
      <c r="D21">
        <v>12.23</v>
      </c>
      <c r="E21">
        <v>9.4949999999999992</v>
      </c>
      <c r="F21">
        <v>0.185</v>
      </c>
      <c r="G21">
        <v>12.284000000000001</v>
      </c>
      <c r="H21">
        <v>-12.032</v>
      </c>
      <c r="I21">
        <v>3.82</v>
      </c>
      <c r="J21" s="9">
        <f>chloroform!J26</f>
        <v>6.2318537715621344E-4</v>
      </c>
      <c r="K21" t="str">
        <f>chloroform!F26</f>
        <v>6H4</v>
      </c>
      <c r="M21">
        <f>0.9155*Table2[[#This Row],[J1,2]]*Table2[[#This Row],[weight]]</f>
        <v>4.820375971833251E-3</v>
      </c>
      <c r="N21">
        <f>0.9155*Table2[[#This Row],[J2,3]]*Table2[[#This Row],[weight]]</f>
        <v>1.1929703109365996E-3</v>
      </c>
      <c r="O21">
        <f>0.9155*Table2[[#This Row],[J34]]*Table2[[#This Row],[weight]]</f>
        <v>6.977535582379059E-3</v>
      </c>
      <c r="P21">
        <f>0.9155*Table2[[#This Row],[J45]]*Table2[[#This Row],[weight]]</f>
        <v>5.4171463904079441E-3</v>
      </c>
      <c r="Q21">
        <f>0.9155*Table2[[#This Row],[J56]]*Table2[[#This Row],[weight]]</f>
        <v>1.0554734936550499E-4</v>
      </c>
      <c r="R21">
        <f>0.9155*Table2[[#This Row],[J67]]*Table2[[#This Row],[weight]]</f>
        <v>7.0083439978695311E-3</v>
      </c>
      <c r="S21">
        <f>0.9155*Table2[[#This Row],[J67'']]*Table2[[#This Row],[weight]]</f>
        <v>2.1794101328444812E-3</v>
      </c>
      <c r="T21">
        <f>0.9155*Table2[[#This Row],[J77'']]*Table2[[#This Row],[weight]]</f>
        <v>-6.8645713922473291E-3</v>
      </c>
    </row>
    <row r="22" spans="1:20" x14ac:dyDescent="0.25">
      <c r="A22" t="s">
        <v>116</v>
      </c>
      <c r="B22">
        <v>8.6150000000000002</v>
      </c>
      <c r="C22">
        <v>9.6999999999999993</v>
      </c>
      <c r="D22">
        <v>2.6789999999999998</v>
      </c>
      <c r="E22">
        <v>6.9969999999999999</v>
      </c>
      <c r="F22">
        <v>9.1300000000000008</v>
      </c>
      <c r="G22">
        <v>2.0739999999999998</v>
      </c>
      <c r="H22">
        <v>-13.391</v>
      </c>
      <c r="I22">
        <v>11.721</v>
      </c>
      <c r="J22" s="9">
        <f>chloroform!J27</f>
        <v>1.1110867542881051E-3</v>
      </c>
      <c r="K22" t="str">
        <f>chloroform!F27</f>
        <v>45TH</v>
      </c>
      <c r="M22">
        <f>0.9155*Table2[[#This Row],[J1,2]]*Table2[[#This Row],[weight]]</f>
        <v>8.7631773413897988E-3</v>
      </c>
      <c r="N22">
        <f>0.9155*Table2[[#This Row],[J2,3]]*Table2[[#This Row],[weight]]</f>
        <v>9.8668392584423739E-3</v>
      </c>
      <c r="O22">
        <f>0.9155*Table2[[#This Row],[J34]]*Table2[[#This Row],[weight]]</f>
        <v>2.7250785951924866E-3</v>
      </c>
      <c r="P22">
        <f>0.9155*Table2[[#This Row],[J45]]*Table2[[#This Row],[weight]]</f>
        <v>7.1173478650846684E-3</v>
      </c>
      <c r="Q22">
        <f>0.9155*Table2[[#This Row],[J56]]*Table2[[#This Row],[weight]]</f>
        <v>9.2870353020184423E-3</v>
      </c>
      <c r="R22">
        <f>0.9155*Table2[[#This Row],[J67]]*Table2[[#This Row],[weight]]</f>
        <v>2.1096726414442765E-3</v>
      </c>
      <c r="S22">
        <f>0.9155*Table2[[#This Row],[J67'']]*Table2[[#This Row],[weight]]</f>
        <v>1.1922600303938461E-2</v>
      </c>
      <c r="T22">
        <f>0.9155*Table2[[#This Row],[J77'']]*Table2[[#This Row],[weight]]</f>
        <v>-1.362132417626823E-2</v>
      </c>
    </row>
    <row r="23" spans="1:20" x14ac:dyDescent="0.25">
      <c r="A23" t="s">
        <v>40</v>
      </c>
      <c r="B23">
        <v>8.48</v>
      </c>
      <c r="C23">
        <v>2.1970000000000001</v>
      </c>
      <c r="D23">
        <v>12.215999999999999</v>
      </c>
      <c r="E23">
        <v>10.195</v>
      </c>
      <c r="F23">
        <v>0.71499999999999997</v>
      </c>
      <c r="G23">
        <v>1.208</v>
      </c>
      <c r="H23">
        <v>-13.872999999999999</v>
      </c>
      <c r="I23">
        <v>4.1559999999999997</v>
      </c>
      <c r="J23" s="9">
        <f>chloroform!J28</f>
        <v>4.9283395387780284E-4</v>
      </c>
      <c r="K23" t="str">
        <f>chloroform!F28</f>
        <v>6H4</v>
      </c>
      <c r="M23">
        <f>0.9155*Table2[[#This Row],[J1,2]]*Table2[[#This Row],[weight]]</f>
        <v>3.8260868308930898E-3</v>
      </c>
      <c r="N23">
        <f>0.9155*Table2[[#This Row],[J2,3]]*Table2[[#This Row],[weight]]</f>
        <v>9.9126329805095722E-4</v>
      </c>
      <c r="O23">
        <f>0.9155*Table2[[#This Row],[J34]]*Table2[[#This Row],[weight]]</f>
        <v>5.5117307460129696E-3</v>
      </c>
      <c r="P23">
        <f>0.9155*Table2[[#This Row],[J45]]*Table2[[#This Row],[weight]]</f>
        <v>4.5998767972824355E-3</v>
      </c>
      <c r="Q23">
        <f>0.9155*Table2[[#This Row],[J56]]*Table2[[#This Row],[weight]]</f>
        <v>3.2260048161421686E-4</v>
      </c>
      <c r="R23">
        <f>0.9155*Table2[[#This Row],[J67]]*Table2[[#This Row],[weight]]</f>
        <v>5.450368976083552E-4</v>
      </c>
      <c r="S23">
        <f>0.9155*Table2[[#This Row],[J67'']]*Table2[[#This Row],[weight]]</f>
        <v>1.8751434987254339E-3</v>
      </c>
      <c r="T23">
        <f>0.9155*Table2[[#This Row],[J77'']]*Table2[[#This Row],[weight]]</f>
        <v>-6.2593517222853572E-3</v>
      </c>
    </row>
    <row r="24" spans="1:20" x14ac:dyDescent="0.25">
      <c r="A24" t="s">
        <v>41</v>
      </c>
      <c r="B24">
        <v>8.7590000000000003</v>
      </c>
      <c r="C24">
        <v>9.2590000000000003</v>
      </c>
      <c r="D24">
        <v>2.0419999999999998</v>
      </c>
      <c r="E24">
        <v>6.6920000000000002</v>
      </c>
      <c r="F24">
        <v>9.8010000000000002</v>
      </c>
      <c r="G24">
        <v>2.1459999999999999</v>
      </c>
      <c r="H24">
        <v>-12.798</v>
      </c>
      <c r="I24">
        <v>1.857</v>
      </c>
      <c r="J24" s="9">
        <f>chloroform!J29</f>
        <v>3.0916983615801238E-2</v>
      </c>
      <c r="K24" t="str">
        <f>chloroform!F29</f>
        <v>45TH</v>
      </c>
      <c r="M24">
        <f>0.9155*Table2[[#This Row],[J1,2]]*Table2[[#This Row],[weight]]</f>
        <v>0.24791910236383016</v>
      </c>
      <c r="N24">
        <f>0.9155*Table2[[#This Row],[J2,3]]*Table2[[#This Row],[weight]]</f>
        <v>0.26207135161396322</v>
      </c>
      <c r="O24">
        <f>0.9155*Table2[[#This Row],[J34]]*Table2[[#This Row],[weight]]</f>
        <v>5.7797785937543235E-2</v>
      </c>
      <c r="P24">
        <f>0.9155*Table2[[#This Row],[J45]]*Table2[[#This Row],[weight]]</f>
        <v>0.18941370396378029</v>
      </c>
      <c r="Q24">
        <f>0.9155*Table2[[#This Row],[J56]]*Table2[[#This Row],[weight]]</f>
        <v>0.27741238980110738</v>
      </c>
      <c r="R24">
        <f>0.9155*Table2[[#This Row],[J67]]*Table2[[#This Row],[weight]]</f>
        <v>6.0741453781570906E-2</v>
      </c>
      <c r="S24">
        <f>0.9155*Table2[[#This Row],[J67'']]*Table2[[#This Row],[weight]]</f>
        <v>5.2561453714994023E-2</v>
      </c>
      <c r="T24">
        <f>0.9155*Table2[[#This Row],[J77'']]*Table2[[#This Row],[weight]]</f>
        <v>-0.36224097180640469</v>
      </c>
    </row>
    <row r="25" spans="1:20" x14ac:dyDescent="0.25">
      <c r="A25" t="s">
        <v>42</v>
      </c>
      <c r="B25">
        <v>7.8390000000000004</v>
      </c>
      <c r="C25">
        <v>8.2409999999999997</v>
      </c>
      <c r="D25">
        <v>5.8449999999999998</v>
      </c>
      <c r="E25">
        <v>0.504</v>
      </c>
      <c r="F25">
        <v>12.375999999999999</v>
      </c>
      <c r="G25">
        <v>1.3420000000000001</v>
      </c>
      <c r="H25">
        <v>-13.521000000000001</v>
      </c>
      <c r="I25">
        <v>10.975</v>
      </c>
      <c r="J25" s="9">
        <f>chloroform!J30</f>
        <v>0.11021833097035422</v>
      </c>
      <c r="K25" t="str">
        <f>chloroform!F30</f>
        <v>4H6</v>
      </c>
      <c r="M25">
        <f>0.9155*Table2[[#This Row],[J1,2]]*Table2[[#This Row],[weight]]</f>
        <v>0.79099337002433345</v>
      </c>
      <c r="N25">
        <f>0.9155*Table2[[#This Row],[J2,3]]*Table2[[#This Row],[weight]]</f>
        <v>0.83155713258968378</v>
      </c>
      <c r="O25">
        <f>0.9155*Table2[[#This Row],[J34]]*Table2[[#This Row],[weight]]</f>
        <v>0.589789035309635</v>
      </c>
      <c r="P25">
        <f>0.9155*Table2[[#This Row],[J45]]*Table2[[#This Row],[weight]]</f>
        <v>5.0856060529693076E-2</v>
      </c>
      <c r="Q25">
        <f>0.9155*Table2[[#This Row],[J56]]*Table2[[#This Row],[weight]]</f>
        <v>1.2487988196735744</v>
      </c>
      <c r="R25">
        <f>0.9155*Table2[[#This Row],[J67]]*Table2[[#This Row],[weight]]</f>
        <v>0.13541435164850818</v>
      </c>
      <c r="S25">
        <f>0.9155*Table2[[#This Row],[J67'']]*Table2[[#This Row],[weight]]</f>
        <v>1.1074310799868681</v>
      </c>
      <c r="T25">
        <f>0.9155*Table2[[#This Row],[J77'']]*Table2[[#This Row],[weight]]</f>
        <v>-1.3643349095674209</v>
      </c>
    </row>
    <row r="26" spans="1:20" x14ac:dyDescent="0.25">
      <c r="A26" t="s">
        <v>43</v>
      </c>
      <c r="B26">
        <v>7.7350000000000003</v>
      </c>
      <c r="C26">
        <v>8.5820000000000007</v>
      </c>
      <c r="D26">
        <v>6.0510000000000002</v>
      </c>
      <c r="E26">
        <v>0.60499999999999998</v>
      </c>
      <c r="F26">
        <v>12.010999999999999</v>
      </c>
      <c r="G26">
        <v>1.306</v>
      </c>
      <c r="H26">
        <v>-14.435</v>
      </c>
      <c r="I26">
        <v>10.941000000000001</v>
      </c>
      <c r="J26" s="9">
        <f>chloroform!J31</f>
        <v>6.6249456850800803E-2</v>
      </c>
      <c r="K26" t="str">
        <f>chloroform!F31</f>
        <v>4H6</v>
      </c>
      <c r="M26">
        <f>0.9155*Table2[[#This Row],[J1,2]]*Table2[[#This Row],[weight]]</f>
        <v>0.46913840687233443</v>
      </c>
      <c r="N26">
        <f>0.9155*Table2[[#This Row],[J2,3]]*Table2[[#This Row],[weight]]</f>
        <v>0.52051012382396566</v>
      </c>
      <c r="O26">
        <f>0.9155*Table2[[#This Row],[J34]]*Table2[[#This Row],[weight]]</f>
        <v>0.36700148674654109</v>
      </c>
      <c r="P26">
        <f>0.9155*Table2[[#This Row],[J45]]*Table2[[#This Row],[weight]]</f>
        <v>3.6694083536879425E-2</v>
      </c>
      <c r="Q26">
        <f>0.9155*Table2[[#This Row],[J56]]*Table2[[#This Row],[weight]]</f>
        <v>0.72848369811811353</v>
      </c>
      <c r="R26">
        <f>0.9155*Table2[[#This Row],[J67]]*Table2[[#This Row],[weight]]</f>
        <v>7.9210699337462026E-2</v>
      </c>
      <c r="S26">
        <f>0.9155*Table2[[#This Row],[J67'']]*Table2[[#This Row],[weight]]</f>
        <v>0.66358672392892193</v>
      </c>
      <c r="T26">
        <f>0.9155*Table2[[#This Row],[J77'']]*Table2[[#This Row],[weight]]</f>
        <v>-0.87550263777661896</v>
      </c>
    </row>
    <row r="27" spans="1:20" x14ac:dyDescent="0.25">
      <c r="A27" t="s">
        <v>99</v>
      </c>
      <c r="B27">
        <v>9.0890000000000004</v>
      </c>
      <c r="C27">
        <v>9.5530000000000008</v>
      </c>
      <c r="D27">
        <v>0.57299999999999995</v>
      </c>
      <c r="E27">
        <v>11.231999999999999</v>
      </c>
      <c r="F27">
        <v>7.9139999999999997</v>
      </c>
      <c r="G27">
        <v>2.17</v>
      </c>
      <c r="H27">
        <v>-13.853999999999999</v>
      </c>
      <c r="I27">
        <v>1.8149999999999999</v>
      </c>
      <c r="J27" s="9">
        <f>chloroform!J32</f>
        <v>0</v>
      </c>
      <c r="K27" t="str">
        <f>chloroform!F32</f>
        <v>45TH</v>
      </c>
      <c r="M27">
        <f>0.9155*Table2[[#This Row],[J1,2]]*Table2[[#This Row],[weight]]</f>
        <v>0</v>
      </c>
      <c r="N27">
        <f>0.9155*Table2[[#This Row],[J2,3]]*Table2[[#This Row],[weight]]</f>
        <v>0</v>
      </c>
      <c r="O27">
        <f>0.9155*Table2[[#This Row],[J34]]*Table2[[#This Row],[weight]]</f>
        <v>0</v>
      </c>
      <c r="P27">
        <f>0.9155*Table2[[#This Row],[J45]]*Table2[[#This Row],[weight]]</f>
        <v>0</v>
      </c>
      <c r="Q27">
        <f>0.9155*Table2[[#This Row],[J56]]*Table2[[#This Row],[weight]]</f>
        <v>0</v>
      </c>
      <c r="R27">
        <f>0.9155*Table2[[#This Row],[J67]]*Table2[[#This Row],[weight]]</f>
        <v>0</v>
      </c>
      <c r="S27">
        <f>0.9155*Table2[[#This Row],[J67'']]*Table2[[#This Row],[weight]]</f>
        <v>0</v>
      </c>
      <c r="T27">
        <f>0.9155*Table2[[#This Row],[J77'']]*Table2[[#This Row],[weight]]</f>
        <v>0</v>
      </c>
    </row>
    <row r="28" spans="1:20" x14ac:dyDescent="0.25">
      <c r="A28" t="s">
        <v>44</v>
      </c>
      <c r="B28">
        <v>7.3410000000000002</v>
      </c>
      <c r="C28">
        <v>6.1989999999999998</v>
      </c>
      <c r="D28">
        <v>10.41</v>
      </c>
      <c r="E28">
        <v>11.784000000000001</v>
      </c>
      <c r="F28">
        <v>8.6240000000000006</v>
      </c>
      <c r="G28">
        <v>1.964</v>
      </c>
      <c r="H28">
        <v>-13.819000000000001</v>
      </c>
      <c r="I28">
        <v>11.335000000000001</v>
      </c>
      <c r="J28" s="9">
        <f>chloroform!J33</f>
        <v>1.2752774545018598E-2</v>
      </c>
      <c r="K28" t="str">
        <f>chloroform!F33</f>
        <v>56TH</v>
      </c>
      <c r="M28">
        <f>0.9155*Table2[[#This Row],[J1,2]]*Table2[[#This Row],[weight]]</f>
        <v>8.5707386969475594E-2</v>
      </c>
      <c r="N28">
        <f>0.9155*Table2[[#This Row],[J2,3]]*Table2[[#This Row],[weight]]</f>
        <v>7.2374348429884092E-2</v>
      </c>
      <c r="O28">
        <f>0.9155*Table2[[#This Row],[J34]]*Table2[[#This Row],[weight]]</f>
        <v>0.12153846864899072</v>
      </c>
      <c r="P28">
        <f>0.9155*Table2[[#This Row],[J45]]*Table2[[#This Row],[weight]]</f>
        <v>0.13758014549084596</v>
      </c>
      <c r="Q28">
        <f>0.9155*Table2[[#This Row],[J56]]*Table2[[#This Row],[weight]]</f>
        <v>0.10068662378759807</v>
      </c>
      <c r="R28">
        <f>0.9155*Table2[[#This Row],[J67]]*Table2[[#This Row],[weight]]</f>
        <v>2.2930024248474328E-2</v>
      </c>
      <c r="S28">
        <f>0.9155*Table2[[#This Row],[J67'']]*Table2[[#This Row],[weight]]</f>
        <v>0.13233799636275792</v>
      </c>
      <c r="T28">
        <f>0.9155*Table2[[#This Row],[J77'']]*Table2[[#This Row],[weight]]</f>
        <v>-0.16133910646113381</v>
      </c>
    </row>
    <row r="29" spans="1:20" x14ac:dyDescent="0.25">
      <c r="A29" t="s">
        <v>45</v>
      </c>
      <c r="B29">
        <v>8.9169999999999998</v>
      </c>
      <c r="C29">
        <v>2.0419999999999998</v>
      </c>
      <c r="D29">
        <v>12.444000000000001</v>
      </c>
      <c r="E29">
        <v>7.0190000000000001</v>
      </c>
      <c r="F29">
        <v>0.48799999999999999</v>
      </c>
      <c r="G29">
        <v>3.4279999999999999</v>
      </c>
      <c r="H29">
        <v>-12.476000000000001</v>
      </c>
      <c r="I29">
        <v>13.207000000000001</v>
      </c>
      <c r="J29" s="9">
        <f>chloroform!J34</f>
        <v>8.5264554589112415E-4</v>
      </c>
      <c r="K29" t="str">
        <f>chloroform!F34</f>
        <v>6H4</v>
      </c>
      <c r="M29">
        <f>0.9155*Table2[[#This Row],[J1,2]]*Table2[[#This Row],[weight]]</f>
        <v>6.9605834245970617E-3</v>
      </c>
      <c r="N29">
        <f>0.9155*Table2[[#This Row],[J2,3]]*Table2[[#This Row],[weight]]</f>
        <v>1.5939790684117076E-3</v>
      </c>
      <c r="O29">
        <f>0.9155*Table2[[#This Row],[J34]]*Table2[[#This Row],[weight]]</f>
        <v>9.713749033944806E-3</v>
      </c>
      <c r="P29">
        <f>0.9155*Table2[[#This Row],[J45]]*Table2[[#This Row],[weight]]</f>
        <v>5.4790103237912727E-3</v>
      </c>
      <c r="Q29">
        <f>0.9155*Table2[[#This Row],[J56]]*Table2[[#This Row],[weight]]</f>
        <v>3.8093133466450221E-4</v>
      </c>
      <c r="R29">
        <f>0.9155*Table2[[#This Row],[J67]]*Table2[[#This Row],[weight]]</f>
        <v>2.6758865066186751E-3</v>
      </c>
      <c r="S29">
        <f>0.9155*Table2[[#This Row],[J67'']]*Table2[[#This Row],[weight]]</f>
        <v>1.0309344542856723E-2</v>
      </c>
      <c r="T29">
        <f>0.9155*Table2[[#This Row],[J77'']]*Table2[[#This Row],[weight]]</f>
        <v>-9.7387281378572329E-3</v>
      </c>
    </row>
    <row r="30" spans="1:20" x14ac:dyDescent="0.25">
      <c r="A30" t="s">
        <v>46</v>
      </c>
      <c r="B30">
        <v>10.039999999999999</v>
      </c>
      <c r="C30">
        <v>2.5</v>
      </c>
      <c r="D30">
        <v>7.6710000000000003</v>
      </c>
      <c r="E30">
        <v>1.1080000000000001</v>
      </c>
      <c r="F30">
        <v>5.5720000000000001</v>
      </c>
      <c r="G30">
        <v>0.99099999999999999</v>
      </c>
      <c r="H30">
        <v>-13.28</v>
      </c>
      <c r="I30">
        <v>10.173</v>
      </c>
      <c r="J30" s="9">
        <f>chloroform!J35</f>
        <v>5.9510202012591562E-5</v>
      </c>
      <c r="K30" t="str">
        <f>chloroform!F35</f>
        <v>45TH</v>
      </c>
      <c r="M30">
        <f>0.9155*Table2[[#This Row],[J1,2]]*Table2[[#This Row],[weight]]</f>
        <v>5.4699516302297673E-4</v>
      </c>
      <c r="N30">
        <f>0.9155*Table2[[#This Row],[J2,3]]*Table2[[#This Row],[weight]]</f>
        <v>1.3620397485631893E-4</v>
      </c>
      <c r="O30">
        <f>0.9155*Table2[[#This Row],[J34]]*Table2[[#This Row],[weight]]</f>
        <v>4.1792827644912902E-4</v>
      </c>
      <c r="P30">
        <f>0.9155*Table2[[#This Row],[J45]]*Table2[[#This Row],[weight]]</f>
        <v>6.0365601656320558E-5</v>
      </c>
      <c r="Q30">
        <f>0.9155*Table2[[#This Row],[J56]]*Table2[[#This Row],[weight]]</f>
        <v>3.0357141915976363E-4</v>
      </c>
      <c r="R30">
        <f>0.9155*Table2[[#This Row],[J67]]*Table2[[#This Row],[weight]]</f>
        <v>5.3991255633044828E-5</v>
      </c>
      <c r="S30">
        <f>0.9155*Table2[[#This Row],[J67'']]*Table2[[#This Row],[weight]]</f>
        <v>5.5424121448533305E-4</v>
      </c>
      <c r="T30">
        <f>0.9155*Table2[[#This Row],[J77'']]*Table2[[#This Row],[weight]]</f>
        <v>-7.2351551443676607E-4</v>
      </c>
    </row>
    <row r="31" spans="1:20" x14ac:dyDescent="0.25">
      <c r="A31" t="s">
        <v>47</v>
      </c>
      <c r="B31">
        <v>7.9880000000000004</v>
      </c>
      <c r="C31">
        <v>8.5860000000000003</v>
      </c>
      <c r="D31">
        <v>5.5389999999999997</v>
      </c>
      <c r="E31">
        <v>0.36599999999999999</v>
      </c>
      <c r="F31">
        <v>12.065</v>
      </c>
      <c r="G31">
        <v>8.7560000000000002</v>
      </c>
      <c r="H31">
        <v>-12.616</v>
      </c>
      <c r="I31">
        <v>0.66200000000000003</v>
      </c>
      <c r="J31" s="9">
        <f>chloroform!J36</f>
        <v>2.8128776764733254E-3</v>
      </c>
      <c r="K31" t="str">
        <f>chloroform!F36</f>
        <v>4H6</v>
      </c>
      <c r="M31">
        <f>0.9155*Table2[[#This Row],[J1,2]]*Table2[[#This Row],[weight]]</f>
        <v>2.0570613828336897E-2</v>
      </c>
      <c r="N31">
        <f>0.9155*Table2[[#This Row],[J2,3]]*Table2[[#This Row],[weight]]</f>
        <v>2.2110577156998074E-2</v>
      </c>
      <c r="O31">
        <f>0.9155*Table2[[#This Row],[J34]]*Table2[[#This Row],[weight]]</f>
        <v>1.4263974711461954E-2</v>
      </c>
      <c r="P31">
        <f>0.9155*Table2[[#This Row],[J45]]*Table2[[#This Row],[weight]]</f>
        <v>9.4251936168894654E-4</v>
      </c>
      <c r="Q31">
        <f>0.9155*Table2[[#This Row],[J56]]*Table2[[#This Row],[weight]]</f>
        <v>3.1069661472068688E-2</v>
      </c>
      <c r="R31">
        <f>0.9155*Table2[[#This Row],[J67]]*Table2[[#This Row],[weight]]</f>
        <v>2.2548359374176E-2</v>
      </c>
      <c r="S31">
        <f>0.9155*Table2[[#This Row],[J67'']]*Table2[[#This Row],[weight]]</f>
        <v>1.7047754574811003E-3</v>
      </c>
      <c r="T31">
        <f>0.9155*Table2[[#This Row],[J77'']]*Table2[[#This Row],[weight]]</f>
        <v>-3.2488590893627725E-2</v>
      </c>
    </row>
    <row r="32" spans="1:20" x14ac:dyDescent="0.25">
      <c r="A32" t="s">
        <v>48</v>
      </c>
      <c r="B32">
        <v>9.5879999999999992</v>
      </c>
      <c r="C32">
        <v>3.2650000000000001</v>
      </c>
      <c r="D32">
        <v>8.343</v>
      </c>
      <c r="E32">
        <v>11.727</v>
      </c>
      <c r="F32">
        <v>9.9339999999999993</v>
      </c>
      <c r="G32">
        <v>1.98</v>
      </c>
      <c r="H32">
        <v>-13.079000000000001</v>
      </c>
      <c r="I32">
        <v>1.956</v>
      </c>
      <c r="J32" s="9">
        <f>chloroform!J37</f>
        <v>4.3448357369723078E-2</v>
      </c>
      <c r="K32" t="str">
        <f>chloroform!F37</f>
        <v>5C12</v>
      </c>
      <c r="M32">
        <f>0.9155*Table2[[#This Row],[J1,2]]*Table2[[#This Row],[weight]]</f>
        <v>0.38138159959695839</v>
      </c>
      <c r="N32">
        <f>0.9155*Table2[[#This Row],[J2,3]]*Table2[[#This Row],[weight]]</f>
        <v>0.12987181087651953</v>
      </c>
      <c r="O32">
        <f>0.9155*Table2[[#This Row],[J34]]*Table2[[#This Row],[weight]]</f>
        <v>0.33185927048784147</v>
      </c>
      <c r="P32">
        <f>0.9155*Table2[[#This Row],[J45]]*Table2[[#This Row],[weight]]</f>
        <v>0.46646454093382678</v>
      </c>
      <c r="Q32">
        <f>0.9155*Table2[[#This Row],[J56]]*Table2[[#This Row],[weight]]</f>
        <v>0.39514443162246399</v>
      </c>
      <c r="R32">
        <f>0.9155*Table2[[#This Row],[J67]]*Table2[[#This Row],[weight]]</f>
        <v>7.8758402920523329E-2</v>
      </c>
      <c r="S32">
        <f>0.9155*Table2[[#This Row],[J67'']]*Table2[[#This Row],[weight]]</f>
        <v>7.7803755612395775E-2</v>
      </c>
      <c r="T32">
        <f>0.9155*Table2[[#This Row],[J77'']]*Table2[[#This Row],[weight]]</f>
        <v>-0.52024300595834583</v>
      </c>
    </row>
    <row r="33" spans="1:32" x14ac:dyDescent="0.25">
      <c r="A33" t="s">
        <v>49</v>
      </c>
      <c r="B33">
        <v>10.128</v>
      </c>
      <c r="C33">
        <v>2.4900000000000002</v>
      </c>
      <c r="D33">
        <v>7.4660000000000002</v>
      </c>
      <c r="E33">
        <v>1.1379999999999999</v>
      </c>
      <c r="F33">
        <v>5.399</v>
      </c>
      <c r="G33">
        <v>1.657</v>
      </c>
      <c r="H33">
        <v>-13.443</v>
      </c>
      <c r="I33">
        <v>11.381</v>
      </c>
      <c r="J33" s="9">
        <f>chloroform!J38</f>
        <v>8.6510407005682056E-5</v>
      </c>
      <c r="K33" t="str">
        <f>chloroform!F38</f>
        <v>TH45</v>
      </c>
      <c r="M33">
        <f>0.9155*Table2[[#This Row],[J1,2]]*Table2[[#This Row],[weight]]</f>
        <v>8.0214041167157304E-4</v>
      </c>
      <c r="N33">
        <f>0.9155*Table2[[#This Row],[J2,3]]*Table2[[#This Row],[weight]]</f>
        <v>1.9720869125811779E-4</v>
      </c>
      <c r="O33">
        <f>0.9155*Table2[[#This Row],[J34]]*Table2[[#This Row],[weight]]</f>
        <v>5.9130927266389855E-4</v>
      </c>
      <c r="P33">
        <f>0.9155*Table2[[#This Row],[J45]]*Table2[[#This Row],[weight]]</f>
        <v>9.0129915924392785E-5</v>
      </c>
      <c r="Q33">
        <f>0.9155*Table2[[#This Row],[J56]]*Table2[[#This Row],[weight]]</f>
        <v>4.2760229883637667E-4</v>
      </c>
      <c r="R33">
        <f>0.9155*Table2[[#This Row],[J67]]*Table2[[#This Row],[weight]]</f>
        <v>1.3123486000590409E-4</v>
      </c>
      <c r="S33">
        <f>0.9155*Table2[[#This Row],[J67'']]*Table2[[#This Row],[weight]]</f>
        <v>9.0137835952154154E-4</v>
      </c>
      <c r="T33">
        <f>0.9155*Table2[[#This Row],[J77'']]*Table2[[#This Row],[weight]]</f>
        <v>-1.0646893319609949E-3</v>
      </c>
    </row>
    <row r="34" spans="1:32" x14ac:dyDescent="0.25">
      <c r="A34" t="s">
        <v>50</v>
      </c>
      <c r="B34">
        <v>8.7379999999999995</v>
      </c>
      <c r="C34">
        <v>9.2420000000000009</v>
      </c>
      <c r="D34">
        <v>1.9810000000000001</v>
      </c>
      <c r="E34">
        <v>6.6280000000000001</v>
      </c>
      <c r="F34">
        <v>9.7420000000000009</v>
      </c>
      <c r="G34">
        <v>2.1709999999999998</v>
      </c>
      <c r="H34">
        <v>-13.757</v>
      </c>
      <c r="I34">
        <v>11.983000000000001</v>
      </c>
      <c r="J34" s="9">
        <f>chloroform!J39</f>
        <v>2.3475109694907081E-2</v>
      </c>
      <c r="K34" t="str">
        <f>chloroform!F39</f>
        <v>45TH</v>
      </c>
      <c r="M34">
        <f>0.9155*Table2[[#This Row],[J1,2]]*Table2[[#This Row],[weight]]</f>
        <v>0.18779240304465677</v>
      </c>
      <c r="N34">
        <f>0.9155*Table2[[#This Row],[J2,3]]*Table2[[#This Row],[weight]]</f>
        <v>0.19862410035920328</v>
      </c>
      <c r="O34">
        <f>0.9155*Table2[[#This Row],[J34]]*Table2[[#This Row],[weight]]</f>
        <v>4.2574588055786802E-2</v>
      </c>
      <c r="P34">
        <f>0.9155*Table2[[#This Row],[J45]]*Table2[[#This Row],[weight]]</f>
        <v>0.14244541627145629</v>
      </c>
      <c r="Q34">
        <f>0.9155*Table2[[#This Row],[J56]]*Table2[[#This Row],[weight]]</f>
        <v>0.20936983182204696</v>
      </c>
      <c r="R34">
        <f>0.9155*Table2[[#This Row],[J67]]*Table2[[#This Row],[weight]]</f>
        <v>4.6657966011667412E-2</v>
      </c>
      <c r="S34">
        <f>0.9155*Table2[[#This Row],[J67'']]*Table2[[#This Row],[weight]]</f>
        <v>0.25753220023851248</v>
      </c>
      <c r="T34">
        <f>0.9155*Table2[[#This Row],[J77'']]*Table2[[#This Row],[weight]]</f>
        <v>-0.29565805546868196</v>
      </c>
    </row>
    <row r="35" spans="1:32" x14ac:dyDescent="0.25">
      <c r="A35" t="s">
        <v>51</v>
      </c>
      <c r="B35">
        <v>8.8369999999999997</v>
      </c>
      <c r="C35">
        <v>8.4109999999999996</v>
      </c>
      <c r="D35">
        <v>3.016</v>
      </c>
      <c r="E35">
        <v>4.66</v>
      </c>
      <c r="F35">
        <v>3.0089999999999999</v>
      </c>
      <c r="G35">
        <v>13.372999999999999</v>
      </c>
      <c r="H35">
        <v>-11.494</v>
      </c>
      <c r="I35">
        <v>5.6150000000000002</v>
      </c>
      <c r="J35" s="9">
        <f>chloroform!J40</f>
        <v>9.1245607550754346E-5</v>
      </c>
      <c r="K35" t="str">
        <f>chloroform!F40</f>
        <v>12C5</v>
      </c>
      <c r="M35">
        <f>0.9155*Table2[[#This Row],[J1,2]]*Table2[[#This Row],[weight]]</f>
        <v>7.3820192075926784E-4</v>
      </c>
      <c r="N35">
        <f>0.9155*Table2[[#This Row],[J2,3]]*Table2[[#This Row],[weight]]</f>
        <v>7.0261586007765088E-4</v>
      </c>
      <c r="O35">
        <f>0.9155*Table2[[#This Row],[J34]]*Table2[[#This Row],[weight]]</f>
        <v>2.5194262679755023E-4</v>
      </c>
      <c r="P35">
        <f>0.9155*Table2[[#This Row],[J45]]*Table2[[#This Row],[weight]]</f>
        <v>3.8927474830125473E-4</v>
      </c>
      <c r="Q35">
        <f>0.9155*Table2[[#This Row],[J56]]*Table2[[#This Row],[weight]]</f>
        <v>2.5135787932156127E-4</v>
      </c>
      <c r="R35">
        <f>0.9155*Table2[[#This Row],[J67]]*Table2[[#This Row],[weight]]</f>
        <v>1.1171182852001457E-3</v>
      </c>
      <c r="S35">
        <f>0.9155*Table2[[#This Row],[J67'']]*Table2[[#This Row],[weight]]</f>
        <v>4.6905101109689809E-4</v>
      </c>
      <c r="T35">
        <f>0.9155*Table2[[#This Row],[J77'']]*Table2[[#This Row],[weight]]</f>
        <v>-9.6015535557395317E-4</v>
      </c>
      <c r="Z35">
        <v>6.8367000000000004</v>
      </c>
      <c r="AA35">
        <v>3.44</v>
      </c>
      <c r="AB35">
        <v>1.77</v>
      </c>
      <c r="AC35">
        <v>4.0999999999999996</v>
      </c>
      <c r="AD35">
        <v>8.9</v>
      </c>
      <c r="AE35">
        <v>2.54</v>
      </c>
      <c r="AF35">
        <v>6.31</v>
      </c>
    </row>
    <row r="36" spans="1:32" x14ac:dyDescent="0.25">
      <c r="A36" t="s">
        <v>117</v>
      </c>
      <c r="B36">
        <v>8.702</v>
      </c>
      <c r="C36">
        <v>2.25</v>
      </c>
      <c r="D36">
        <v>11.945</v>
      </c>
      <c r="E36">
        <v>9.3260000000000005</v>
      </c>
      <c r="F36">
        <v>0.246</v>
      </c>
      <c r="G36">
        <v>13.015000000000001</v>
      </c>
      <c r="H36">
        <v>-11.965999999999999</v>
      </c>
      <c r="I36">
        <v>5.1390000000000002</v>
      </c>
      <c r="J36" s="9">
        <f>chloroform!J41</f>
        <v>0</v>
      </c>
      <c r="K36" t="str">
        <f>chloroform!F41</f>
        <v>6H4</v>
      </c>
      <c r="M36">
        <f>0.9155*Table2[[#This Row],[J1,2]]*Table2[[#This Row],[weight]]</f>
        <v>0</v>
      </c>
      <c r="N36">
        <f>0.9155*Table2[[#This Row],[J2,3]]*Table2[[#This Row],[weight]]</f>
        <v>0</v>
      </c>
      <c r="O36">
        <f>0.9155*Table2[[#This Row],[J34]]*Table2[[#This Row],[weight]]</f>
        <v>0</v>
      </c>
      <c r="P36">
        <f>0.9155*Table2[[#This Row],[J45]]*Table2[[#This Row],[weight]]</f>
        <v>0</v>
      </c>
      <c r="Q36">
        <f>0.9155*Table2[[#This Row],[J56]]*Table2[[#This Row],[weight]]</f>
        <v>0</v>
      </c>
      <c r="R36">
        <f>0.9155*Table2[[#This Row],[J67]]*Table2[[#This Row],[weight]]</f>
        <v>0</v>
      </c>
      <c r="S36">
        <f>0.9155*Table2[[#This Row],[J67'']]*Table2[[#This Row],[weight]]</f>
        <v>0</v>
      </c>
      <c r="T36">
        <f>0.9155*Table2[[#This Row],[J77'']]*Table2[[#This Row],[weight]]</f>
        <v>0</v>
      </c>
    </row>
    <row r="37" spans="1:32" x14ac:dyDescent="0.25">
      <c r="A37" t="s">
        <v>118</v>
      </c>
      <c r="B37">
        <v>9.5169999999999995</v>
      </c>
      <c r="C37">
        <v>3.0920000000000001</v>
      </c>
      <c r="D37">
        <v>8.1379999999999999</v>
      </c>
      <c r="E37">
        <v>1.3149999999999999</v>
      </c>
      <c r="F37">
        <v>4.7270000000000003</v>
      </c>
      <c r="G37">
        <v>13.472</v>
      </c>
      <c r="H37">
        <v>-12.326000000000001</v>
      </c>
      <c r="I37">
        <v>4.0449999999999999</v>
      </c>
      <c r="J37" s="9">
        <f>chloroform!J42</f>
        <v>0</v>
      </c>
      <c r="K37" t="str">
        <f>chloroform!F42</f>
        <v>TH45</v>
      </c>
      <c r="M37">
        <f>0.9155*Table2[[#This Row],[J1,2]]*Table2[[#This Row],[weight]]</f>
        <v>0</v>
      </c>
      <c r="N37">
        <f>0.9155*Table2[[#This Row],[J2,3]]*Table2[[#This Row],[weight]]</f>
        <v>0</v>
      </c>
      <c r="O37">
        <f>0.9155*Table2[[#This Row],[J34]]*Table2[[#This Row],[weight]]</f>
        <v>0</v>
      </c>
      <c r="P37">
        <f>0.9155*Table2[[#This Row],[J45]]*Table2[[#This Row],[weight]]</f>
        <v>0</v>
      </c>
      <c r="Q37">
        <f>0.9155*Table2[[#This Row],[J56]]*Table2[[#This Row],[weight]]</f>
        <v>0</v>
      </c>
      <c r="R37">
        <f>0.9155*Table2[[#This Row],[J67]]*Table2[[#This Row],[weight]]</f>
        <v>0</v>
      </c>
      <c r="S37">
        <f>0.9155*Table2[[#This Row],[J67'']]*Table2[[#This Row],[weight]]</f>
        <v>0</v>
      </c>
      <c r="T37">
        <f>0.9155*Table2[[#This Row],[J77'']]*Table2[[#This Row],[weight]]</f>
        <v>0</v>
      </c>
    </row>
    <row r="38" spans="1:32" x14ac:dyDescent="0.25">
      <c r="A38" t="s">
        <v>52</v>
      </c>
      <c r="B38">
        <v>7.7990000000000004</v>
      </c>
      <c r="C38">
        <v>2.762</v>
      </c>
      <c r="D38">
        <v>10.648</v>
      </c>
      <c r="E38">
        <v>10.943</v>
      </c>
      <c r="F38">
        <v>10.845000000000001</v>
      </c>
      <c r="G38">
        <v>2.3780000000000001</v>
      </c>
      <c r="H38">
        <v>-12.177</v>
      </c>
      <c r="I38">
        <v>11.22</v>
      </c>
      <c r="J38" s="9">
        <f>chloroform!J43</f>
        <v>2.4341814562238901E-2</v>
      </c>
      <c r="K38" t="str">
        <f>chloroform!F43</f>
        <v>5C12</v>
      </c>
      <c r="M38">
        <f>0.9155*Table2[[#This Row],[J1,2]]*Table2[[#This Row],[weight]]</f>
        <v>0.17380017867626005</v>
      </c>
      <c r="N38">
        <f>0.9155*Table2[[#This Row],[J2,3]]*Table2[[#This Row],[weight]]</f>
        <v>6.1550980062037471E-2</v>
      </c>
      <c r="O38">
        <f>0.9155*Table2[[#This Row],[J34]]*Table2[[#This Row],[weight]]</f>
        <v>0.23728994775545798</v>
      </c>
      <c r="P38">
        <f>0.9155*Table2[[#This Row],[J45]]*Table2[[#This Row],[weight]]</f>
        <v>0.24386400246881823</v>
      </c>
      <c r="Q38">
        <f>0.9155*Table2[[#This Row],[J56]]*Table2[[#This Row],[weight]]</f>
        <v>0.24168007920810874</v>
      </c>
      <c r="R38">
        <f>0.9155*Table2[[#This Row],[J67]]*Table2[[#This Row],[weight]]</f>
        <v>5.2993566469053253E-2</v>
      </c>
      <c r="S38">
        <f>0.9155*Table2[[#This Row],[J67'']]*Table2[[#This Row],[weight]]</f>
        <v>0.25003692842000741</v>
      </c>
      <c r="T38">
        <f>0.9155*Table2[[#This Row],[J77'']]*Table2[[#This Row],[weight]]</f>
        <v>-0.27136360760877271</v>
      </c>
    </row>
    <row r="39" spans="1:32" x14ac:dyDescent="0.25">
      <c r="A39" t="s">
        <v>100</v>
      </c>
      <c r="B39">
        <v>9.0850000000000009</v>
      </c>
      <c r="C39">
        <v>9.5449999999999999</v>
      </c>
      <c r="D39">
        <v>0.57099999999999995</v>
      </c>
      <c r="E39">
        <v>11.364000000000001</v>
      </c>
      <c r="F39">
        <v>8.36</v>
      </c>
      <c r="G39">
        <v>10.76</v>
      </c>
      <c r="H39">
        <v>-11.877000000000001</v>
      </c>
      <c r="I39">
        <v>2.859</v>
      </c>
      <c r="J39" s="9">
        <f>chloroform!J44</f>
        <v>0</v>
      </c>
      <c r="K39" t="str">
        <f>chloroform!F44</f>
        <v>45TH</v>
      </c>
      <c r="M39">
        <f>0.9155*Table2[[#This Row],[J1,2]]*Table2[[#This Row],[weight]]</f>
        <v>0</v>
      </c>
      <c r="N39">
        <f>0.9155*Table2[[#This Row],[J2,3]]*Table2[[#This Row],[weight]]</f>
        <v>0</v>
      </c>
      <c r="O39">
        <f>0.9155*Table2[[#This Row],[J34]]*Table2[[#This Row],[weight]]</f>
        <v>0</v>
      </c>
      <c r="P39">
        <f>0.9155*Table2[[#This Row],[J45]]*Table2[[#This Row],[weight]]</f>
        <v>0</v>
      </c>
      <c r="Q39">
        <f>0.9155*Table2[[#This Row],[J56]]*Table2[[#This Row],[weight]]</f>
        <v>0</v>
      </c>
      <c r="R39">
        <f>0.9155*Table2[[#This Row],[J67]]*Table2[[#This Row],[weight]]</f>
        <v>0</v>
      </c>
      <c r="S39">
        <f>0.9155*Table2[[#This Row],[J67'']]*Table2[[#This Row],[weight]]</f>
        <v>0</v>
      </c>
      <c r="T39">
        <f>0.9155*Table2[[#This Row],[J77'']]*Table2[[#This Row],[weight]]</f>
        <v>0</v>
      </c>
    </row>
    <row r="40" spans="1:32" x14ac:dyDescent="0.25">
      <c r="A40" t="s">
        <v>101</v>
      </c>
      <c r="B40">
        <v>9.1489999999999991</v>
      </c>
      <c r="C40">
        <v>1.9339999999999999</v>
      </c>
      <c r="D40">
        <v>12.611000000000001</v>
      </c>
      <c r="E40">
        <v>7.7530000000000001</v>
      </c>
      <c r="F40">
        <v>0.96599999999999997</v>
      </c>
      <c r="G40">
        <v>13.769</v>
      </c>
      <c r="H40">
        <v>-13.135999999999999</v>
      </c>
      <c r="I40">
        <v>6.9930000000000003</v>
      </c>
      <c r="J40" s="9">
        <f>chloroform!J45</f>
        <v>0</v>
      </c>
      <c r="K40" t="str">
        <f>chloroform!F45</f>
        <v>6H4</v>
      </c>
      <c r="M40">
        <f>0.9155*Table2[[#This Row],[J1,2]]*Table2[[#This Row],[weight]]</f>
        <v>0</v>
      </c>
      <c r="N40">
        <f>0.9155*Table2[[#This Row],[J2,3]]*Table2[[#This Row],[weight]]</f>
        <v>0</v>
      </c>
      <c r="O40">
        <f>0.9155*Table2[[#This Row],[J34]]*Table2[[#This Row],[weight]]</f>
        <v>0</v>
      </c>
      <c r="P40">
        <f>0.9155*Table2[[#This Row],[J45]]*Table2[[#This Row],[weight]]</f>
        <v>0</v>
      </c>
      <c r="Q40">
        <f>0.9155*Table2[[#This Row],[J56]]*Table2[[#This Row],[weight]]</f>
        <v>0</v>
      </c>
      <c r="R40">
        <f>0.9155*Table2[[#This Row],[J67]]*Table2[[#This Row],[weight]]</f>
        <v>0</v>
      </c>
      <c r="S40">
        <f>0.9155*Table2[[#This Row],[J67'']]*Table2[[#This Row],[weight]]</f>
        <v>0</v>
      </c>
      <c r="T40">
        <f>0.9155*Table2[[#This Row],[J77'']]*Table2[[#This Row],[weight]]</f>
        <v>0</v>
      </c>
    </row>
    <row r="41" spans="1:32" x14ac:dyDescent="0.25">
      <c r="A41" t="s">
        <v>102</v>
      </c>
      <c r="B41">
        <v>9.8740000000000006</v>
      </c>
      <c r="C41">
        <v>7.056</v>
      </c>
      <c r="D41">
        <v>2.3149999999999999</v>
      </c>
      <c r="E41">
        <v>6.423</v>
      </c>
      <c r="F41">
        <v>3.3010000000000002</v>
      </c>
      <c r="G41">
        <v>13.672000000000001</v>
      </c>
      <c r="H41">
        <v>-11.84</v>
      </c>
      <c r="I41">
        <v>6.2759999999999998</v>
      </c>
      <c r="J41" s="9">
        <f>chloroform!J46</f>
        <v>0</v>
      </c>
      <c r="K41" t="str">
        <f>chloroform!F46</f>
        <v>12C5</v>
      </c>
      <c r="M41">
        <f>0.9155*Table2[[#This Row],[J1,2]]*Table2[[#This Row],[weight]]</f>
        <v>0</v>
      </c>
      <c r="N41">
        <f>0.9155*Table2[[#This Row],[J2,3]]*Table2[[#This Row],[weight]]</f>
        <v>0</v>
      </c>
      <c r="O41">
        <f>0.9155*Table2[[#This Row],[J34]]*Table2[[#This Row],[weight]]</f>
        <v>0</v>
      </c>
      <c r="P41">
        <f>0.9155*Table2[[#This Row],[J45]]*Table2[[#This Row],[weight]]</f>
        <v>0</v>
      </c>
      <c r="Q41">
        <f>0.9155*Table2[[#This Row],[J56]]*Table2[[#This Row],[weight]]</f>
        <v>0</v>
      </c>
      <c r="R41">
        <f>0.9155*Table2[[#This Row],[J67]]*Table2[[#This Row],[weight]]</f>
        <v>0</v>
      </c>
      <c r="S41">
        <f>0.9155*Table2[[#This Row],[J67'']]*Table2[[#This Row],[weight]]</f>
        <v>0</v>
      </c>
      <c r="T41">
        <f>0.9155*Table2[[#This Row],[J77'']]*Table2[[#This Row],[weight]]</f>
        <v>0</v>
      </c>
    </row>
    <row r="42" spans="1:32" x14ac:dyDescent="0.25">
      <c r="A42" t="s">
        <v>53</v>
      </c>
      <c r="B42">
        <v>8.64</v>
      </c>
      <c r="C42">
        <v>9.8789999999999996</v>
      </c>
      <c r="D42">
        <v>2.214</v>
      </c>
      <c r="E42">
        <v>6.4930000000000003</v>
      </c>
      <c r="F42">
        <v>9.8849999999999998</v>
      </c>
      <c r="G42">
        <v>2.7589999999999999</v>
      </c>
      <c r="H42">
        <v>-12.823</v>
      </c>
      <c r="I42">
        <v>11.991</v>
      </c>
      <c r="J42" s="9">
        <f>chloroform!J47</f>
        <v>1.0480173242917196E-2</v>
      </c>
      <c r="K42" t="str">
        <f>chloroform!F47</f>
        <v>45TH</v>
      </c>
      <c r="M42">
        <f>0.9155*Table2[[#This Row],[J1,2]]*Table2[[#This Row],[weight]]</f>
        <v>8.2897331937615587E-2</v>
      </c>
      <c r="N42">
        <f>0.9155*Table2[[#This Row],[J2,3]]*Table2[[#This Row],[weight]]</f>
        <v>9.4785039607836144E-2</v>
      </c>
      <c r="O42">
        <f>0.9155*Table2[[#This Row],[J34]]*Table2[[#This Row],[weight]]</f>
        <v>2.1242441309013996E-2</v>
      </c>
      <c r="P42">
        <f>0.9155*Table2[[#This Row],[J45]]*Table2[[#This Row],[weight]]</f>
        <v>6.2297728735062272E-2</v>
      </c>
      <c r="Q42">
        <f>0.9155*Table2[[#This Row],[J56]]*Table2[[#This Row],[weight]]</f>
        <v>9.48426071994595E-2</v>
      </c>
      <c r="R42">
        <f>0.9155*Table2[[#This Row],[J67]]*Table2[[#This Row],[weight]]</f>
        <v>2.647149754813442E-2</v>
      </c>
      <c r="S42">
        <f>0.9155*Table2[[#This Row],[J67'']]*Table2[[#This Row],[weight]]</f>
        <v>0.11504883185925328</v>
      </c>
      <c r="T42">
        <f>0.9155*Table2[[#This Row],[J77'']]*Table2[[#This Row],[weight]]</f>
        <v>-0.12303153789769035</v>
      </c>
    </row>
    <row r="43" spans="1:32" x14ac:dyDescent="0.25">
      <c r="A43" t="s">
        <v>54</v>
      </c>
      <c r="B43">
        <v>7.6660000000000004</v>
      </c>
      <c r="C43">
        <v>2.8330000000000002</v>
      </c>
      <c r="D43">
        <v>10.426</v>
      </c>
      <c r="E43">
        <v>10.933</v>
      </c>
      <c r="F43">
        <v>10.318</v>
      </c>
      <c r="G43">
        <v>1.1659999999999999</v>
      </c>
      <c r="H43">
        <v>-14.012</v>
      </c>
      <c r="I43">
        <v>3.1669999999999998</v>
      </c>
      <c r="J43" s="9">
        <f>chloroform!J48</f>
        <v>1.0355624200105362E-3</v>
      </c>
      <c r="K43" t="str">
        <f>chloroform!F48</f>
        <v>5C12</v>
      </c>
      <c r="M43">
        <f>0.9155*Table2[[#This Row],[J1,2]]*Table2[[#This Row],[weight]]</f>
        <v>7.2678079940536053E-3</v>
      </c>
      <c r="N43">
        <f>0.9155*Table2[[#This Row],[J2,3]]*Table2[[#This Row],[weight]]</f>
        <v>2.685846601507157E-3</v>
      </c>
      <c r="O43">
        <f>0.9155*Table2[[#This Row],[J34]]*Table2[[#This Row],[weight]]</f>
        <v>9.8844464056878269E-3</v>
      </c>
      <c r="P43">
        <f>0.9155*Table2[[#This Row],[J45]]*Table2[[#This Row],[weight]]</f>
        <v>1.0365111505216287E-2</v>
      </c>
      <c r="Q43">
        <f>0.9155*Table2[[#This Row],[J56]]*Table2[[#This Row],[weight]]</f>
        <v>9.7820562069717044E-3</v>
      </c>
      <c r="R43">
        <f>0.9155*Table2[[#This Row],[J67]]*Table2[[#This Row],[weight]]</f>
        <v>1.105434923175907E-3</v>
      </c>
      <c r="S43">
        <f>0.9155*Table2[[#This Row],[J67'']]*Table2[[#This Row],[weight]]</f>
        <v>3.0024977716107183E-3</v>
      </c>
      <c r="T43">
        <f>0.9155*Table2[[#This Row],[J77'']]*Table2[[#This Row],[weight]]</f>
        <v>-1.3284180226021279E-2</v>
      </c>
    </row>
    <row r="44" spans="1:32" x14ac:dyDescent="0.25">
      <c r="A44" t="s">
        <v>97</v>
      </c>
      <c r="B44">
        <v>5.9850000000000003</v>
      </c>
      <c r="C44">
        <v>5.6429999999999998</v>
      </c>
      <c r="D44">
        <v>8.7949999999999999</v>
      </c>
      <c r="E44">
        <v>1.976</v>
      </c>
      <c r="F44">
        <v>0.36399999999999999</v>
      </c>
      <c r="G44">
        <v>12.02</v>
      </c>
      <c r="H44">
        <v>-11.138</v>
      </c>
      <c r="I44">
        <v>5.085</v>
      </c>
      <c r="J44" s="9">
        <f>chloroform!J49</f>
        <v>0</v>
      </c>
      <c r="K44" t="str">
        <f>chloroform!F49</f>
        <v>125B</v>
      </c>
      <c r="M44">
        <f>0.9155*Table2[[#This Row],[J1,2]]*Table2[[#This Row],[weight]]</f>
        <v>0</v>
      </c>
      <c r="N44">
        <f>0.9155*Table2[[#This Row],[J2,3]]*Table2[[#This Row],[weight]]</f>
        <v>0</v>
      </c>
      <c r="O44">
        <f>0.9155*Table2[[#This Row],[J34]]*Table2[[#This Row],[weight]]</f>
        <v>0</v>
      </c>
      <c r="P44">
        <f>0.9155*Table2[[#This Row],[J45]]*Table2[[#This Row],[weight]]</f>
        <v>0</v>
      </c>
      <c r="Q44">
        <f>0.9155*Table2[[#This Row],[J56]]*Table2[[#This Row],[weight]]</f>
        <v>0</v>
      </c>
      <c r="R44">
        <f>0.9155*Table2[[#This Row],[J67]]*Table2[[#This Row],[weight]]</f>
        <v>0</v>
      </c>
      <c r="S44">
        <f>0.9155*Table2[[#This Row],[J67'']]*Table2[[#This Row],[weight]]</f>
        <v>0</v>
      </c>
      <c r="T44">
        <f>0.9155*Table2[[#This Row],[J77'']]*Table2[[#This Row],[weight]]</f>
        <v>0</v>
      </c>
    </row>
    <row r="45" spans="1:32" x14ac:dyDescent="0.25">
      <c r="A45" t="s">
        <v>55</v>
      </c>
      <c r="B45">
        <v>8.7850000000000001</v>
      </c>
      <c r="C45">
        <v>8.4290000000000003</v>
      </c>
      <c r="D45">
        <v>2.8820000000000001</v>
      </c>
      <c r="E45">
        <v>4.6180000000000003</v>
      </c>
      <c r="F45">
        <v>3.1150000000000002</v>
      </c>
      <c r="G45">
        <v>1.4770000000000001</v>
      </c>
      <c r="H45">
        <v>-13.055</v>
      </c>
      <c r="I45">
        <v>10.795</v>
      </c>
      <c r="J45" s="9">
        <f>chloroform!J50</f>
        <v>3.8396480201243605E-4</v>
      </c>
      <c r="K45" t="str">
        <f>chloroform!F50</f>
        <v>12C5</v>
      </c>
      <c r="M45">
        <f>0.9155*Table2[[#This Row],[J1,2]]*Table2[[#This Row],[weight]]</f>
        <v>3.0881012342893542E-3</v>
      </c>
      <c r="N45">
        <f>0.9155*Table2[[#This Row],[J2,3]]*Table2[[#This Row],[weight]]</f>
        <v>2.9629601939470647E-3</v>
      </c>
      <c r="O45">
        <f>0.9155*Table2[[#This Row],[J34]]*Table2[[#This Row],[weight]]</f>
        <v>1.0130799951305542E-3</v>
      </c>
      <c r="P45">
        <f>0.9155*Table2[[#This Row],[J45]]*Table2[[#This Row],[weight]]</f>
        <v>1.6233183266873348E-3</v>
      </c>
      <c r="Q45">
        <f>0.9155*Table2[[#This Row],[J56]]*Table2[[#This Row],[weight]]</f>
        <v>1.0949841029950298E-3</v>
      </c>
      <c r="R45">
        <f>0.9155*Table2[[#This Row],[J67]]*Table2[[#This Row],[weight]]</f>
        <v>5.19194709510003E-4</v>
      </c>
      <c r="S45">
        <f>0.9155*Table2[[#This Row],[J67'']]*Table2[[#This Row],[weight]]</f>
        <v>3.7946559845365483E-3</v>
      </c>
      <c r="T45">
        <f>0.9155*Table2[[#This Row],[J77'']]*Table2[[#This Row],[weight]]</f>
        <v>-4.5890906788443389E-3</v>
      </c>
    </row>
    <row r="46" spans="1:32" x14ac:dyDescent="0.25">
      <c r="A46" t="s">
        <v>56</v>
      </c>
      <c r="B46">
        <v>7.5209999999999999</v>
      </c>
      <c r="C46">
        <v>5.6260000000000003</v>
      </c>
      <c r="D46">
        <v>10.598000000000001</v>
      </c>
      <c r="E46">
        <v>11.972</v>
      </c>
      <c r="F46">
        <v>8.2460000000000004</v>
      </c>
      <c r="G46">
        <v>1.1339999999999999</v>
      </c>
      <c r="H46">
        <v>-13.877000000000001</v>
      </c>
      <c r="I46">
        <v>10.268000000000001</v>
      </c>
      <c r="J46" s="9">
        <f>chloroform!J51</f>
        <v>3.3642829479174261E-3</v>
      </c>
      <c r="K46" t="str">
        <f>chloroform!F51</f>
        <v>56TH</v>
      </c>
      <c r="M46">
        <f>0.9155*Table2[[#This Row],[J1,2]]*Table2[[#This Row],[weight]]</f>
        <v>2.3164687812953215E-2</v>
      </c>
      <c r="N46">
        <f>0.9155*Table2[[#This Row],[J2,3]]*Table2[[#This Row],[weight]]</f>
        <v>1.7328085844392341E-2</v>
      </c>
      <c r="O46">
        <f>0.9155*Table2[[#This Row],[J34]]*Table2[[#This Row],[weight]]</f>
        <v>3.2641851009397441E-2</v>
      </c>
      <c r="P46">
        <f>0.9155*Table2[[#This Row],[J45]]*Table2[[#This Row],[weight]]</f>
        <v>3.6873772436733926E-2</v>
      </c>
      <c r="Q46">
        <f>0.9155*Table2[[#This Row],[J56]]*Table2[[#This Row],[weight]]</f>
        <v>2.5397688566096557E-2</v>
      </c>
      <c r="R46">
        <f>0.9155*Table2[[#This Row],[J67]]*Table2[[#This Row],[weight]]</f>
        <v>3.4927211780200695E-3</v>
      </c>
      <c r="S46">
        <f>0.9155*Table2[[#This Row],[J67'']]*Table2[[#This Row],[weight]]</f>
        <v>3.1625450666587368E-2</v>
      </c>
      <c r="T46">
        <f>0.9155*Table2[[#This Row],[J77'']]*Table2[[#This Row],[weight]]</f>
        <v>-4.2741174415682988E-2</v>
      </c>
    </row>
    <row r="47" spans="1:32" x14ac:dyDescent="0.25">
      <c r="A47" t="s">
        <v>119</v>
      </c>
      <c r="B47">
        <v>9.2170000000000005</v>
      </c>
      <c r="C47">
        <v>2.9079999999999999</v>
      </c>
      <c r="D47">
        <v>8.8650000000000002</v>
      </c>
      <c r="E47">
        <v>11.67</v>
      </c>
      <c r="F47">
        <v>9.6069999999999993</v>
      </c>
      <c r="G47">
        <v>2.4870000000000001</v>
      </c>
      <c r="H47">
        <v>-11.984</v>
      </c>
      <c r="I47">
        <v>11.439</v>
      </c>
      <c r="J47" s="9">
        <f>chloroform!J52</f>
        <v>1.0909790359274407E-3</v>
      </c>
      <c r="K47" t="str">
        <f>chloroform!F52</f>
        <v>5C12</v>
      </c>
      <c r="M47">
        <f>0.9155*Table2[[#This Row],[J1,2]]*Table2[[#This Row],[weight]]</f>
        <v>9.205859480228118E-3</v>
      </c>
      <c r="N47">
        <f>0.9155*Table2[[#This Row],[J2,3]]*Table2[[#This Row],[weight]]</f>
        <v>2.904485121894691E-3</v>
      </c>
      <c r="O47">
        <f>0.9155*Table2[[#This Row],[J34]]*Table2[[#This Row],[weight]]</f>
        <v>8.8542849400262864E-3</v>
      </c>
      <c r="P47">
        <f>0.9155*Table2[[#This Row],[J45]]*Table2[[#This Row],[weight]]</f>
        <v>1.1655894557259645E-2</v>
      </c>
      <c r="Q47">
        <f>0.9155*Table2[[#This Row],[J56]]*Table2[[#This Row],[weight]]</f>
        <v>9.5953880901108301E-3</v>
      </c>
      <c r="R47">
        <f>0.9155*Table2[[#This Row],[J67]]*Table2[[#This Row],[weight]]</f>
        <v>2.4839939814828393E-3</v>
      </c>
      <c r="S47">
        <f>0.9155*Table2[[#This Row],[J67'']]*Table2[[#This Row],[weight]]</f>
        <v>1.1425173765252192E-2</v>
      </c>
      <c r="T47">
        <f>0.9155*Table2[[#This Row],[J77'']]*Table2[[#This Row],[weight]]</f>
        <v>-1.1969515027780597E-2</v>
      </c>
    </row>
    <row r="48" spans="1:32" x14ac:dyDescent="0.25">
      <c r="A48" t="s">
        <v>57</v>
      </c>
      <c r="B48">
        <v>8.0269999999999992</v>
      </c>
      <c r="C48">
        <v>2.6429999999999998</v>
      </c>
      <c r="D48">
        <v>10.698</v>
      </c>
      <c r="E48">
        <v>11.201000000000001</v>
      </c>
      <c r="F48">
        <v>10.691000000000001</v>
      </c>
      <c r="G48">
        <v>10.593</v>
      </c>
      <c r="H48">
        <v>-11.935</v>
      </c>
      <c r="I48">
        <v>2.339</v>
      </c>
      <c r="J48" s="9">
        <f>chloroform!J53</f>
        <v>6.8221098406788241E-3</v>
      </c>
      <c r="K48" t="str">
        <f>chloroform!F53</f>
        <v>5C12</v>
      </c>
      <c r="M48">
        <f>0.9155*Table2[[#This Row],[J1,2]]*Table2[[#This Row],[weight]]</f>
        <v>5.0133764795228526E-2</v>
      </c>
      <c r="N48">
        <f>0.9155*Table2[[#This Row],[J2,3]]*Table2[[#This Row],[weight]]</f>
        <v>1.6507230640810888E-2</v>
      </c>
      <c r="O48">
        <f>0.9155*Table2[[#This Row],[J34]]*Table2[[#This Row],[weight]]</f>
        <v>6.6815873399695386E-2</v>
      </c>
      <c r="P48">
        <f>0.9155*Table2[[#This Row],[J45]]*Table2[[#This Row],[weight]]</f>
        <v>6.9957431103943535E-2</v>
      </c>
      <c r="Q48">
        <f>0.9155*Table2[[#This Row],[J56]]*Table2[[#This Row],[weight]]</f>
        <v>6.6772153908781398E-2</v>
      </c>
      <c r="R48">
        <f>0.9155*Table2[[#This Row],[J67]]*Table2[[#This Row],[weight]]</f>
        <v>6.6160081035985516E-2</v>
      </c>
      <c r="S48">
        <f>0.9155*Table2[[#This Row],[J67'']]*Table2[[#This Row],[weight]]</f>
        <v>1.4608555606831882E-2</v>
      </c>
      <c r="T48">
        <f>0.9155*Table2[[#This Row],[J77'']]*Table2[[#This Row],[weight]]</f>
        <v>-7.4541732008353373E-2</v>
      </c>
    </row>
    <row r="49" spans="1:30" x14ac:dyDescent="0.25">
      <c r="A49" t="s">
        <v>58</v>
      </c>
      <c r="B49">
        <v>9.1750000000000007</v>
      </c>
      <c r="C49">
        <v>9.5269999999999992</v>
      </c>
      <c r="D49">
        <v>0.54200000000000004</v>
      </c>
      <c r="E49">
        <v>10.262</v>
      </c>
      <c r="F49">
        <v>8.2810000000000006</v>
      </c>
      <c r="G49">
        <v>10.746</v>
      </c>
      <c r="H49">
        <v>-12.188000000000001</v>
      </c>
      <c r="I49">
        <v>1.93</v>
      </c>
      <c r="J49" s="9">
        <f>chloroform!J54</f>
        <v>1.0481661180679757E-4</v>
      </c>
      <c r="K49" t="str">
        <f>chloroform!F54</f>
        <v>45TH</v>
      </c>
      <c r="M49">
        <f>0.9155*Table2[[#This Row],[J1,2]]*Table2[[#This Row],[weight]]</f>
        <v>8.8042940440120508E-4</v>
      </c>
      <c r="N49">
        <f>0.9155*Table2[[#This Row],[J2,3]]*Table2[[#This Row],[weight]]</f>
        <v>9.1420718645561646E-4</v>
      </c>
      <c r="O49">
        <f>0.9155*Table2[[#This Row],[J34]]*Table2[[#This Row],[weight]]</f>
        <v>5.201010759514476E-5</v>
      </c>
      <c r="P49">
        <f>0.9155*Table2[[#This Row],[J45]]*Table2[[#This Row],[weight]]</f>
        <v>9.8473749841582214E-4</v>
      </c>
      <c r="Q49">
        <f>0.9155*Table2[[#This Row],[J56]]*Table2[[#This Row],[weight]]</f>
        <v>7.9464151475164909E-4</v>
      </c>
      <c r="R49">
        <f>0.9155*Table2[[#This Row],[J67]]*Table2[[#This Row],[weight]]</f>
        <v>1.0311819487406376E-3</v>
      </c>
      <c r="S49">
        <f>0.9155*Table2[[#This Row],[J67'']]*Table2[[#This Row],[weight]]</f>
        <v>1.8520204365060774E-4</v>
      </c>
      <c r="T49">
        <f>0.9155*Table2[[#This Row],[J77'']]*Table2[[#This Row],[weight]]</f>
        <v>-1.1695557036339934E-3</v>
      </c>
    </row>
    <row r="50" spans="1:30" x14ac:dyDescent="0.25">
      <c r="A50" t="s">
        <v>59</v>
      </c>
      <c r="B50">
        <v>9.0779999999999994</v>
      </c>
      <c r="C50">
        <v>7.86</v>
      </c>
      <c r="D50">
        <v>2.5150000000000001</v>
      </c>
      <c r="E50">
        <v>4.6379999999999999</v>
      </c>
      <c r="F50">
        <v>3.2290000000000001</v>
      </c>
      <c r="G50">
        <v>13.443</v>
      </c>
      <c r="H50">
        <v>-11.587999999999999</v>
      </c>
      <c r="I50">
        <v>5.28</v>
      </c>
      <c r="J50" s="9">
        <f>chloroform!J55</f>
        <v>9.9628718875851752E-5</v>
      </c>
      <c r="K50" t="str">
        <f>chloroform!F55</f>
        <v>12C5</v>
      </c>
      <c r="M50">
        <f>0.9155*Table2[[#This Row],[J1,2]]*Table2[[#This Row],[weight]]</f>
        <v>8.2800521636378608E-4</v>
      </c>
      <c r="N50">
        <f>0.9155*Table2[[#This Row],[J2,3]]*Table2[[#This Row],[weight]]</f>
        <v>7.1691132414842033E-4</v>
      </c>
      <c r="O50">
        <f>0.9155*Table2[[#This Row],[J34]]*Table2[[#This Row],[weight]]</f>
        <v>2.2939338170906834E-4</v>
      </c>
      <c r="P50">
        <f>0.9155*Table2[[#This Row],[J45]]*Table2[[#This Row],[weight]]</f>
        <v>4.2303240730284645E-4</v>
      </c>
      <c r="Q50">
        <f>0.9155*Table2[[#This Row],[J56]]*Table2[[#This Row],[weight]]</f>
        <v>2.9451738749048973E-4</v>
      </c>
      <c r="R50">
        <f>0.9155*Table2[[#This Row],[J67]]*Table2[[#This Row],[weight]]</f>
        <v>1.2261372685149128E-3</v>
      </c>
      <c r="S50">
        <f>0.9155*Table2[[#This Row],[J67'']]*Table2[[#This Row],[weight]]</f>
        <v>4.8158928645084729E-4</v>
      </c>
      <c r="T50">
        <f>0.9155*Table2[[#This Row],[J77'']]*Table2[[#This Row],[weight]]</f>
        <v>-1.0569425476122001E-3</v>
      </c>
    </row>
    <row r="51" spans="1:30" x14ac:dyDescent="0.25">
      <c r="A51" t="s">
        <v>60</v>
      </c>
      <c r="B51">
        <v>9.1660000000000004</v>
      </c>
      <c r="C51">
        <v>7.9160000000000004</v>
      </c>
      <c r="D51">
        <v>2.9239999999999999</v>
      </c>
      <c r="E51">
        <v>5.0010000000000003</v>
      </c>
      <c r="F51">
        <v>2.9750000000000001</v>
      </c>
      <c r="G51">
        <v>13.638999999999999</v>
      </c>
      <c r="H51">
        <v>-11.439</v>
      </c>
      <c r="I51">
        <v>5.4489999999999998</v>
      </c>
      <c r="J51" s="9">
        <f>chloroform!J56</f>
        <v>2.7635755668103923E-4</v>
      </c>
      <c r="K51" t="str">
        <f>chloroform!F56</f>
        <v>5C12</v>
      </c>
      <c r="M51">
        <f>0.9155*Table2[[#This Row],[J1,2]]*Table2[[#This Row],[weight]]</f>
        <v>2.3190469752349101E-3</v>
      </c>
      <c r="N51">
        <f>0.9155*Table2[[#This Row],[J2,3]]*Table2[[#This Row],[weight]]</f>
        <v>2.0027902963080462E-3</v>
      </c>
      <c r="O51">
        <f>0.9155*Table2[[#This Row],[J34]]*Table2[[#This Row],[weight]]</f>
        <v>7.3978762334572085E-4</v>
      </c>
      <c r="P51">
        <f>0.9155*Table2[[#This Row],[J45]]*Table2[[#This Row],[weight]]</f>
        <v>1.2652797210505986E-3</v>
      </c>
      <c r="Q51">
        <f>0.9155*Table2[[#This Row],[J56]]*Table2[[#This Row],[weight]]</f>
        <v>7.5269089584593702E-4</v>
      </c>
      <c r="R51">
        <f>0.9155*Table2[[#This Row],[J67]]*Table2[[#This Row],[weight]]</f>
        <v>3.4507398751068012E-3</v>
      </c>
      <c r="S51">
        <f>0.9155*Table2[[#This Row],[J67'']]*Table2[[#This Row],[weight]]</f>
        <v>1.3786261147779868E-3</v>
      </c>
      <c r="T51">
        <f>0.9155*Table2[[#This Row],[J77'']]*Table2[[#This Row],[weight]]</f>
        <v>-2.8941281201955204E-3</v>
      </c>
      <c r="AA51" s="5"/>
      <c r="AB51" s="5"/>
      <c r="AC51" s="5"/>
      <c r="AD51" s="5"/>
    </row>
    <row r="52" spans="1:30" x14ac:dyDescent="0.25">
      <c r="A52" t="s">
        <v>61</v>
      </c>
      <c r="B52">
        <v>9.4510000000000005</v>
      </c>
      <c r="C52">
        <v>3.4449999999999998</v>
      </c>
      <c r="D52">
        <v>8.2680000000000007</v>
      </c>
      <c r="E52">
        <v>11.887</v>
      </c>
      <c r="F52">
        <v>9.0549999999999997</v>
      </c>
      <c r="G52">
        <v>2.238</v>
      </c>
      <c r="H52">
        <v>-13.509</v>
      </c>
      <c r="I52">
        <v>12.182</v>
      </c>
      <c r="J52" s="9">
        <f>chloroform!J57</f>
        <v>1.4559203751675592E-3</v>
      </c>
      <c r="K52" t="str">
        <f>chloroform!F57</f>
        <v>5C12</v>
      </c>
      <c r="M52">
        <f>0.9155*Table2[[#This Row],[J1,2]]*Table2[[#This Row],[weight]]</f>
        <v>1.2597191622856227E-2</v>
      </c>
      <c r="N52">
        <f>0.9155*Table2[[#This Row],[J2,3]]*Table2[[#This Row],[weight]]</f>
        <v>4.5918236314400271E-3</v>
      </c>
      <c r="O52">
        <f>0.9155*Table2[[#This Row],[J34]]*Table2[[#This Row],[weight]]</f>
        <v>1.1020376715456066E-2</v>
      </c>
      <c r="P52">
        <f>0.9155*Table2[[#This Row],[J45]]*Table2[[#This Row],[weight]]</f>
        <v>1.5844124094899159E-2</v>
      </c>
      <c r="Q52">
        <f>0.9155*Table2[[#This Row],[J56]]*Table2[[#This Row],[weight]]</f>
        <v>1.2069365161883729E-2</v>
      </c>
      <c r="R52">
        <f>0.9155*Table2[[#This Row],[J67]]*Table2[[#This Row],[weight]]</f>
        <v>2.9830192415566852E-3</v>
      </c>
      <c r="S52">
        <f>0.9155*Table2[[#This Row],[J67'']]*Table2[[#This Row],[weight]]</f>
        <v>1.6237328150421598E-2</v>
      </c>
      <c r="T52">
        <f>0.9155*Table2[[#This Row],[J77'']]*Table2[[#This Row],[weight]]</f>
        <v>-1.8006079952720848E-2</v>
      </c>
    </row>
    <row r="53" spans="1:30" x14ac:dyDescent="0.25">
      <c r="A53" t="s">
        <v>62</v>
      </c>
      <c r="B53">
        <v>9.0540000000000003</v>
      </c>
      <c r="C53">
        <v>7.96</v>
      </c>
      <c r="D53">
        <v>2.5990000000000002</v>
      </c>
      <c r="E53">
        <v>4.9560000000000004</v>
      </c>
      <c r="F53">
        <v>3.4620000000000002</v>
      </c>
      <c r="G53">
        <v>1.2809999999999999</v>
      </c>
      <c r="H53">
        <v>-14.5</v>
      </c>
      <c r="I53">
        <v>11.343</v>
      </c>
      <c r="J53" s="9">
        <f>chloroform!J58</f>
        <v>3.0747526469437659E-4</v>
      </c>
      <c r="K53" t="str">
        <f>chloroform!F58</f>
        <v>12C5</v>
      </c>
      <c r="M53">
        <f>0.9155*Table2[[#This Row],[J1,2]]*Table2[[#This Row],[weight]]</f>
        <v>2.548643098110012E-3</v>
      </c>
      <c r="N53">
        <f>0.9155*Table2[[#This Row],[J2,3]]*Table2[[#This Row],[weight]]</f>
        <v>2.2406890944285059E-3</v>
      </c>
      <c r="O53">
        <f>0.9155*Table2[[#This Row],[J34]]*Table2[[#This Row],[weight]]</f>
        <v>7.3160187894719684E-4</v>
      </c>
      <c r="P53">
        <f>0.9155*Table2[[#This Row],[J45]]*Table2[[#This Row],[weight]]</f>
        <v>1.3950823055260901E-3</v>
      </c>
      <c r="Q53">
        <f>0.9155*Table2[[#This Row],[J56]]*Table2[[#This Row],[weight]]</f>
        <v>9.745308599135035E-4</v>
      </c>
      <c r="R53">
        <f>0.9155*Table2[[#This Row],[J67]]*Table2[[#This Row],[weight]]</f>
        <v>3.6059330778428589E-4</v>
      </c>
      <c r="S53">
        <f>0.9155*Table2[[#This Row],[J67'']]*Table2[[#This Row],[weight]]</f>
        <v>3.1929819595606212E-3</v>
      </c>
      <c r="T53">
        <f>0.9155*Table2[[#This Row],[J77'']]*Table2[[#This Row],[weight]]</f>
        <v>-4.0816572700016754E-3</v>
      </c>
    </row>
    <row r="54" spans="1:30" x14ac:dyDescent="0.25">
      <c r="A54" t="s">
        <v>120</v>
      </c>
      <c r="B54">
        <v>8.8130000000000006</v>
      </c>
      <c r="C54">
        <v>8.4179999999999993</v>
      </c>
      <c r="D54">
        <v>3.0569999999999999</v>
      </c>
      <c r="E54">
        <v>4.6150000000000002</v>
      </c>
      <c r="F54">
        <v>2.96</v>
      </c>
      <c r="G54">
        <v>13.441000000000001</v>
      </c>
      <c r="H54">
        <v>-11.567</v>
      </c>
      <c r="I54">
        <v>5.5679999999999996</v>
      </c>
      <c r="J54" s="9">
        <f>chloroform!J59</f>
        <v>8.9394687272523727E-5</v>
      </c>
      <c r="K54" t="str">
        <f>chloroform!F59</f>
        <v>12C5</v>
      </c>
      <c r="M54">
        <f>0.9155*Table2[[#This Row],[J1,2]]*Table2[[#This Row],[weight]]</f>
        <v>7.2126328941293414E-4</v>
      </c>
      <c r="N54">
        <f>0.9155*Table2[[#This Row],[J2,3]]*Table2[[#This Row],[weight]]</f>
        <v>6.8893615911472586E-4</v>
      </c>
      <c r="O54">
        <f>0.9155*Table2[[#This Row],[J34]]*Table2[[#This Row],[weight]]</f>
        <v>2.5018743625727219E-4</v>
      </c>
      <c r="P54">
        <f>0.9155*Table2[[#This Row],[J45]]*Table2[[#This Row],[weight]]</f>
        <v>3.7769545905374911E-4</v>
      </c>
      <c r="Q54">
        <f>0.9155*Table2[[#This Row],[J56]]*Table2[[#This Row],[weight]]</f>
        <v>2.4224887514606659E-4</v>
      </c>
      <c r="R54">
        <f>0.9155*Table2[[#This Row],[J67]]*Table2[[#This Row],[weight]]</f>
        <v>1.1000226793372572E-3</v>
      </c>
      <c r="S54">
        <f>0.9155*Table2[[#This Row],[J67'']]*Table2[[#This Row],[weight]]</f>
        <v>4.5568977595043878E-4</v>
      </c>
      <c r="T54">
        <f>0.9155*Table2[[#This Row],[J77'']]*Table2[[#This Row],[weight]]</f>
        <v>-9.4665295230221362E-4</v>
      </c>
    </row>
    <row r="55" spans="1:30" x14ac:dyDescent="0.25">
      <c r="A55" t="s">
        <v>63</v>
      </c>
      <c r="B55">
        <v>9.1129999999999995</v>
      </c>
      <c r="C55">
        <v>7.7610000000000001</v>
      </c>
      <c r="D55">
        <v>2.6230000000000002</v>
      </c>
      <c r="E55">
        <v>4.8540000000000001</v>
      </c>
      <c r="F55">
        <v>3.4</v>
      </c>
      <c r="G55">
        <v>1.494</v>
      </c>
      <c r="H55">
        <v>-13.355</v>
      </c>
      <c r="I55">
        <v>10.888</v>
      </c>
      <c r="J55" s="9">
        <f>chloroform!J60</f>
        <v>9.1866401191648855E-4</v>
      </c>
      <c r="K55" t="str">
        <f>chloroform!F60</f>
        <v>12C5</v>
      </c>
      <c r="M55">
        <f>0.9155*Table2[[#This Row],[J1,2]]*Table2[[#This Row],[weight]]</f>
        <v>7.6643692962146855E-3</v>
      </c>
      <c r="N55">
        <f>0.9155*Table2[[#This Row],[J2,3]]*Table2[[#This Row],[weight]]</f>
        <v>6.5272874034809809E-3</v>
      </c>
      <c r="O55">
        <f>0.9155*Table2[[#This Row],[J34]]*Table2[[#This Row],[weight]]</f>
        <v>2.2060397963317374E-3</v>
      </c>
      <c r="P55">
        <f>0.9155*Table2[[#This Row],[J45]]*Table2[[#This Row],[weight]]</f>
        <v>4.0823931267229326E-3</v>
      </c>
      <c r="Q55">
        <f>0.9155*Table2[[#This Row],[J56]]*Table2[[#This Row],[weight]]</f>
        <v>2.8595254698924539E-3</v>
      </c>
      <c r="R55">
        <f>0.9155*Table2[[#This Row],[J67]]*Table2[[#This Row],[weight]]</f>
        <v>1.2565091329468606E-3</v>
      </c>
      <c r="S55">
        <f>0.9155*Table2[[#This Row],[J67'']]*Table2[[#This Row],[weight]]</f>
        <v>9.157209798879129E-3</v>
      </c>
      <c r="T55">
        <f>0.9155*Table2[[#This Row],[J77'']]*Table2[[#This Row],[weight]]</f>
        <v>-1.1232047838356978E-2</v>
      </c>
    </row>
    <row r="56" spans="1:30" x14ac:dyDescent="0.25">
      <c r="A56" t="s">
        <v>103</v>
      </c>
      <c r="B56">
        <v>7.8449999999999998</v>
      </c>
      <c r="C56">
        <v>8.1020000000000003</v>
      </c>
      <c r="D56">
        <v>6.1379999999999999</v>
      </c>
      <c r="E56">
        <v>1.778</v>
      </c>
      <c r="F56">
        <v>9.8209999999999997</v>
      </c>
      <c r="G56">
        <v>8.9789999999999992</v>
      </c>
      <c r="H56">
        <v>-12.071</v>
      </c>
      <c r="I56">
        <v>1.931</v>
      </c>
      <c r="J56" s="9">
        <f>chloroform!J61</f>
        <v>0</v>
      </c>
      <c r="K56" t="str">
        <f>chloroform!F61</f>
        <v>4H6</v>
      </c>
      <c r="M56">
        <f>0.9155*Table2[[#This Row],[J1,2]]*Table2[[#This Row],[weight]]</f>
        <v>0</v>
      </c>
      <c r="N56">
        <f>0.9155*Table2[[#This Row],[J2,3]]*Table2[[#This Row],[weight]]</f>
        <v>0</v>
      </c>
      <c r="O56">
        <f>0.9155*Table2[[#This Row],[J34]]*Table2[[#This Row],[weight]]</f>
        <v>0</v>
      </c>
      <c r="P56">
        <f>0.9155*Table2[[#This Row],[J45]]*Table2[[#This Row],[weight]]</f>
        <v>0</v>
      </c>
      <c r="Q56">
        <f>0.9155*Table2[[#This Row],[J56]]*Table2[[#This Row],[weight]]</f>
        <v>0</v>
      </c>
      <c r="R56">
        <f>0.9155*Table2[[#This Row],[J67]]*Table2[[#This Row],[weight]]</f>
        <v>0</v>
      </c>
      <c r="S56">
        <f>0.9155*Table2[[#This Row],[J67'']]*Table2[[#This Row],[weight]]</f>
        <v>0</v>
      </c>
      <c r="T56">
        <f>0.9155*Table2[[#This Row],[J77'']]*Table2[[#This Row],[weight]]</f>
        <v>0</v>
      </c>
    </row>
    <row r="57" spans="1:30" x14ac:dyDescent="0.25">
      <c r="A57" t="s">
        <v>104</v>
      </c>
      <c r="B57">
        <v>9.3529999999999998</v>
      </c>
      <c r="C57">
        <v>2.9329999999999998</v>
      </c>
      <c r="D57">
        <v>9.4260000000000002</v>
      </c>
      <c r="E57">
        <v>11.856</v>
      </c>
      <c r="F57">
        <v>9.3699999999999992</v>
      </c>
      <c r="G57">
        <v>1.784</v>
      </c>
      <c r="H57">
        <v>-13.609</v>
      </c>
      <c r="I57">
        <v>11.305999999999999</v>
      </c>
      <c r="J57" s="9">
        <f>chloroform!J62</f>
        <v>3.6649916726386473E-5</v>
      </c>
      <c r="K57" t="str">
        <f>chloroform!F62</f>
        <v>5C12</v>
      </c>
      <c r="M57">
        <f>0.9155*Table2[[#This Row],[J1,2]]*Table2[[#This Row],[weight]]</f>
        <v>3.1382119743040274E-4</v>
      </c>
      <c r="N57">
        <f>0.9155*Table2[[#This Row],[J2,3]]*Table2[[#This Row],[weight]]</f>
        <v>9.8410945371898997E-5</v>
      </c>
      <c r="O57">
        <f>0.9155*Table2[[#This Row],[J34]]*Table2[[#This Row],[weight]]</f>
        <v>3.1627056634010226E-4</v>
      </c>
      <c r="P57">
        <f>0.9155*Table2[[#This Row],[J45]]*Table2[[#This Row],[weight]]</f>
        <v>3.9780435333420882E-4</v>
      </c>
      <c r="Q57">
        <f>0.9155*Table2[[#This Row],[J56]]*Table2[[#This Row],[weight]]</f>
        <v>3.1439159840937383E-4</v>
      </c>
      <c r="R57">
        <f>0.9155*Table2[[#This Row],[J67]]*Table2[[#This Row],[weight]]</f>
        <v>5.9858549793204156E-5</v>
      </c>
      <c r="S57">
        <f>0.9155*Table2[[#This Row],[J67'']]*Table2[[#This Row],[weight]]</f>
        <v>3.7935020401455506E-4</v>
      </c>
      <c r="T57">
        <f>0.9155*Table2[[#This Row],[J77'']]*Table2[[#This Row],[weight]]</f>
        <v>-4.5662276016575972E-4</v>
      </c>
    </row>
    <row r="58" spans="1:30" x14ac:dyDescent="0.25">
      <c r="A58" t="s">
        <v>105</v>
      </c>
      <c r="B58">
        <v>8.9760000000000009</v>
      </c>
      <c r="C58">
        <v>7.8949999999999996</v>
      </c>
      <c r="D58">
        <v>2.1339999999999999</v>
      </c>
      <c r="E58">
        <v>4.5999999999999996</v>
      </c>
      <c r="F58">
        <v>3.6429999999999998</v>
      </c>
      <c r="G58">
        <v>1.893</v>
      </c>
      <c r="H58">
        <v>-12.87</v>
      </c>
      <c r="I58">
        <v>11.224</v>
      </c>
      <c r="J58" s="9">
        <f>chloroform!J63</f>
        <v>2.0479100043481447E-4</v>
      </c>
      <c r="K58" t="str">
        <f>chloroform!F63</f>
        <v>12C5</v>
      </c>
      <c r="M58">
        <f>0.9155*Table2[[#This Row],[J1,2]]*Table2[[#This Row],[weight]]</f>
        <v>1.6828757802211003E-3</v>
      </c>
      <c r="N58">
        <f>0.9155*Table2[[#This Row],[J2,3]]*Table2[[#This Row],[weight]]</f>
        <v>1.4802032402902834E-3</v>
      </c>
      <c r="O58">
        <f>0.9155*Table2[[#This Row],[J34]]*Table2[[#This Row],[weight]]</f>
        <v>4.00095467356487E-4</v>
      </c>
      <c r="P58">
        <f>0.9155*Table2[[#This Row],[J45]]*Table2[[#This Row],[weight]]</f>
        <v>8.6243634013113404E-4</v>
      </c>
      <c r="Q58">
        <f>0.9155*Table2[[#This Row],[J56]]*Table2[[#This Row],[weight]]</f>
        <v>6.8301208415167856E-4</v>
      </c>
      <c r="R58">
        <f>0.9155*Table2[[#This Row],[J67]]*Table2[[#This Row],[weight]]</f>
        <v>3.5491130258005147E-4</v>
      </c>
      <c r="S58">
        <f>0.9155*Table2[[#This Row],[J67'']]*Table2[[#This Row],[weight]]</f>
        <v>2.1043446699199673E-3</v>
      </c>
      <c r="T58">
        <f>0.9155*Table2[[#This Row],[J77'']]*Table2[[#This Row],[weight]]</f>
        <v>-2.4129468907581946E-3</v>
      </c>
    </row>
    <row r="59" spans="1:30" x14ac:dyDescent="0.25">
      <c r="A59" t="s">
        <v>64</v>
      </c>
      <c r="B59">
        <v>9.093</v>
      </c>
      <c r="C59">
        <v>8.0120000000000005</v>
      </c>
      <c r="D59">
        <v>2.827</v>
      </c>
      <c r="E59">
        <v>4.9349999999999996</v>
      </c>
      <c r="F59">
        <v>3.2650000000000001</v>
      </c>
      <c r="G59">
        <v>1.4370000000000001</v>
      </c>
      <c r="H59">
        <v>-13.628</v>
      </c>
      <c r="I59">
        <v>10.891999999999999</v>
      </c>
      <c r="J59" s="9">
        <f>chloroform!J64</f>
        <v>1.2045916108581406E-3</v>
      </c>
      <c r="K59" t="str">
        <f>chloroform!F64</f>
        <v>12C5</v>
      </c>
      <c r="M59">
        <f>0.9155*Table2[[#This Row],[J1,2]]*Table2[[#This Row],[weight]]</f>
        <v>1.0027793314301528E-2</v>
      </c>
      <c r="N59">
        <f>0.9155*Table2[[#This Row],[J2,3]]*Table2[[#This Row],[weight]]</f>
        <v>8.835662601361911E-3</v>
      </c>
      <c r="O59">
        <f>0.9155*Table2[[#This Row],[J34]]*Table2[[#This Row],[weight]]</f>
        <v>3.1176258330067545E-3</v>
      </c>
      <c r="P59">
        <f>0.9155*Table2[[#This Row],[J45]]*Table2[[#This Row],[weight]]</f>
        <v>5.4423358634199974E-3</v>
      </c>
      <c r="Q59">
        <f>0.9155*Table2[[#This Row],[J56]]*Table2[[#This Row],[weight]]</f>
        <v>3.60065381845315E-3</v>
      </c>
      <c r="R59">
        <f>0.9155*Table2[[#This Row],[J67]]*Table2[[#This Row],[weight]]</f>
        <v>1.584728801567282E-3</v>
      </c>
      <c r="S59">
        <f>0.9155*Table2[[#This Row],[J67'']]*Table2[[#This Row],[weight]]</f>
        <v>1.2011737026214915E-2</v>
      </c>
      <c r="T59">
        <f>0.9155*Table2[[#This Row],[J77'']]*Table2[[#This Row],[weight]]</f>
        <v>-1.5029007729825274E-2</v>
      </c>
    </row>
    <row r="60" spans="1:30" x14ac:dyDescent="0.25">
      <c r="A60" t="s">
        <v>106</v>
      </c>
      <c r="B60">
        <v>9.7249999999999996</v>
      </c>
      <c r="C60">
        <v>7.1920000000000002</v>
      </c>
      <c r="D60">
        <v>2.306</v>
      </c>
      <c r="E60">
        <v>6.1420000000000003</v>
      </c>
      <c r="F60">
        <v>3.9159999999999999</v>
      </c>
      <c r="G60">
        <v>0.90700000000000003</v>
      </c>
      <c r="H60">
        <v>-14.128</v>
      </c>
      <c r="I60">
        <v>11.035</v>
      </c>
      <c r="J60" s="9">
        <f>chloroform!J65</f>
        <v>7.2359087420227486E-5</v>
      </c>
      <c r="K60" t="str">
        <f>chloroform!F65</f>
        <v>12C5</v>
      </c>
      <c r="M60">
        <f>0.9155*Table2[[#This Row],[J1,2]]*Table2[[#This Row],[weight]]</f>
        <v>6.4423014058554763E-4</v>
      </c>
      <c r="N60">
        <f>0.9155*Table2[[#This Row],[J2,3]]*Table2[[#This Row],[weight]]</f>
        <v>4.7643220268290577E-4</v>
      </c>
      <c r="O60">
        <f>0.9155*Table2[[#This Row],[J34]]*Table2[[#This Row],[weight]]</f>
        <v>1.5276038089360132E-4</v>
      </c>
      <c r="P60">
        <f>0.9155*Table2[[#This Row],[J45]]*Table2[[#This Row],[weight]]</f>
        <v>4.0687522092302663E-4</v>
      </c>
      <c r="Q60">
        <f>0.9155*Table2[[#This Row],[J56]]*Table2[[#This Row],[weight]]</f>
        <v>2.5941441959208272E-4</v>
      </c>
      <c r="R60">
        <f>0.9155*Table2[[#This Row],[J67]]*Table2[[#This Row],[weight]]</f>
        <v>6.0083983291628968E-5</v>
      </c>
      <c r="S60">
        <f>0.9155*Table2[[#This Row],[J67'']]*Table2[[#This Row],[weight]]</f>
        <v>7.3101075592406351E-4</v>
      </c>
      <c r="T60">
        <f>0.9155*Table2[[#This Row],[J77'']]*Table2[[#This Row],[weight]]</f>
        <v>-9.3590575076530767E-4</v>
      </c>
    </row>
    <row r="61" spans="1:30" x14ac:dyDescent="0.25">
      <c r="A61" t="s">
        <v>107</v>
      </c>
      <c r="B61">
        <v>9.9260000000000002</v>
      </c>
      <c r="C61">
        <v>5.8330000000000002</v>
      </c>
      <c r="D61">
        <v>0.61599999999999999</v>
      </c>
      <c r="E61">
        <v>4.4269999999999996</v>
      </c>
      <c r="F61">
        <v>4.6479999999999997</v>
      </c>
      <c r="G61">
        <v>5.8810000000000002</v>
      </c>
      <c r="H61">
        <v>-14.12</v>
      </c>
      <c r="I61">
        <v>0.35099999999999998</v>
      </c>
      <c r="J61" s="9">
        <f>chloroform!J66</f>
        <v>0</v>
      </c>
      <c r="K61" t="str">
        <f>chloroform!F66</f>
        <v>12C5</v>
      </c>
      <c r="M61">
        <f>0.9155*Table2[[#This Row],[J1,2]]*Table2[[#This Row],[weight]]</f>
        <v>0</v>
      </c>
      <c r="N61">
        <f>0.9155*Table2[[#This Row],[J2,3]]*Table2[[#This Row],[weight]]</f>
        <v>0</v>
      </c>
      <c r="O61">
        <f>0.9155*Table2[[#This Row],[J34]]*Table2[[#This Row],[weight]]</f>
        <v>0</v>
      </c>
      <c r="P61">
        <f>0.9155*Table2[[#This Row],[J45]]*Table2[[#This Row],[weight]]</f>
        <v>0</v>
      </c>
      <c r="Q61">
        <f>0.9155*Table2[[#This Row],[J56]]*Table2[[#This Row],[weight]]</f>
        <v>0</v>
      </c>
      <c r="R61">
        <f>0.9155*Table2[[#This Row],[J67]]*Table2[[#This Row],[weight]]</f>
        <v>0</v>
      </c>
      <c r="S61">
        <f>0.9155*Table2[[#This Row],[J67'']]*Table2[[#This Row],[weight]]</f>
        <v>0</v>
      </c>
      <c r="T61">
        <f>0.9155*Table2[[#This Row],[J77'']]*Table2[[#This Row],[weight]]</f>
        <v>0</v>
      </c>
    </row>
    <row r="62" spans="1:30" x14ac:dyDescent="0.25">
      <c r="A62" t="s">
        <v>65</v>
      </c>
      <c r="B62">
        <v>9.1530000000000005</v>
      </c>
      <c r="C62">
        <v>7.7469999999999999</v>
      </c>
      <c r="D62">
        <v>2.589</v>
      </c>
      <c r="E62">
        <v>4.9530000000000003</v>
      </c>
      <c r="F62">
        <v>3.5190000000000001</v>
      </c>
      <c r="G62">
        <v>1.2230000000000001</v>
      </c>
      <c r="H62">
        <v>-14.904999999999999</v>
      </c>
      <c r="I62">
        <v>11.329000000000001</v>
      </c>
      <c r="J62" s="9">
        <f>chloroform!J67</f>
        <v>9.7595257771434173E-4</v>
      </c>
      <c r="K62" t="str">
        <f>chloroform!F67</f>
        <v>12C5</v>
      </c>
      <c r="M62">
        <f>0.9155*Table2[[#This Row],[J1,2]]*Table2[[#This Row],[weight]]</f>
        <v>8.1780644055666346E-3</v>
      </c>
      <c r="N62">
        <f>0.9155*Table2[[#This Row],[J2,3]]*Table2[[#This Row],[weight]]</f>
        <v>6.9218250792007765E-3</v>
      </c>
      <c r="O62">
        <f>0.9155*Table2[[#This Row],[J34]]*Table2[[#This Row],[weight]]</f>
        <v>2.3132315902995751E-3</v>
      </c>
      <c r="P62">
        <f>0.9155*Table2[[#This Row],[J45]]*Table2[[#This Row],[weight]]</f>
        <v>4.425429148997218E-3</v>
      </c>
      <c r="Q62">
        <f>0.9155*Table2[[#This Row],[J56]]*Table2[[#This Row],[weight]]</f>
        <v>3.1441722542542316E-3</v>
      </c>
      <c r="R62">
        <f>0.9155*Table2[[#This Row],[J67]]*Table2[[#This Row],[weight]]</f>
        <v>1.0927316473296179E-3</v>
      </c>
      <c r="S62">
        <f>0.9155*Table2[[#This Row],[J67'']]*Table2[[#This Row],[weight]]</f>
        <v>1.0122286862303549E-2</v>
      </c>
      <c r="T62">
        <f>0.9155*Table2[[#This Row],[J77'']]*Table2[[#This Row],[weight]]</f>
        <v>-1.3317387737896936E-2</v>
      </c>
    </row>
    <row r="63" spans="1:30" x14ac:dyDescent="0.25">
      <c r="A63" t="s">
        <v>108</v>
      </c>
      <c r="B63">
        <v>6.8360000000000003</v>
      </c>
      <c r="C63">
        <v>3.69</v>
      </c>
      <c r="D63">
        <v>12.138999999999999</v>
      </c>
      <c r="E63">
        <v>10.254</v>
      </c>
      <c r="F63">
        <v>11.066000000000001</v>
      </c>
      <c r="G63">
        <v>2.4900000000000002</v>
      </c>
      <c r="H63">
        <v>-12.907999999999999</v>
      </c>
      <c r="I63">
        <v>1.468</v>
      </c>
      <c r="J63" s="9">
        <f>chloroform!J68</f>
        <v>1.5479455021711209E-4</v>
      </c>
      <c r="K63" t="str">
        <f>chloroform!F68</f>
        <v>5C12</v>
      </c>
      <c r="M63">
        <f>0.9155*Table2[[#This Row],[J1,2]]*Table2[[#This Row],[weight]]</f>
        <v>9.6875971170766527E-4</v>
      </c>
      <c r="N63">
        <f>0.9155*Table2[[#This Row],[J2,3]]*Table2[[#This Row],[weight]]</f>
        <v>5.2292617557069692E-4</v>
      </c>
      <c r="O63">
        <f>0.9155*Table2[[#This Row],[J34]]*Table2[[#This Row],[weight]]</f>
        <v>1.7202712317757969E-3</v>
      </c>
      <c r="P63">
        <f>0.9155*Table2[[#This Row],[J45]]*Table2[[#This Row],[weight]]</f>
        <v>1.4531395675614978E-3</v>
      </c>
      <c r="Q63">
        <f>0.9155*Table2[[#This Row],[J56]]*Table2[[#This Row],[weight]]</f>
        <v>1.568211669069196E-3</v>
      </c>
      <c r="R63">
        <f>0.9155*Table2[[#This Row],[J67]]*Table2[[#This Row],[weight]]</f>
        <v>3.5286888270217762E-4</v>
      </c>
      <c r="S63">
        <f>0.9155*Table2[[#This Row],[J67'']]*Table2[[#This Row],[weight]]</f>
        <v>2.0803675494248864E-4</v>
      </c>
      <c r="T63">
        <f>0.9155*Table2[[#This Row],[J77'']]*Table2[[#This Row],[weight]]</f>
        <v>-1.829249613622373E-3</v>
      </c>
    </row>
    <row r="64" spans="1:30" x14ac:dyDescent="0.25">
      <c r="A64" t="s">
        <v>109</v>
      </c>
      <c r="B64">
        <v>7.8159999999999998</v>
      </c>
      <c r="C64">
        <v>8.5660000000000007</v>
      </c>
      <c r="D64">
        <v>6.1180000000000003</v>
      </c>
      <c r="E64">
        <v>1.002</v>
      </c>
      <c r="F64">
        <v>10.753</v>
      </c>
      <c r="G64">
        <v>2.1549999999999998</v>
      </c>
      <c r="H64">
        <v>-13.507999999999999</v>
      </c>
      <c r="I64">
        <v>1.6220000000000001</v>
      </c>
      <c r="J64" s="9">
        <f>chloroform!J69</f>
        <v>3.7837311696544603E-5</v>
      </c>
      <c r="K64" t="str">
        <f>chloroform!F69</f>
        <v>4H6</v>
      </c>
      <c r="M64">
        <f>0.9155*Table2[[#This Row],[J1,2]]*Table2[[#This Row],[weight]]</f>
        <v>2.7074670003558634E-4</v>
      </c>
      <c r="N64">
        <f>0.9155*Table2[[#This Row],[J2,3]]*Table2[[#This Row],[weight]]</f>
        <v>2.967267441792263E-4</v>
      </c>
      <c r="O64">
        <f>0.9155*Table2[[#This Row],[J34]]*Table2[[#This Row],[weight]]</f>
        <v>2.1192788009438554E-4</v>
      </c>
      <c r="P64">
        <f>0.9155*Table2[[#This Row],[J45]]*Table2[[#This Row],[weight]]</f>
        <v>3.4709338975902959E-5</v>
      </c>
      <c r="Q64">
        <f>0.9155*Table2[[#This Row],[J56]]*Table2[[#This Row],[weight]]</f>
        <v>3.7248455290208031E-4</v>
      </c>
      <c r="R64">
        <f>0.9155*Table2[[#This Row],[J67]]*Table2[[#This Row],[weight]]</f>
        <v>7.4649326839392081E-5</v>
      </c>
      <c r="S64">
        <f>0.9155*Table2[[#This Row],[J67'']]*Table2[[#This Row],[weight]]</f>
        <v>5.6186175467978642E-5</v>
      </c>
      <c r="T64">
        <f>0.9155*Table2[[#This Row],[J77'']]*Table2[[#This Row],[weight]]</f>
        <v>-4.6791791505638433E-4</v>
      </c>
    </row>
    <row r="65" spans="1:20" x14ac:dyDescent="0.25">
      <c r="A65" t="s">
        <v>66</v>
      </c>
      <c r="B65">
        <v>9.4280000000000008</v>
      </c>
      <c r="C65">
        <v>2.9249999999999998</v>
      </c>
      <c r="D65">
        <v>9.5860000000000003</v>
      </c>
      <c r="E65">
        <v>11.978999999999999</v>
      </c>
      <c r="F65">
        <v>9.7940000000000005</v>
      </c>
      <c r="G65">
        <v>10.282</v>
      </c>
      <c r="H65">
        <v>-11.757999999999999</v>
      </c>
      <c r="I65">
        <v>2.0059999999999998</v>
      </c>
      <c r="J65" s="9">
        <f>chloroform!J70</f>
        <v>0</v>
      </c>
      <c r="K65" t="str">
        <f>chloroform!F70</f>
        <v>5C12</v>
      </c>
      <c r="M65">
        <f>0.9155*Table2[[#This Row],[J1,2]]*Table2[[#This Row],[weight]]</f>
        <v>0</v>
      </c>
      <c r="N65">
        <f>0.9155*Table2[[#This Row],[J2,3]]*Table2[[#This Row],[weight]]</f>
        <v>0</v>
      </c>
      <c r="O65">
        <f>0.9155*Table2[[#This Row],[J34]]*Table2[[#This Row],[weight]]</f>
        <v>0</v>
      </c>
      <c r="P65">
        <f>0.9155*Table2[[#This Row],[J45]]*Table2[[#This Row],[weight]]</f>
        <v>0</v>
      </c>
      <c r="Q65">
        <f>0.9155*Table2[[#This Row],[J56]]*Table2[[#This Row],[weight]]</f>
        <v>0</v>
      </c>
      <c r="R65">
        <f>0.9155*Table2[[#This Row],[J67]]*Table2[[#This Row],[weight]]</f>
        <v>0</v>
      </c>
      <c r="S65">
        <f>0.9155*Table2[[#This Row],[J67'']]*Table2[[#This Row],[weight]]</f>
        <v>0</v>
      </c>
      <c r="T65">
        <f>0.9155*Table2[[#This Row],[J77'']]*Table2[[#This Row],[weight]]</f>
        <v>0</v>
      </c>
    </row>
    <row r="66" spans="1:20" x14ac:dyDescent="0.25">
      <c r="A66" t="s">
        <v>110</v>
      </c>
      <c r="B66">
        <v>6.9189999999999996</v>
      </c>
      <c r="C66">
        <v>3.4630000000000001</v>
      </c>
      <c r="D66">
        <v>10.888</v>
      </c>
      <c r="E66">
        <v>10.045</v>
      </c>
      <c r="F66">
        <v>10.724</v>
      </c>
      <c r="G66">
        <v>11.218</v>
      </c>
      <c r="H66">
        <v>-13.159000000000001</v>
      </c>
      <c r="I66">
        <v>2.1509999999999998</v>
      </c>
      <c r="J66" s="9">
        <f>chloroform!J71</f>
        <v>7.0462567453029177E-5</v>
      </c>
      <c r="K66" t="str">
        <f>chloroform!F71</f>
        <v>5C12</v>
      </c>
      <c r="M66">
        <f>0.9155*Table2[[#This Row],[J1,2]]*Table2[[#This Row],[weight]]</f>
        <v>4.4633417660197431E-4</v>
      </c>
      <c r="N66">
        <f>0.9155*Table2[[#This Row],[J2,3]]*Table2[[#This Row],[weight]]</f>
        <v>2.2339286798274857E-4</v>
      </c>
      <c r="O66">
        <f>0.9155*Table2[[#This Row],[J34]]*Table2[[#This Row],[weight]]</f>
        <v>7.0236833571936657E-4</v>
      </c>
      <c r="P66">
        <f>0.9155*Table2[[#This Row],[J45]]*Table2[[#This Row],[weight]]</f>
        <v>6.4798768665512831E-4</v>
      </c>
      <c r="Q66">
        <f>0.9155*Table2[[#This Row],[J56]]*Table2[[#This Row],[weight]]</f>
        <v>6.9178894491683384E-4</v>
      </c>
      <c r="R66">
        <f>0.9155*Table2[[#This Row],[J67]]*Table2[[#This Row],[weight]]</f>
        <v>7.2365613428543839E-4</v>
      </c>
      <c r="S66">
        <f>0.9155*Table2[[#This Row],[J67'']]*Table2[[#This Row],[weight]]</f>
        <v>1.3875774156248689E-4</v>
      </c>
      <c r="T66">
        <f>0.9155*Table2[[#This Row],[J77'']]*Table2[[#This Row],[weight]]</f>
        <v>-8.4886709494224331E-4</v>
      </c>
    </row>
    <row r="67" spans="1:20" x14ac:dyDescent="0.25">
      <c r="A67" t="s">
        <v>111</v>
      </c>
      <c r="B67">
        <v>7.5730000000000004</v>
      </c>
      <c r="C67">
        <v>8.327</v>
      </c>
      <c r="D67">
        <v>6.367</v>
      </c>
      <c r="E67">
        <v>1.2649999999999999</v>
      </c>
      <c r="F67">
        <v>9.9410000000000007</v>
      </c>
      <c r="G67">
        <v>11.356</v>
      </c>
      <c r="H67">
        <v>-12.144</v>
      </c>
      <c r="I67">
        <v>2.9430000000000001</v>
      </c>
      <c r="J67" s="9">
        <f>chloroform!J72</f>
        <v>0</v>
      </c>
      <c r="K67" t="str">
        <f>chloroform!F72</f>
        <v>4H6</v>
      </c>
      <c r="M67">
        <f>0.9155*Table2[[#This Row],[J1,2]]*Table2[[#This Row],[weight]]</f>
        <v>0</v>
      </c>
      <c r="N67">
        <f>0.9155*Table2[[#This Row],[J2,3]]*Table2[[#This Row],[weight]]</f>
        <v>0</v>
      </c>
      <c r="O67">
        <f>0.9155*Table2[[#This Row],[J34]]*Table2[[#This Row],[weight]]</f>
        <v>0</v>
      </c>
      <c r="P67">
        <f>0.9155*Table2[[#This Row],[J45]]*Table2[[#This Row],[weight]]</f>
        <v>0</v>
      </c>
      <c r="Q67">
        <f>0.9155*Table2[[#This Row],[J56]]*Table2[[#This Row],[weight]]</f>
        <v>0</v>
      </c>
      <c r="R67">
        <f>0.9155*Table2[[#This Row],[J67]]*Table2[[#This Row],[weight]]</f>
        <v>0</v>
      </c>
      <c r="S67">
        <f>0.9155*Table2[[#This Row],[J67'']]*Table2[[#This Row],[weight]]</f>
        <v>0</v>
      </c>
      <c r="T67">
        <f>0.9155*Table2[[#This Row],[J77'']]*Table2[[#This Row],[weight]]</f>
        <v>0</v>
      </c>
    </row>
    <row r="68" spans="1:20" x14ac:dyDescent="0.25">
      <c r="A68" t="s">
        <v>112</v>
      </c>
      <c r="B68">
        <v>7.4660000000000002</v>
      </c>
      <c r="C68">
        <v>5.6509999999999998</v>
      </c>
      <c r="D68">
        <v>9.8309999999999995</v>
      </c>
      <c r="E68">
        <v>12.021000000000001</v>
      </c>
      <c r="F68">
        <v>6.8220000000000001</v>
      </c>
      <c r="G68">
        <v>13.111000000000001</v>
      </c>
      <c r="H68">
        <v>-11.866</v>
      </c>
      <c r="I68">
        <v>5.2990000000000004</v>
      </c>
      <c r="J68" s="15">
        <f>chloroform!J73</f>
        <v>0</v>
      </c>
      <c r="K68" t="str">
        <f>chloroform!F73</f>
        <v>56TH</v>
      </c>
      <c r="M68">
        <f>0.9155*Table2[[#This Row],[J1,2]]*Table2[[#This Row],[weight]]</f>
        <v>0</v>
      </c>
      <c r="N68">
        <f>0.9155*Table2[[#This Row],[J2,3]]*Table2[[#This Row],[weight]]</f>
        <v>0</v>
      </c>
      <c r="O68">
        <f>0.9155*Table2[[#This Row],[J34]]*Table2[[#This Row],[weight]]</f>
        <v>0</v>
      </c>
      <c r="P68">
        <f>0.9155*Table2[[#This Row],[J45]]*Table2[[#This Row],[weight]]</f>
        <v>0</v>
      </c>
      <c r="Q68">
        <f>0.9155*Table2[[#This Row],[J56]]*Table2[[#This Row],[weight]]</f>
        <v>0</v>
      </c>
      <c r="R68">
        <f>0.9155*Table2[[#This Row],[J67]]*Table2[[#This Row],[weight]]</f>
        <v>0</v>
      </c>
      <c r="S68">
        <f>0.9155*Table2[[#This Row],[J67'']]*Table2[[#This Row],[weight]]</f>
        <v>0</v>
      </c>
      <c r="T68">
        <f>0.9155*Table2[[#This Row],[J77'']]*Table2[[#This Row],[weight]]</f>
        <v>0</v>
      </c>
    </row>
    <row r="69" spans="1:20" x14ac:dyDescent="0.25">
      <c r="A69" t="s">
        <v>113</v>
      </c>
      <c r="B69">
        <v>7.6929999999999996</v>
      </c>
      <c r="C69">
        <v>8.3089999999999993</v>
      </c>
      <c r="D69">
        <v>6.141</v>
      </c>
      <c r="E69">
        <v>1.3120000000000001</v>
      </c>
      <c r="F69">
        <v>11.090999999999999</v>
      </c>
      <c r="G69">
        <v>1.319</v>
      </c>
      <c r="H69">
        <v>-13.228999999999999</v>
      </c>
      <c r="I69">
        <v>11.021000000000001</v>
      </c>
      <c r="J69" s="15">
        <f>chloroform!J74</f>
        <v>3.1109147732553699E-5</v>
      </c>
      <c r="K69" t="str">
        <f>chloroform!F74</f>
        <v>4H6</v>
      </c>
      <c r="M69">
        <f>0.9155*Table2[[#This Row],[J1,2]]*Table2[[#This Row],[weight]]</f>
        <v>2.1909990759523334E-4</v>
      </c>
      <c r="N69">
        <f>0.9155*Table2[[#This Row],[J2,3]]*Table2[[#This Row],[weight]]</f>
        <v>2.3664384924071153E-4</v>
      </c>
      <c r="O69">
        <f>0.9155*Table2[[#This Row],[J34]]*Table2[[#This Row],[weight]]</f>
        <v>1.7489828838454803E-4</v>
      </c>
      <c r="P69">
        <f>0.9155*Table2[[#This Row],[J45]]*Table2[[#This Row],[weight]]</f>
        <v>3.7366317270888619E-5</v>
      </c>
      <c r="Q69">
        <f>0.9155*Table2[[#This Row],[J56]]*Table2[[#This Row],[weight]]</f>
        <v>3.158763908928549E-4</v>
      </c>
      <c r="R69">
        <f>0.9155*Table2[[#This Row],[J67]]*Table2[[#This Row],[weight]]</f>
        <v>3.7565680244132694E-5</v>
      </c>
      <c r="S69">
        <f>0.9155*Table2[[#This Row],[J67'']]*Table2[[#This Row],[weight]]</f>
        <v>3.1388276116041424E-4</v>
      </c>
      <c r="T69">
        <f>0.9155*Table2[[#This Row],[J77'']]*Table2[[#This Row],[weight]]</f>
        <v>-3.7676753900654385E-4</v>
      </c>
    </row>
    <row r="70" spans="1:20" x14ac:dyDescent="0.25">
      <c r="A70" t="s">
        <v>121</v>
      </c>
      <c r="B70">
        <v>7.6760000000000002</v>
      </c>
      <c r="C70">
        <v>8.3049999999999997</v>
      </c>
      <c r="D70">
        <v>6.2050000000000001</v>
      </c>
      <c r="E70">
        <v>1.274</v>
      </c>
      <c r="F70">
        <v>10.272</v>
      </c>
      <c r="G70">
        <v>11.433999999999999</v>
      </c>
      <c r="H70">
        <v>-11.637</v>
      </c>
      <c r="I70">
        <v>4.8479999999999999</v>
      </c>
      <c r="J70" s="15">
        <f>chloroform!J75</f>
        <v>0</v>
      </c>
      <c r="K70" t="str">
        <f>chloroform!F75</f>
        <v>4H6</v>
      </c>
      <c r="M70">
        <f>0.9155*Table2[[#This Row],[J1,2]]*Table2[[#This Row],[weight]]</f>
        <v>0</v>
      </c>
      <c r="N70">
        <f>0.9155*Table2[[#This Row],[J2,3]]*Table2[[#This Row],[weight]]</f>
        <v>0</v>
      </c>
      <c r="O70">
        <f>0.9155*Table2[[#This Row],[J34]]*Table2[[#This Row],[weight]]</f>
        <v>0</v>
      </c>
      <c r="P70">
        <f>0.9155*Table2[[#This Row],[J45]]*Table2[[#This Row],[weight]]</f>
        <v>0</v>
      </c>
      <c r="Q70">
        <f>0.9155*Table2[[#This Row],[J56]]*Table2[[#This Row],[weight]]</f>
        <v>0</v>
      </c>
      <c r="R70">
        <f>0.9155*Table2[[#This Row],[J67]]*Table2[[#This Row],[weight]]</f>
        <v>0</v>
      </c>
      <c r="S70">
        <f>0.9155*Table2[[#This Row],[J67'']]*Table2[[#This Row],[weight]]</f>
        <v>0</v>
      </c>
      <c r="T70">
        <f>0.9155*Table2[[#This Row],[J77'']]*Table2[[#This Row],[weight]]</f>
        <v>0</v>
      </c>
    </row>
    <row r="71" spans="1:20" ht="15.75" thickBot="1" x14ac:dyDescent="0.3">
      <c r="M71">
        <f t="shared" ref="M71:T71" si="1">SUM(M2:M64)</f>
        <v>7.379801388039299</v>
      </c>
      <c r="N71">
        <f t="shared" si="1"/>
        <v>7.4921249434555701</v>
      </c>
      <c r="O71">
        <f t="shared" si="1"/>
        <v>5.3299720572322267</v>
      </c>
      <c r="P71">
        <f t="shared" si="1"/>
        <v>2.2779795163186001</v>
      </c>
      <c r="Q71">
        <f t="shared" si="1"/>
        <v>10.407753441416483</v>
      </c>
      <c r="R71">
        <f t="shared" si="1"/>
        <v>1.6577013117898161</v>
      </c>
      <c r="S71">
        <f t="shared" si="1"/>
        <v>5.1705321181189277</v>
      </c>
      <c r="T71">
        <f t="shared" si="1"/>
        <v>-12.300154674244506</v>
      </c>
    </row>
    <row r="72" spans="1:20" ht="15.75" thickBot="1" x14ac:dyDescent="0.3">
      <c r="M72" s="13">
        <v>6.88</v>
      </c>
      <c r="N72" s="14">
        <v>6.56</v>
      </c>
      <c r="O72" s="14">
        <v>5.53</v>
      </c>
      <c r="P72" s="14">
        <v>3.92</v>
      </c>
      <c r="Q72" s="14">
        <v>9.4600000000000009</v>
      </c>
      <c r="R72" s="14">
        <v>2.23</v>
      </c>
      <c r="S72" s="14">
        <v>5.31</v>
      </c>
      <c r="T72">
        <v>-12.23</v>
      </c>
    </row>
    <row r="73" spans="1:20" x14ac:dyDescent="0.25">
      <c r="J73" s="13">
        <v>6.88</v>
      </c>
      <c r="R73" t="s">
        <v>87</v>
      </c>
      <c r="S73">
        <f>SQRT(SUMXMY2(M71:S71,M72:S72)/7)</f>
        <v>0.8535735342609867</v>
      </c>
    </row>
    <row r="74" spans="1:20" x14ac:dyDescent="0.25">
      <c r="J74" s="14">
        <v>6.56</v>
      </c>
      <c r="S74">
        <f>SQRT(SUMXMY2(M71:Q71,M72:Q72)/5)</f>
        <v>0.97500126873066717</v>
      </c>
    </row>
    <row r="75" spans="1:20" ht="15.75" thickBot="1" x14ac:dyDescent="0.3">
      <c r="J75" s="14">
        <v>5.53</v>
      </c>
    </row>
    <row r="76" spans="1:20" x14ac:dyDescent="0.25">
      <c r="B76" s="13">
        <v>6.88</v>
      </c>
      <c r="C76" s="14">
        <v>6.56</v>
      </c>
      <c r="D76" s="14">
        <v>5.53</v>
      </c>
      <c r="E76" s="14">
        <v>3.92</v>
      </c>
      <c r="F76" s="14">
        <v>9.4600000000000009</v>
      </c>
      <c r="G76" s="14">
        <v>2.23</v>
      </c>
      <c r="H76" s="14">
        <v>5.31</v>
      </c>
      <c r="J76" s="14">
        <v>3.92</v>
      </c>
    </row>
    <row r="77" spans="1:20" x14ac:dyDescent="0.25">
      <c r="J77" s="14">
        <v>9.4600000000000009</v>
      </c>
    </row>
    <row r="78" spans="1:20" x14ac:dyDescent="0.25">
      <c r="J78" s="14">
        <v>2.23</v>
      </c>
      <c r="M78">
        <v>7.379801388039299</v>
      </c>
      <c r="N78">
        <v>7.4921249434555701</v>
      </c>
      <c r="O78">
        <v>5.3299720572322267</v>
      </c>
      <c r="P78">
        <v>2.2779795163186001</v>
      </c>
      <c r="Q78">
        <v>10.407753441416483</v>
      </c>
      <c r="R78">
        <v>1.6577013117898161</v>
      </c>
      <c r="S78">
        <v>5.1705321181189277</v>
      </c>
    </row>
    <row r="79" spans="1:20" x14ac:dyDescent="0.25">
      <c r="J79" s="14">
        <v>5.31</v>
      </c>
      <c r="M79">
        <v>6.88</v>
      </c>
      <c r="N79">
        <v>6.56</v>
      </c>
      <c r="O79">
        <v>5.53</v>
      </c>
      <c r="P79">
        <v>3.92</v>
      </c>
      <c r="Q79">
        <v>9.4600000000000009</v>
      </c>
      <c r="R79">
        <v>2.23</v>
      </c>
      <c r="S79">
        <v>5.31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9E84E-9378-4B88-B36C-0D514983F28A}">
  <dimension ref="A1:T70"/>
  <sheetViews>
    <sheetView zoomScaleNormal="100" workbookViewId="0">
      <selection activeCell="T70" sqref="K2:T70"/>
    </sheetView>
  </sheetViews>
  <sheetFormatPr defaultRowHeight="15" x14ac:dyDescent="0.25"/>
  <cols>
    <col min="11" max="11" width="10.5703125" customWidth="1"/>
    <col min="20" max="20" width="14" customWidth="1"/>
  </cols>
  <sheetData>
    <row r="1" spans="1:20" x14ac:dyDescent="0.25">
      <c r="A1" t="s">
        <v>77</v>
      </c>
      <c r="B1">
        <f>SUMIF(Table1[Classification],E1,Table1[weight])</f>
        <v>7.87330081948239E-2</v>
      </c>
      <c r="D1" t="s">
        <v>11</v>
      </c>
      <c r="E1" t="s">
        <v>19</v>
      </c>
      <c r="G1">
        <f>COUNTIF(Table3[classification],E1)</f>
        <v>11</v>
      </c>
      <c r="K1" t="s">
        <v>76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74</v>
      </c>
      <c r="S1" t="s">
        <v>15</v>
      </c>
      <c r="T1" t="s">
        <v>75</v>
      </c>
    </row>
    <row r="2" spans="1:20" x14ac:dyDescent="0.25">
      <c r="K2">
        <f>chloroform!E7</f>
        <v>2</v>
      </c>
      <c r="L2">
        <f>Table3[[#This Row],[weight]]*(0.9155*Table2[[#This Row],[J1,2]]-A$9)^2</f>
        <v>2.3160186580295682E-2</v>
      </c>
      <c r="M2">
        <f>Table3[[#This Row],[weight]]*(0.9155*Table2[[#This Row],[J2,3]]-B$9)^2</f>
        <v>0.50685019859187241</v>
      </c>
      <c r="N2">
        <f>Table3[[#This Row],[weight]]*(0.9155*Table2[[#This Row],[J34]]-C$9)^2</f>
        <v>0.12961111868854833</v>
      </c>
      <c r="O2">
        <f>Table3[[#This Row],[weight]]*(0.9155*Table2[[#This Row],[J45]]-D$9)^2</f>
        <v>1.8265610299040846</v>
      </c>
      <c r="P2">
        <f>Table3[[#This Row],[weight]]*(0.9155*Table2[[#This Row],[J56]]-E$9)^2</f>
        <v>5.8026898799662489E-2</v>
      </c>
      <c r="Q2">
        <f>Table3[[#This Row],[weight]]*(0.9155*Table2[[#This Row],[J67]]-F$9)^2</f>
        <v>3.3879923496819682E-2</v>
      </c>
      <c r="R2">
        <f>Table3[[#This Row],[weight]]*(0.9155*Table2[[#This Row],[J67'']]-G$9)^2</f>
        <v>0.43367434983536018</v>
      </c>
      <c r="S2">
        <f>chloroform!J7</f>
        <v>1.9835581741084993E-2</v>
      </c>
      <c r="T2" t="str">
        <f>chloroform!F7</f>
        <v>4H6</v>
      </c>
    </row>
    <row r="3" spans="1:20" x14ac:dyDescent="0.25">
      <c r="K3">
        <f>chloroform!E8</f>
        <v>3</v>
      </c>
      <c r="L3">
        <f>Table3[[#This Row],[weight]]*(0.9155*Table2[[#This Row],[J1,2]]-A$9)^2</f>
        <v>2.2127645404353496E-2</v>
      </c>
      <c r="M3">
        <f>Table3[[#This Row],[weight]]*(0.9155*Table2[[#This Row],[J2,3]]-B$9)^2</f>
        <v>0.54402383112529629</v>
      </c>
      <c r="N3">
        <f>Table3[[#This Row],[weight]]*(0.9155*Table2[[#This Row],[J34]]-C$9)^2</f>
        <v>0.2309732794477149</v>
      </c>
      <c r="O3">
        <f>Table3[[#This Row],[weight]]*(0.9155*Table2[[#This Row],[J45]]-D$9)^2</f>
        <v>2.4407986027051298</v>
      </c>
      <c r="P3">
        <f>Table3[[#This Row],[weight]]*(0.9155*Table2[[#This Row],[J56]]-E$9)^2</f>
        <v>3.7410374698263769E-2</v>
      </c>
      <c r="Q3">
        <f>Table3[[#This Row],[weight]]*(0.9155*Table2[[#This Row],[J67]]-F$9)^2</f>
        <v>5.4801556848737221E-2</v>
      </c>
      <c r="R3">
        <f>Table3[[#This Row],[weight]]*(0.9155*Table2[[#This Row],[J67'']]-G$9)^2</f>
        <v>0.51444136270386231</v>
      </c>
      <c r="S3">
        <f>chloroform!J8</f>
        <v>2.4774886975683762E-2</v>
      </c>
      <c r="T3" t="str">
        <f>chloroform!F8</f>
        <v>4H6</v>
      </c>
    </row>
    <row r="4" spans="1:20" x14ac:dyDescent="0.25">
      <c r="A4" t="s">
        <v>67</v>
      </c>
      <c r="B4" t="s">
        <v>68</v>
      </c>
      <c r="C4" t="s">
        <v>69</v>
      </c>
      <c r="D4" t="s">
        <v>70</v>
      </c>
      <c r="E4" t="s">
        <v>71</v>
      </c>
      <c r="F4" t="s">
        <v>72</v>
      </c>
      <c r="G4" t="s">
        <v>74</v>
      </c>
      <c r="K4">
        <f>chloroform!E9</f>
        <v>4</v>
      </c>
      <c r="L4">
        <f>Table3[[#This Row],[weight]]*(0.9155*Table2[[#This Row],[J1,2]]-A$9)^2</f>
        <v>6.3920464384365952E-2</v>
      </c>
      <c r="M4">
        <f>Table3[[#This Row],[weight]]*(0.9155*Table2[[#This Row],[J2,3]]-B$9)^2</f>
        <v>2.2020559402050588</v>
      </c>
      <c r="N4">
        <f>Table3[[#This Row],[weight]]*(0.9155*Table2[[#This Row],[J34]]-C$9)^2</f>
        <v>0.56887147808055549</v>
      </c>
      <c r="O4">
        <f>Table3[[#This Row],[weight]]*(0.9155*Table2[[#This Row],[J45]]-D$9)^2</f>
        <v>7.6859116091941644</v>
      </c>
      <c r="P4">
        <f>Table3[[#This Row],[weight]]*(0.9155*Table2[[#This Row],[J56]]-E$9)^2</f>
        <v>0.14522891948710406</v>
      </c>
      <c r="Q4">
        <f>Table3[[#This Row],[weight]]*(0.9155*Table2[[#This Row],[J67]]-F$9)^2</f>
        <v>0.24101803282490963</v>
      </c>
      <c r="R4">
        <f>Table3[[#This Row],[weight]]*(0.9155*Table2[[#This Row],[J67'']]-G$9)^2</f>
        <v>0.24152590028969645</v>
      </c>
      <c r="S4">
        <f>chloroform!J9</f>
        <v>7.6679062294856923E-2</v>
      </c>
      <c r="T4" t="str">
        <f>chloroform!F9</f>
        <v>4H6</v>
      </c>
    </row>
    <row r="5" spans="1:20" x14ac:dyDescent="0.25">
      <c r="A5">
        <f>SUMIF(Table1[Classification],E1,Table2[J1,23])/$B$1</f>
        <v>8.10885267646273</v>
      </c>
      <c r="B5">
        <f>SUMIF(Table1[Classification],E1,Table2[J2,34])/$B$1</f>
        <v>2.8064429682742595</v>
      </c>
      <c r="C5">
        <f>SUMIF(Table1[Classification],E1,Table2[J345])/$B$1</f>
        <v>8.4996485312159198</v>
      </c>
      <c r="D5">
        <f>SUMIF(Table1[Classification],E1,Table2[J456])/$B$1</f>
        <v>10.439272356503199</v>
      </c>
      <c r="E5">
        <f>SUMIF(Table1[Classification],E1,Table2[J567])/$B$1</f>
        <v>9.3781575762921783</v>
      </c>
      <c r="F5">
        <f>SUMIF(Table1[Classification],E1,Table2[J678])/$B$1</f>
        <v>2.6554507036784352</v>
      </c>
      <c r="G5">
        <f>SUMIF(Table1[Classification],E1,Table2[J67''9])/$B$1</f>
        <v>4.7657141362278708</v>
      </c>
      <c r="K5">
        <f>chloroform!E10</f>
        <v>6</v>
      </c>
      <c r="L5">
        <f>Table3[[#This Row],[weight]]*(0.9155*Table2[[#This Row],[J1,2]]-A$9)^2</f>
        <v>6.5014211095153748E-2</v>
      </c>
      <c r="M5">
        <f>Table3[[#This Row],[weight]]*(0.9155*Table2[[#This Row],[J2,3]]-B$9)^2</f>
        <v>2.8510064925223499</v>
      </c>
      <c r="N5">
        <f>Table3[[#This Row],[weight]]*(0.9155*Table2[[#This Row],[J34]]-C$9)^2</f>
        <v>1.2518559322345257</v>
      </c>
      <c r="O5">
        <f>Table3[[#This Row],[weight]]*(0.9155*Table2[[#This Row],[J45]]-D$9)^2</f>
        <v>11.50929881556929</v>
      </c>
      <c r="P5">
        <f>Table3[[#This Row],[weight]]*(0.9155*Table2[[#This Row],[J56]]-E$9)^2</f>
        <v>0.22906203284149027</v>
      </c>
      <c r="Q5">
        <f>Table3[[#This Row],[weight]]*(0.9155*Table2[[#This Row],[J67]]-F$9)^2</f>
        <v>0.27301222174923523</v>
      </c>
      <c r="R5">
        <f>Table3[[#This Row],[weight]]*(0.9155*Table2[[#This Row],[J67'']]-G$9)^2</f>
        <v>0.52921313452023944</v>
      </c>
      <c r="S5">
        <f>chloroform!J10</f>
        <v>0.11197937776820978</v>
      </c>
      <c r="T5" t="str">
        <f>chloroform!F10</f>
        <v>4H6</v>
      </c>
    </row>
    <row r="6" spans="1:20" x14ac:dyDescent="0.25">
      <c r="K6">
        <f>chloroform!E11</f>
        <v>7</v>
      </c>
      <c r="L6">
        <f>Table3[[#This Row],[weight]]*(0.9155*Table2[[#This Row],[J1,2]]-A$9)^2</f>
        <v>1.565004661168051E-4</v>
      </c>
      <c r="M6">
        <f>Table3[[#This Row],[weight]]*(0.9155*Table2[[#This Row],[J2,3]]-B$9)^2</f>
        <v>0.12171192679375326</v>
      </c>
      <c r="N6">
        <f>Table3[[#This Row],[weight]]*(0.9155*Table2[[#This Row],[J34]]-C$9)^2</f>
        <v>0.11295988163598092</v>
      </c>
      <c r="O6">
        <f>Table3[[#This Row],[weight]]*(0.9155*Table2[[#This Row],[J45]]-D$9)^2</f>
        <v>6.4833892554110012E-2</v>
      </c>
      <c r="P6">
        <f>Table3[[#This Row],[weight]]*(0.9155*Table2[[#This Row],[J56]]-E$9)^2</f>
        <v>3.115536752049584E-3</v>
      </c>
      <c r="Q6">
        <f>Table3[[#This Row],[weight]]*(0.9155*Table2[[#This Row],[J67]]-F$9)^2</f>
        <v>3.8604310172071664E-3</v>
      </c>
      <c r="R6">
        <f>Table3[[#This Row],[weight]]*(0.9155*Table2[[#This Row],[J67'']]-G$9)^2</f>
        <v>2.226869685386831E-2</v>
      </c>
      <c r="S6">
        <f>chloroform!J11</f>
        <v>3.3160826466214649E-3</v>
      </c>
      <c r="T6" t="str">
        <f>chloroform!F11</f>
        <v>45TH</v>
      </c>
    </row>
    <row r="7" spans="1:20" x14ac:dyDescent="0.25">
      <c r="A7" t="s">
        <v>92</v>
      </c>
      <c r="K7">
        <f>chloroform!E12</f>
        <v>8</v>
      </c>
      <c r="L7">
        <f>Table3[[#This Row],[weight]]*(0.9155*Table2[[#This Row],[J1,2]]-A$9)^2</f>
        <v>3.2805895966914814E-2</v>
      </c>
      <c r="M7">
        <f>Table3[[#This Row],[weight]]*(0.9155*Table2[[#This Row],[J2,3]]-B$9)^2</f>
        <v>1.8443059705607463</v>
      </c>
      <c r="N7">
        <f>Table3[[#This Row],[weight]]*(0.9155*Table2[[#This Row],[J34]]-C$9)^2</f>
        <v>0.70930494415301448</v>
      </c>
      <c r="O7">
        <f>Table3[[#This Row],[weight]]*(0.9155*Table2[[#This Row],[J45]]-D$9)^2</f>
        <v>6.0547388253331986</v>
      </c>
      <c r="P7">
        <f>Table3[[#This Row],[weight]]*(0.9155*Table2[[#This Row],[J56]]-E$9)^2</f>
        <v>0.11161694716711276</v>
      </c>
      <c r="Q7">
        <f>Table3[[#This Row],[weight]]*(0.9155*Table2[[#This Row],[J67]]-F$9)^2</f>
        <v>0.11682498176442351</v>
      </c>
      <c r="R7">
        <f>Table3[[#This Row],[weight]]*(0.9155*Table2[[#This Row],[J67'']]-G$9)^2</f>
        <v>0.33318956829733465</v>
      </c>
      <c r="S7">
        <f>chloroform!J12</f>
        <v>6.020718568699291E-2</v>
      </c>
      <c r="T7" t="str">
        <f>chloroform!F12</f>
        <v>4H6</v>
      </c>
    </row>
    <row r="8" spans="1:20" x14ac:dyDescent="0.25">
      <c r="A8" t="s">
        <v>67</v>
      </c>
      <c r="B8" t="s">
        <v>68</v>
      </c>
      <c r="C8" t="s">
        <v>69</v>
      </c>
      <c r="D8" t="s">
        <v>70</v>
      </c>
      <c r="E8" t="s">
        <v>71</v>
      </c>
      <c r="F8" t="s">
        <v>72</v>
      </c>
      <c r="G8" t="s">
        <v>74</v>
      </c>
      <c r="K8">
        <f>chloroform!E13</f>
        <v>9</v>
      </c>
      <c r="L8">
        <f>Table3[[#This Row],[weight]]*(0.9155*Table2[[#This Row],[J1,2]]-A$9)^2</f>
        <v>4.5436407264535079E-2</v>
      </c>
      <c r="M8">
        <f>Table3[[#This Row],[weight]]*(0.9155*Table2[[#This Row],[J2,3]]-B$9)^2</f>
        <v>1.1347168286785256</v>
      </c>
      <c r="N8">
        <f>Table3[[#This Row],[weight]]*(0.9155*Table2[[#This Row],[J34]]-C$9)^2</f>
        <v>0.28375978518874101</v>
      </c>
      <c r="O8">
        <f>Table3[[#This Row],[weight]]*(0.9155*Table2[[#This Row],[J45]]-D$9)^2</f>
        <v>4.0099218998922312</v>
      </c>
      <c r="P8">
        <f>Table3[[#This Row],[weight]]*(0.9155*Table2[[#This Row],[J56]]-E$9)^2</f>
        <v>8.1989131627794823E-2</v>
      </c>
      <c r="Q8">
        <f>Table3[[#This Row],[weight]]*(0.9155*Table2[[#This Row],[J67]]-F$9)^2</f>
        <v>3.3297883296961417E-3</v>
      </c>
      <c r="R8">
        <f>Table3[[#This Row],[weight]]*(0.9155*Table2[[#This Row],[J67'']]-G$9)^2</f>
        <v>0.57059799455849114</v>
      </c>
      <c r="S8">
        <f>chloroform!J13</f>
        <v>4.3116973942192695E-2</v>
      </c>
      <c r="T8" t="str">
        <f>chloroform!F13</f>
        <v>4H6</v>
      </c>
    </row>
    <row r="9" spans="1:20" x14ac:dyDescent="0.25">
      <c r="A9">
        <f>A5</f>
        <v>8.10885267646273</v>
      </c>
      <c r="B9">
        <f t="shared" ref="B9:G9" si="0">B5</f>
        <v>2.8064429682742595</v>
      </c>
      <c r="C9">
        <f t="shared" si="0"/>
        <v>8.4996485312159198</v>
      </c>
      <c r="D9">
        <f t="shared" si="0"/>
        <v>10.439272356503199</v>
      </c>
      <c r="E9">
        <f t="shared" si="0"/>
        <v>9.3781575762921783</v>
      </c>
      <c r="F9">
        <f t="shared" si="0"/>
        <v>2.6554507036784352</v>
      </c>
      <c r="G9">
        <f t="shared" si="0"/>
        <v>4.7657141362278708</v>
      </c>
      <c r="K9">
        <f>chloroform!E14</f>
        <v>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>
        <f>chloroform!E15</f>
        <v>15</v>
      </c>
      <c r="L10">
        <f>Table3[[#This Row],[weight]]*(0.9155*Table2[[#This Row],[J1,2]]-A$9)^2</f>
        <v>2.860793195499424E-4</v>
      </c>
      <c r="M10">
        <f>Table3[[#This Row],[weight]]*(0.9155*Table2[[#This Row],[J2,3]]-B$9)^2</f>
        <v>0.47502025875685477</v>
      </c>
      <c r="N10">
        <f>Table3[[#This Row],[weight]]*(0.9155*Table2[[#This Row],[J34]]-C$9)^2</f>
        <v>0.6459569829825168</v>
      </c>
      <c r="O10">
        <f>Table3[[#This Row],[weight]]*(0.9155*Table2[[#This Row],[J45]]-D$9)^2</f>
        <v>0.33185705466915683</v>
      </c>
      <c r="P10">
        <f>Table3[[#This Row],[weight]]*(0.9155*Table2[[#This Row],[J56]]-E$9)^2</f>
        <v>5.6377715951893099E-3</v>
      </c>
      <c r="Q10">
        <f>Table3[[#This Row],[weight]]*(0.9155*Table2[[#This Row],[J67]]-F$9)^2</f>
        <v>1.1450749041992596E-4</v>
      </c>
      <c r="R10">
        <f>Table3[[#This Row],[weight]]*(0.9155*Table2[[#This Row],[J67'']]-G$9)^2</f>
        <v>0.53371257315591691</v>
      </c>
      <c r="S10">
        <f>chloroform!J15</f>
        <v>1.5313869254083566E-2</v>
      </c>
      <c r="T10" t="str">
        <f>chloroform!F15</f>
        <v>45TH</v>
      </c>
    </row>
    <row r="11" spans="1:20" x14ac:dyDescent="0.25">
      <c r="A11" t="s">
        <v>93</v>
      </c>
      <c r="K11">
        <f>chloroform!E16</f>
        <v>16</v>
      </c>
      <c r="L11">
        <f>Table3[[#This Row],[weight]]*(0.9155*Table2[[#This Row],[J1,2]]-A$9)^2</f>
        <v>6.7773511475179182E-2</v>
      </c>
      <c r="M11">
        <f>Table3[[#This Row],[weight]]*(0.9155*Table2[[#This Row],[J2,3]]-B$9)^2</f>
        <v>2.1388801402668665</v>
      </c>
      <c r="N11">
        <f>Table3[[#This Row],[weight]]*(0.9155*Table2[[#This Row],[J34]]-C$9)^2</f>
        <v>0.93049817814449765</v>
      </c>
      <c r="O11">
        <f>Table3[[#This Row],[weight]]*(0.9155*Table2[[#This Row],[J45]]-D$9)^2</f>
        <v>9.1335061124250547</v>
      </c>
      <c r="P11">
        <f>Table3[[#This Row],[weight]]*(0.9155*Table2[[#This Row],[J56]]-E$9)^2</f>
        <v>0.2131425511493856</v>
      </c>
      <c r="Q11">
        <f>Table3[[#This Row],[weight]]*(0.9155*Table2[[#This Row],[J67]]-F$9)^2</f>
        <v>1.8653316796717865E-2</v>
      </c>
      <c r="R11">
        <f>Table3[[#This Row],[weight]]*(0.9155*Table2[[#This Row],[J67'']]-G$9)^2</f>
        <v>1.1023711772994498</v>
      </c>
      <c r="S11">
        <f>chloroform!J16</f>
        <v>8.9542104370779821E-2</v>
      </c>
      <c r="T11" t="str">
        <f>chloroform!F16</f>
        <v>4H6</v>
      </c>
    </row>
    <row r="12" spans="1:20" x14ac:dyDescent="0.25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  <c r="G12" t="s">
        <v>74</v>
      </c>
      <c r="K12">
        <f>chloroform!E17</f>
        <v>17</v>
      </c>
      <c r="L12">
        <f>Table3[[#This Row],[weight]]*(0.9155*Table2[[#This Row],[J1,2]]-A$9)^2</f>
        <v>7.2109362684957292E-4</v>
      </c>
      <c r="M12">
        <f>Table3[[#This Row],[weight]]*(0.9155*Table2[[#This Row],[J2,3]]-B$9)^2</f>
        <v>1.6158908799892509</v>
      </c>
      <c r="N12">
        <f>Table3[[#This Row],[weight]]*(0.9155*Table2[[#This Row],[J34]]-C$9)^2</f>
        <v>2.0734674584318458</v>
      </c>
      <c r="O12">
        <f>Table3[[#This Row],[weight]]*(0.9155*Table2[[#This Row],[J45]]-D$9)^2</f>
        <v>1.2985975523875379</v>
      </c>
      <c r="P12">
        <f>Table3[[#This Row],[weight]]*(0.9155*Table2[[#This Row],[J56]]-E$9)^2</f>
        <v>2.7776161349258265E-4</v>
      </c>
      <c r="Q12">
        <f>Table3[[#This Row],[weight]]*(0.9155*Table2[[#This Row],[J67]]-F$9)^2</f>
        <v>3.0476051006744498E-2</v>
      </c>
      <c r="R12">
        <f>Table3[[#This Row],[weight]]*(0.9155*Table2[[#This Row],[J67'']]-G$9)^2</f>
        <v>0.46934310071696134</v>
      </c>
      <c r="S12">
        <f>chloroform!J17</f>
        <v>5.1465722506778361E-2</v>
      </c>
      <c r="T12" t="str">
        <f>chloroform!F17</f>
        <v>45TH</v>
      </c>
    </row>
    <row r="13" spans="1:20" x14ac:dyDescent="0.25">
      <c r="A13">
        <f>SQRT(SUMIF($T$2:$T$70,$E$1,L$2:L$70)/(($G$1-1)*$B$1/$G$1))</f>
        <v>0.82568483510739688</v>
      </c>
      <c r="B13">
        <f>SQRT(SUMIF($T$2:$T$46,$E$1,M$2:M$46)/(($G$1-1)*$B$1/$G$1))</f>
        <v>0.21716613647264285</v>
      </c>
      <c r="C13">
        <f>SQRT(SUMIF($T$2:$T$46,$E$1,N$2:N$46)/(($G$1-1)*$B$1/$G$1))</f>
        <v>0.99833121348655318</v>
      </c>
      <c r="D13">
        <f>SQRT(SUMIF($T$2:$T$70,$E$1,O$2:O$70)/(($G$1-1)*$B$1/$G$1))</f>
        <v>0.51108049178471548</v>
      </c>
      <c r="E13">
        <f t="shared" ref="E13" si="1">SQRT(SUMIF($T$2:$T$46,$E$1,P$2:P$46)/(($G$1-1)*$B$1/$G$1))</f>
        <v>0.38977365701780575</v>
      </c>
      <c r="F13">
        <f>SQRT(SUMIF($T$2:$T$70,$E$1,Q$2:Q$70)/(($G$1-1)*$B$1/$G$1))</f>
        <v>2.3902683547991774</v>
      </c>
      <c r="G13">
        <f>SQRT(SUMIF($T$2:$T$70,$E$1,R$2:R$70)/(($G$1-1)*$B$1/$G$1))</f>
        <v>4.2149190154865188</v>
      </c>
      <c r="K13">
        <f>chloroform!E18</f>
        <v>19</v>
      </c>
      <c r="L13">
        <f>Table3[[#This Row],[weight]]*(0.9155*Table2[[#This Row],[J1,2]]-A$9)^2</f>
        <v>2.6115901635533773E-6</v>
      </c>
      <c r="M13">
        <f>Table3[[#This Row],[weight]]*(0.9155*Table2[[#This Row],[J2,3]]-B$9)^2</f>
        <v>2.4317922113971852E-3</v>
      </c>
      <c r="N13">
        <f>Table3[[#This Row],[weight]]*(0.9155*Table2[[#This Row],[J34]]-C$9)^2</f>
        <v>1.6198167840517353E-2</v>
      </c>
      <c r="O13">
        <f>Table3[[#This Row],[weight]]*(0.9155*Table2[[#This Row],[J45]]-D$9)^2</f>
        <v>9.7537568585162274E-3</v>
      </c>
      <c r="P13">
        <f>Table3[[#This Row],[weight]]*(0.9155*Table2[[#This Row],[J56]]-E$9)^2</f>
        <v>0.22133801795461666</v>
      </c>
      <c r="Q13">
        <f>Table3[[#This Row],[weight]]*(0.9155*Table2[[#This Row],[J67]]-F$9)^2</f>
        <v>0.21494227262582227</v>
      </c>
      <c r="R13">
        <f>Table3[[#This Row],[weight]]*(0.9155*Table2[[#This Row],[J67'']]-G$9)^2</f>
        <v>1.4013989701433438E-3</v>
      </c>
      <c r="S13">
        <f>chloroform!J18</f>
        <v>2.6494242156238882E-3</v>
      </c>
      <c r="T13" t="str">
        <f>chloroform!F18</f>
        <v>6H4</v>
      </c>
    </row>
    <row r="14" spans="1:20" x14ac:dyDescent="0.25">
      <c r="K14">
        <f>chloroform!E19</f>
        <v>20</v>
      </c>
      <c r="L14">
        <f>Table3[[#This Row],[weight]]*(0.9155*Table2[[#This Row],[J1,2]]-A$9)^2</f>
        <v>7.392296350573227E-2</v>
      </c>
      <c r="M14">
        <f>Table3[[#This Row],[weight]]*(0.9155*Table2[[#This Row],[J2,3]]-B$9)^2</f>
        <v>2.2104266138846769</v>
      </c>
      <c r="N14">
        <f>Table3[[#This Row],[weight]]*(0.9155*Table2[[#This Row],[J34]]-C$9)^2</f>
        <v>0.55043614098859572</v>
      </c>
      <c r="O14">
        <f>Table3[[#This Row],[weight]]*(0.9155*Table2[[#This Row],[J45]]-D$9)^2</f>
        <v>7.6164850648931255</v>
      </c>
      <c r="P14">
        <f>Table3[[#This Row],[weight]]*(0.9155*Table2[[#This Row],[J56]]-E$9)^2</f>
        <v>0.16121834430558937</v>
      </c>
      <c r="Q14">
        <f>Table3[[#This Row],[weight]]*(0.9155*Table2[[#This Row],[J67]]-F$9)^2</f>
        <v>7.0177656449996753E-2</v>
      </c>
      <c r="R14">
        <f>Table3[[#This Row],[weight]]*(0.9155*Table2[[#This Row],[J67'']]-G$9)^2</f>
        <v>0.64659051021795</v>
      </c>
      <c r="S14">
        <f>chloroform!J19</f>
        <v>8.1186193319153999E-2</v>
      </c>
      <c r="T14" t="str">
        <f>chloroform!F19</f>
        <v>4H6</v>
      </c>
    </row>
    <row r="15" spans="1:20" x14ac:dyDescent="0.25">
      <c r="K15">
        <f>chloroform!E20</f>
        <v>21</v>
      </c>
      <c r="L15">
        <f>Table3[[#This Row],[weight]]*(0.9155*Table2[[#This Row],[J1,2]]-A$9)^2</f>
        <v>1.9316593059771817E-5</v>
      </c>
      <c r="M15">
        <f>Table3[[#This Row],[weight]]*(0.9155*Table2[[#This Row],[J2,3]]-B$9)^2</f>
        <v>2.0233327769001187E-6</v>
      </c>
      <c r="N15">
        <f>Table3[[#This Row],[weight]]*(0.9155*Table2[[#This Row],[J34]]-C$9)^2</f>
        <v>9.622951824895413E-5</v>
      </c>
      <c r="O15">
        <f>Table3[[#This Row],[weight]]*(0.9155*Table2[[#This Row],[J45]]-D$9)^2</f>
        <v>2.4610836275266632E-3</v>
      </c>
      <c r="P15">
        <f>Table3[[#This Row],[weight]]*(0.9155*Table2[[#This Row],[J56]]-E$9)^2</f>
        <v>8.8198412868312963E-4</v>
      </c>
      <c r="Q15">
        <f>Table3[[#This Row],[weight]]*(0.9155*Table2[[#This Row],[J67]]-F$9)^2</f>
        <v>4.8033864526606193E-5</v>
      </c>
      <c r="R15">
        <f>Table3[[#This Row],[weight]]*(0.9155*Table2[[#This Row],[J67'']]-G$9)^2</f>
        <v>4.0302526437663105E-4</v>
      </c>
      <c r="S15">
        <f>chloroform!J20</f>
        <v>3.0469752193280297E-5</v>
      </c>
      <c r="T15" t="str">
        <f>chloroform!F20</f>
        <v>TH45</v>
      </c>
    </row>
    <row r="16" spans="1:20" x14ac:dyDescent="0.25">
      <c r="K16">
        <f>chloroform!E21</f>
        <v>22</v>
      </c>
      <c r="L16">
        <f>Table3[[#This Row],[weight]]*(0.9155*Table2[[#This Row],[J1,2]]-A$9)^2</f>
        <v>1.4747459152854099E-5</v>
      </c>
      <c r="M16">
        <f>Table3[[#This Row],[weight]]*(0.9155*Table2[[#This Row],[J2,3]]-B$9)^2</f>
        <v>9.4715085261104486E-3</v>
      </c>
      <c r="N16">
        <f>Table3[[#This Row],[weight]]*(0.9155*Table2[[#This Row],[J34]]-C$9)^2</f>
        <v>8.9774101327462618E-3</v>
      </c>
      <c r="O16">
        <f>Table3[[#This Row],[weight]]*(0.9155*Table2[[#This Row],[J45]]-D$9)^2</f>
        <v>4.3819168532806298E-3</v>
      </c>
      <c r="P16">
        <f>Table3[[#This Row],[weight]]*(0.9155*Table2[[#This Row],[J56]]-E$9)^2</f>
        <v>4.0422604896202106E-4</v>
      </c>
      <c r="Q16">
        <f>Table3[[#This Row],[weight]]*(0.9155*Table2[[#This Row],[J67]]-F$9)^2</f>
        <v>1.2720098893955004E-4</v>
      </c>
      <c r="R16">
        <f>Table3[[#This Row],[weight]]*(0.9155*Table2[[#This Row],[J67'']]-G$9)^2</f>
        <v>9.1466554878578757E-3</v>
      </c>
      <c r="S16">
        <f>chloroform!J21</f>
        <v>2.5970010128064205E-4</v>
      </c>
      <c r="T16" t="str">
        <f>chloroform!F21</f>
        <v>45TH</v>
      </c>
    </row>
    <row r="17" spans="11:20" x14ac:dyDescent="0.25">
      <c r="K17">
        <f>chloroform!E22</f>
        <v>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11:20" x14ac:dyDescent="0.25">
      <c r="K18">
        <f>chloroform!E23</f>
        <v>24</v>
      </c>
      <c r="L18">
        <f>Table3[[#This Row],[weight]]*(0.9155*Table2[[#This Row],[J1,2]]-A$9)^2</f>
        <v>2.2457781148375881E-5</v>
      </c>
      <c r="M18">
        <f>Table3[[#This Row],[weight]]*(0.9155*Table2[[#This Row],[J2,3]]-B$9)^2</f>
        <v>1.2036060873749654E-2</v>
      </c>
      <c r="N18">
        <f>Table3[[#This Row],[weight]]*(0.9155*Table2[[#This Row],[J34]]-C$9)^2</f>
        <v>1.083029610148095E-2</v>
      </c>
      <c r="O18">
        <f>Table3[[#This Row],[weight]]*(0.9155*Table2[[#This Row],[J45]]-D$9)^2</f>
        <v>6.7146214174502806E-3</v>
      </c>
      <c r="P18">
        <f>Table3[[#This Row],[weight]]*(0.9155*Table2[[#This Row],[J56]]-E$9)^2</f>
        <v>6.3157023477455161E-5</v>
      </c>
      <c r="Q18">
        <f>Table3[[#This Row],[weight]]*(0.9155*Table2[[#This Row],[J67]]-F$9)^2</f>
        <v>1.7559247211105973E-2</v>
      </c>
      <c r="R18">
        <f>Table3[[#This Row],[weight]]*(0.9155*Table2[[#This Row],[J67'']]-G$9)^2</f>
        <v>1.8547154664960365E-3</v>
      </c>
      <c r="S18">
        <f>chloroform!J23</f>
        <v>3.3152378722330739E-4</v>
      </c>
      <c r="T18" t="str">
        <f>chloroform!F23</f>
        <v>45TH</v>
      </c>
    </row>
    <row r="19" spans="11:20" x14ac:dyDescent="0.25">
      <c r="K19">
        <f>chloroform!E24</f>
        <v>26</v>
      </c>
      <c r="L19">
        <f>Table3[[#This Row],[weight]]*(0.9155*Table2[[#This Row],[J1,2]]-A$9)^2</f>
        <v>2.2316034197481965E-5</v>
      </c>
      <c r="M19">
        <f>Table3[[#This Row],[weight]]*(0.9155*Table2[[#This Row],[J2,3]]-B$9)^2</f>
        <v>0.15070576785848885</v>
      </c>
      <c r="N19">
        <f>Table3[[#This Row],[weight]]*(0.9155*Table2[[#This Row],[J34]]-C$9)^2</f>
        <v>0.22078128576889472</v>
      </c>
      <c r="O19">
        <f>Table3[[#This Row],[weight]]*(0.9155*Table2[[#This Row],[J45]]-D$9)^2</f>
        <v>3.7022838590806254E-2</v>
      </c>
      <c r="P19">
        <f>Table3[[#This Row],[weight]]*(0.9155*Table2[[#This Row],[J56]]-E$9)^2</f>
        <v>1.0251116312775255E-2</v>
      </c>
      <c r="Q19">
        <f>Table3[[#This Row],[weight]]*(0.9155*Table2[[#This Row],[J67]]-F$9)^2</f>
        <v>3.135870671056785E-3</v>
      </c>
      <c r="R19">
        <f>Table3[[#This Row],[weight]]*(0.9155*Table2[[#This Row],[J67'']]-G$9)^2</f>
        <v>4.0323208506192004E-2</v>
      </c>
      <c r="S19">
        <f>chloroform!J24</f>
        <v>4.6965541756517929E-3</v>
      </c>
      <c r="T19" t="str">
        <f>chloroform!F24</f>
        <v>45TH</v>
      </c>
    </row>
    <row r="20" spans="11:20" x14ac:dyDescent="0.25">
      <c r="K20">
        <f>chloroform!E25</f>
        <v>27</v>
      </c>
      <c r="L20">
        <f>Table3[[#This Row],[weight]]*(0.9155*Table2[[#This Row],[J1,2]]-A$9)^2</f>
        <v>7.8035532978586272E-2</v>
      </c>
      <c r="M20">
        <f>Table3[[#This Row],[weight]]*(0.9155*Table2[[#This Row],[J2,3]]-B$9)^2</f>
        <v>1.7297234116721496</v>
      </c>
      <c r="N20">
        <f>Table3[[#This Row],[weight]]*(0.9155*Table2[[#This Row],[J34]]-C$9)^2</f>
        <v>0.44154266159063854</v>
      </c>
      <c r="O20">
        <f>Table3[[#This Row],[weight]]*(0.9155*Table2[[#This Row],[J45]]-D$9)^2</f>
        <v>6.1874730993172129</v>
      </c>
      <c r="P20">
        <f>Table3[[#This Row],[weight]]*(0.9155*Table2[[#This Row],[J56]]-E$9)^2</f>
        <v>0.20799250173591183</v>
      </c>
      <c r="Q20">
        <f>Table3[[#This Row],[weight]]*(0.9155*Table2[[#This Row],[J67]]-F$9)^2</f>
        <v>0.14772243438107785</v>
      </c>
      <c r="R20">
        <f>Table3[[#This Row],[weight]]*(0.9155*Table2[[#This Row],[J67'']]-G$9)^2</f>
        <v>1.8089579784733985</v>
      </c>
      <c r="S20">
        <f>chloroform!J25</f>
        <v>6.7864687042358235E-2</v>
      </c>
      <c r="T20" t="str">
        <f>chloroform!F25</f>
        <v>4H6</v>
      </c>
    </row>
    <row r="21" spans="11:20" x14ac:dyDescent="0.25">
      <c r="K21">
        <f>chloroform!E26</f>
        <v>30</v>
      </c>
      <c r="L21">
        <f>Table3[[#This Row],[weight]]*(0.9155*Table2[[#This Row],[J1,2]]-A$9)^2</f>
        <v>8.7072295198214664E-5</v>
      </c>
      <c r="M21">
        <f>Table3[[#This Row],[weight]]*(0.9155*Table2[[#This Row],[J2,3]]-B$9)^2</f>
        <v>4.9599345415313786E-4</v>
      </c>
      <c r="N21">
        <f>Table3[[#This Row],[weight]]*(0.9155*Table2[[#This Row],[J34]]-C$9)^2</f>
        <v>4.5326506223737004E-3</v>
      </c>
      <c r="O21">
        <f>Table3[[#This Row],[weight]]*(0.9155*Table2[[#This Row],[J45]]-D$9)^2</f>
        <v>1.9010962031959335E-3</v>
      </c>
      <c r="P21">
        <f>Table3[[#This Row],[weight]]*(0.9155*Table2[[#This Row],[J56]]-E$9)^2</f>
        <v>5.2847250858167501E-2</v>
      </c>
      <c r="Q21">
        <f>Table3[[#This Row],[weight]]*(0.9155*Table2[[#This Row],[J67]]-F$9)^2</f>
        <v>4.5989567475012101E-2</v>
      </c>
      <c r="R21">
        <f>Table3[[#This Row],[weight]]*(0.9155*Table2[[#This Row],[J67'']]-G$9)^2</f>
        <v>1.0027693001704249E-3</v>
      </c>
      <c r="S21">
        <f>chloroform!J26</f>
        <v>6.2318537715621344E-4</v>
      </c>
      <c r="T21" t="str">
        <f>chloroform!F26</f>
        <v>6H4</v>
      </c>
    </row>
    <row r="22" spans="11:20" x14ac:dyDescent="0.25">
      <c r="K22">
        <f>chloroform!E27</f>
        <v>33</v>
      </c>
      <c r="L22">
        <f>Table3[[#This Row],[weight]]*(0.9155*Table2[[#This Row],[J1,2]]-A$9)^2</f>
        <v>5.467012452663256E-5</v>
      </c>
      <c r="M22">
        <f>Table3[[#This Row],[weight]]*(0.9155*Table2[[#This Row],[J2,3]]-B$9)^2</f>
        <v>4.0990597675251067E-2</v>
      </c>
      <c r="N22">
        <f>Table3[[#This Row],[weight]]*(0.9155*Table2[[#This Row],[J34]]-C$9)^2</f>
        <v>4.0628553394132502E-2</v>
      </c>
      <c r="O22">
        <f>Table3[[#This Row],[weight]]*(0.9155*Table2[[#This Row],[J45]]-D$9)^2</f>
        <v>1.8076575249682592E-2</v>
      </c>
      <c r="P22">
        <f>Table3[[#This Row],[weight]]*(0.9155*Table2[[#This Row],[J56]]-E$9)^2</f>
        <v>1.1551646584598168E-3</v>
      </c>
      <c r="Q22">
        <f>Table3[[#This Row],[weight]]*(0.9155*Table2[[#This Row],[J67]]-F$9)^2</f>
        <v>6.3620882567182104E-4</v>
      </c>
      <c r="R22">
        <f>Table3[[#This Row],[weight]]*(0.9155*Table2[[#This Row],[J67'']]-G$9)^2</f>
        <v>3.9531990160263812E-2</v>
      </c>
      <c r="S22">
        <f>chloroform!J27</f>
        <v>1.1110867542881051E-3</v>
      </c>
      <c r="T22" t="str">
        <f>chloroform!F27</f>
        <v>45TH</v>
      </c>
    </row>
    <row r="23" spans="11:20" x14ac:dyDescent="0.25">
      <c r="K23">
        <f>chloroform!E28</f>
        <v>34</v>
      </c>
      <c r="L23">
        <f>Table3[[#This Row],[weight]]*(0.9155*Table2[[#This Row],[J1,2]]-A$9)^2</f>
        <v>5.8799978162077558E-5</v>
      </c>
      <c r="M23">
        <f>Table3[[#This Row],[weight]]*(0.9155*Table2[[#This Row],[J2,3]]-B$9)^2</f>
        <v>3.1155349151986989E-4</v>
      </c>
      <c r="N23">
        <f>Table3[[#This Row],[weight]]*(0.9155*Table2[[#This Row],[J34]]-C$9)^2</f>
        <v>3.5505679884398245E-3</v>
      </c>
      <c r="O23">
        <f>Table3[[#This Row],[weight]]*(0.9155*Table2[[#This Row],[J45]]-D$9)^2</f>
        <v>6.0257957163381342E-4</v>
      </c>
      <c r="P23">
        <f>Table3[[#This Row],[weight]]*(0.9155*Table2[[#This Row],[J56]]-E$9)^2</f>
        <v>3.7505039484626204E-2</v>
      </c>
      <c r="Q23">
        <f>Table3[[#This Row],[weight]]*(0.9155*Table2[[#This Row],[J67]]-F$9)^2</f>
        <v>1.1833105894485747E-3</v>
      </c>
      <c r="R23">
        <f>Table3[[#This Row],[weight]]*(0.9155*Table2[[#This Row],[J67'']]-G$9)^2</f>
        <v>4.5504412868104476E-4</v>
      </c>
      <c r="S23">
        <f>chloroform!J28</f>
        <v>4.9283395387780284E-4</v>
      </c>
      <c r="T23" t="str">
        <f>chloroform!F28</f>
        <v>6H4</v>
      </c>
    </row>
    <row r="24" spans="11:20" x14ac:dyDescent="0.25">
      <c r="K24">
        <f>chloroform!E29</f>
        <v>38</v>
      </c>
      <c r="L24">
        <f>Table3[[#This Row],[weight]]*(0.9155*Table2[[#This Row],[J1,2]]-A$9)^2</f>
        <v>2.5036177295061475E-4</v>
      </c>
      <c r="M24">
        <f>Table3[[#This Row],[weight]]*(0.9155*Table2[[#This Row],[J2,3]]-B$9)^2</f>
        <v>0.99400715425761277</v>
      </c>
      <c r="N24">
        <f>Table3[[#This Row],[weight]]*(0.9155*Table2[[#This Row],[J34]]-C$9)^2</f>
        <v>1.3590957380475461</v>
      </c>
      <c r="O24">
        <f>Table3[[#This Row],[weight]]*(0.9155*Table2[[#This Row],[J45]]-D$9)^2</f>
        <v>0.57504912862472002</v>
      </c>
      <c r="P24">
        <f>Table3[[#This Row],[weight]]*(0.9155*Table2[[#This Row],[J56]]-E$9)^2</f>
        <v>5.0797283887371427E-3</v>
      </c>
      <c r="Q24">
        <f>Table3[[#This Row],[weight]]*(0.9155*Table2[[#This Row],[J67]]-F$9)^2</f>
        <v>1.4753202804736843E-2</v>
      </c>
      <c r="R24">
        <f>Table3[[#This Row],[weight]]*(0.9155*Table2[[#This Row],[J67'']]-G$9)^2</f>
        <v>0.29056063158153611</v>
      </c>
      <c r="S24">
        <f>chloroform!J29</f>
        <v>3.0916983615801238E-2</v>
      </c>
      <c r="T24" t="str">
        <f>chloroform!F29</f>
        <v>45TH</v>
      </c>
    </row>
    <row r="25" spans="11:20" x14ac:dyDescent="0.25">
      <c r="K25">
        <f>chloroform!E30</f>
        <v>39</v>
      </c>
      <c r="L25">
        <f>Table3[[#This Row],[weight]]*(0.9155*Table2[[#This Row],[J1,2]]-A$9)^2</f>
        <v>9.5789281411338897E-2</v>
      </c>
      <c r="M25">
        <f>Table3[[#This Row],[weight]]*(0.9155*Table2[[#This Row],[J2,3]]-B$9)^2</f>
        <v>2.4744531640126328</v>
      </c>
      <c r="N25">
        <f>Table3[[#This Row],[weight]]*(0.9155*Table2[[#This Row],[J34]]-C$9)^2</f>
        <v>1.0926354920555275</v>
      </c>
      <c r="O25">
        <f>Table3[[#This Row],[weight]]*(0.9155*Table2[[#This Row],[J45]]-D$9)^2</f>
        <v>10.973083230983002</v>
      </c>
      <c r="P25">
        <f>Table3[[#This Row],[weight]]*(0.9155*Table2[[#This Row],[J56]]-E$9)^2</f>
        <v>0.41999565070002004</v>
      </c>
      <c r="Q25">
        <f>Table3[[#This Row],[weight]]*(0.9155*Table2[[#This Row],[J67]]-F$9)^2</f>
        <v>0.22439350849692721</v>
      </c>
      <c r="R25">
        <f>Table3[[#This Row],[weight]]*(0.9155*Table2[[#This Row],[J67'']]-G$9)^2</f>
        <v>3.07492063150494</v>
      </c>
      <c r="S25">
        <f>chloroform!J30</f>
        <v>0.11021833097035422</v>
      </c>
      <c r="T25" t="str">
        <f>chloroform!F30</f>
        <v>4H6</v>
      </c>
    </row>
    <row r="26" spans="11:20" x14ac:dyDescent="0.25">
      <c r="K26">
        <f>chloroform!E31</f>
        <v>41</v>
      </c>
      <c r="L26">
        <f>Table3[[#This Row],[weight]]*(0.9155*Table2[[#This Row],[J1,2]]-A$9)^2</f>
        <v>6.9937856553151947E-2</v>
      </c>
      <c r="M26">
        <f>Table3[[#This Row],[weight]]*(0.9155*Table2[[#This Row],[J2,3]]-B$9)^2</f>
        <v>1.6897797312098015</v>
      </c>
      <c r="N26">
        <f>Table3[[#This Row],[weight]]*(0.9155*Table2[[#This Row],[J34]]-C$9)^2</f>
        <v>0.58043478123849879</v>
      </c>
      <c r="O26">
        <f>Table3[[#This Row],[weight]]*(0.9155*Table2[[#This Row],[J45]]-D$9)^2</f>
        <v>6.4739652577199314</v>
      </c>
      <c r="P26">
        <f>Table3[[#This Row],[weight]]*(0.9155*Table2[[#This Row],[J56]]-E$9)^2</f>
        <v>0.17341737588114678</v>
      </c>
      <c r="Q26">
        <f>Table3[[#This Row],[weight]]*(0.9155*Table2[[#This Row],[J67]]-F$9)^2</f>
        <v>0.14118014525450556</v>
      </c>
      <c r="R26">
        <f>Table3[[#This Row],[weight]]*(0.9155*Table2[[#This Row],[J67'']]-G$9)^2</f>
        <v>1.8265372693936093</v>
      </c>
      <c r="S26">
        <f>chloroform!J31</f>
        <v>6.6249456850800803E-2</v>
      </c>
      <c r="T26" t="str">
        <f>chloroform!F31</f>
        <v>4H6</v>
      </c>
    </row>
    <row r="27" spans="11:20" x14ac:dyDescent="0.25">
      <c r="K27">
        <f>chloroform!E32</f>
        <v>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11:20" x14ac:dyDescent="0.25">
      <c r="K28">
        <f>chloroform!E33</f>
        <v>48</v>
      </c>
      <c r="L28">
        <f>Table3[[#This Row],[weight]]*(0.9155*Table2[[#This Row],[J1,2]]-A$9)^2</f>
        <v>2.4574699970810344E-2</v>
      </c>
      <c r="M28">
        <f>Table3[[#This Row],[weight]]*(0.9155*Table2[[#This Row],[J2,3]]-B$9)^2</f>
        <v>0.10495122780409639</v>
      </c>
      <c r="N28">
        <f>Table3[[#This Row],[weight]]*(0.9155*Table2[[#This Row],[J34]]-C$9)^2</f>
        <v>1.3547984320176851E-2</v>
      </c>
      <c r="O28">
        <f>Table3[[#This Row],[weight]]*(0.9155*Table2[[#This Row],[J45]]-D$9)^2</f>
        <v>1.5531194955191105E-3</v>
      </c>
      <c r="P28">
        <f>Table3[[#This Row],[weight]]*(0.9155*Table2[[#This Row],[J56]]-E$9)^2</f>
        <v>2.804270889753481E-2</v>
      </c>
      <c r="Q28">
        <f>Table3[[#This Row],[weight]]*(0.9155*Table2[[#This Row],[J67]]-F$9)^2</f>
        <v>9.3751981914769068E-3</v>
      </c>
      <c r="R28">
        <f>Table3[[#This Row],[weight]]*(0.9155*Table2[[#This Row],[J67'']]-G$9)^2</f>
        <v>0.40156815698169712</v>
      </c>
      <c r="S28">
        <f>chloroform!J33</f>
        <v>1.2752774545018598E-2</v>
      </c>
      <c r="T28" t="str">
        <f>chloroform!F33</f>
        <v>56TH</v>
      </c>
    </row>
    <row r="29" spans="11:20" x14ac:dyDescent="0.25">
      <c r="K29">
        <f>chloroform!E34</f>
        <v>57</v>
      </c>
      <c r="L29">
        <f>Table3[[#This Row],[weight]]*(0.9155*Table2[[#This Row],[J1,2]]-A$9)^2</f>
        <v>2.5475391622140564E-6</v>
      </c>
      <c r="M29">
        <f>Table3[[#This Row],[weight]]*(0.9155*Table2[[#This Row],[J2,3]]-B$9)^2</f>
        <v>7.4858352378024339E-4</v>
      </c>
      <c r="N29">
        <f>Table3[[#This Row],[weight]]*(0.9155*Table2[[#This Row],[J34]]-C$9)^2</f>
        <v>7.1353518687713056E-3</v>
      </c>
      <c r="O29">
        <f>Table3[[#This Row],[weight]]*(0.9155*Table2[[#This Row],[J45]]-D$9)^2</f>
        <v>1.3733733887799629E-2</v>
      </c>
      <c r="P29">
        <f>Table3[[#This Row],[weight]]*(0.9155*Table2[[#This Row],[J56]]-E$9)^2</f>
        <v>6.8015357175821911E-2</v>
      </c>
      <c r="Q29">
        <f>Table3[[#This Row],[weight]]*(0.9155*Table2[[#This Row],[J67]]-F$9)^2</f>
        <v>1.9881671473024015E-4</v>
      </c>
      <c r="R29">
        <f>Table3[[#This Row],[weight]]*(0.9155*Table2[[#This Row],[J67'']]-G$9)^2</f>
        <v>4.5752906715738173E-2</v>
      </c>
      <c r="S29">
        <f>chloroform!J34</f>
        <v>8.5264554589112415E-4</v>
      </c>
      <c r="T29" t="str">
        <f>chloroform!F34</f>
        <v>6H4</v>
      </c>
    </row>
    <row r="30" spans="11:20" x14ac:dyDescent="0.25">
      <c r="K30">
        <f>chloroform!E35</f>
        <v>59</v>
      </c>
      <c r="L30">
        <f>Table3[[#This Row],[weight]]*(0.9155*Table2[[#This Row],[J1,2]]-A$9)^2</f>
        <v>6.9768872764060472E-5</v>
      </c>
      <c r="M30">
        <f>Table3[[#This Row],[weight]]*(0.9155*Table2[[#This Row],[J2,3]]-B$9)^2</f>
        <v>1.594909176001903E-5</v>
      </c>
      <c r="N30">
        <f>Table3[[#This Row],[weight]]*(0.9155*Table2[[#This Row],[J34]]-C$9)^2</f>
        <v>1.2979651779144511E-4</v>
      </c>
      <c r="O30">
        <f>Table3[[#This Row],[weight]]*(0.9155*Table2[[#This Row],[J45]]-D$9)^2</f>
        <v>5.2862144189178145E-3</v>
      </c>
      <c r="P30">
        <f>Table3[[#This Row],[weight]]*(0.9155*Table2[[#This Row],[J56]]-E$9)^2</f>
        <v>1.0885997100650905E-3</v>
      </c>
      <c r="Q30">
        <f>Table3[[#This Row],[weight]]*(0.9155*Table2[[#This Row],[J67]]-F$9)^2</f>
        <v>1.8187323387461622E-4</v>
      </c>
      <c r="R30">
        <f>Table3[[#This Row],[weight]]*(0.9155*Table2[[#This Row],[J67'']]-G$9)^2</f>
        <v>1.2307470585285018E-3</v>
      </c>
      <c r="S30">
        <f>chloroform!J35</f>
        <v>5.9510202012591562E-5</v>
      </c>
      <c r="T30" t="str">
        <f>chloroform!F35</f>
        <v>45TH</v>
      </c>
    </row>
    <row r="31" spans="11:20" x14ac:dyDescent="0.25">
      <c r="K31">
        <f>chloroform!E36</f>
        <v>72</v>
      </c>
      <c r="L31">
        <f>Table3[[#This Row],[weight]]*(0.9155*Table2[[#This Row],[J1,2]]-A$9)^2</f>
        <v>1.7815619519265934E-3</v>
      </c>
      <c r="M31">
        <f>Table3[[#This Row],[weight]]*(0.9155*Table2[[#This Row],[J2,3]]-B$9)^2</f>
        <v>7.1850236417687494E-2</v>
      </c>
      <c r="N31">
        <f>Table3[[#This Row],[weight]]*(0.9155*Table2[[#This Row],[J34]]-C$9)^2</f>
        <v>3.3068028954646181E-2</v>
      </c>
      <c r="O31">
        <f>Table3[[#This Row],[weight]]*(0.9155*Table2[[#This Row],[J45]]-D$9)^2</f>
        <v>0.28718030935950339</v>
      </c>
      <c r="P31">
        <f>Table3[[#This Row],[weight]]*(0.9155*Table2[[#This Row],[J56]]-E$9)^2</f>
        <v>7.8199568094069801E-3</v>
      </c>
      <c r="Q31">
        <f>Table3[[#This Row],[weight]]*(0.9155*Table2[[#This Row],[J67]]-F$9)^2</f>
        <v>8.0832973432310884E-2</v>
      </c>
      <c r="R31">
        <f>Table3[[#This Row],[weight]]*(0.9155*Table2[[#This Row],[J67'']]-G$9)^2</f>
        <v>4.8670418554199832E-2</v>
      </c>
      <c r="S31">
        <f>chloroform!J36</f>
        <v>2.8128776764733254E-3</v>
      </c>
      <c r="T31" t="str">
        <f>chloroform!F36</f>
        <v>4H6</v>
      </c>
    </row>
    <row r="32" spans="11:20" x14ac:dyDescent="0.25">
      <c r="K32">
        <f>chloroform!E37</f>
        <v>73</v>
      </c>
      <c r="L32">
        <f>Table3[[#This Row],[weight]]*(0.9155*Table2[[#This Row],[J1,2]]-A$9)^2</f>
        <v>1.9443541924043364E-2</v>
      </c>
      <c r="M32">
        <f>Table3[[#This Row],[weight]]*(0.9155*Table2[[#This Row],[J2,3]]-B$9)^2</f>
        <v>1.449712279947103E-3</v>
      </c>
      <c r="N32">
        <f>Table3[[#This Row],[weight]]*(0.9155*Table2[[#This Row],[J34]]-C$9)^2</f>
        <v>3.2256484446345372E-2</v>
      </c>
      <c r="O32">
        <f>Table3[[#This Row],[weight]]*(0.9155*Table2[[#This Row],[J45]]-D$9)^2</f>
        <v>3.8272767660892126E-3</v>
      </c>
      <c r="P32">
        <f>Table3[[#This Row],[weight]]*(0.9155*Table2[[#This Row],[J56]]-E$9)^2</f>
        <v>3.4940275372729898E-3</v>
      </c>
      <c r="Q32">
        <f>Table3[[#This Row],[weight]]*(0.9155*Table2[[#This Row],[J67]]-F$9)^2</f>
        <v>3.0859004808292994E-2</v>
      </c>
      <c r="R32">
        <f>Table3[[#This Row],[weight]]*(0.9155*Table2[[#This Row],[J67'']]-G$9)^2</f>
        <v>0.38454411909246794</v>
      </c>
      <c r="S32">
        <f>chloroform!J37</f>
        <v>4.3448357369723078E-2</v>
      </c>
      <c r="T32" t="str">
        <f>chloroform!F37</f>
        <v>5C12</v>
      </c>
    </row>
    <row r="33" spans="11:20" x14ac:dyDescent="0.25">
      <c r="K33">
        <f>chloroform!E38</f>
        <v>76</v>
      </c>
      <c r="L33">
        <f>Table3[[#This Row],[weight]]*(0.9155*Table2[[#This Row],[J1,2]]-A$9)^2</f>
        <v>1.1707797417459602E-4</v>
      </c>
      <c r="M33">
        <f>Table3[[#This Row],[weight]]*(0.9155*Table2[[#This Row],[J2,3]]-B$9)^2</f>
        <v>2.401258827475091E-5</v>
      </c>
      <c r="N33">
        <f>Table3[[#This Row],[weight]]*(0.9155*Table2[[#This Row],[J34]]-C$9)^2</f>
        <v>2.3968964773282179E-4</v>
      </c>
      <c r="O33">
        <f>Table3[[#This Row],[weight]]*(0.9155*Table2[[#This Row],[J45]]-D$9)^2</f>
        <v>7.6398857551004369E-3</v>
      </c>
      <c r="P33">
        <f>Table3[[#This Row],[weight]]*(0.9155*Table2[[#This Row],[J56]]-E$9)^2</f>
        <v>1.7018789513666473E-3</v>
      </c>
      <c r="Q33">
        <f>Table3[[#This Row],[weight]]*(0.9155*Table2[[#This Row],[J67]]-F$9)^2</f>
        <v>1.1212679373703133E-4</v>
      </c>
      <c r="R33">
        <f>Table3[[#This Row],[weight]]*(0.9155*Table2[[#This Row],[J67'']]-G$9)^2</f>
        <v>2.7651403843013686E-3</v>
      </c>
      <c r="S33">
        <f>chloroform!J38</f>
        <v>8.6510407005682056E-5</v>
      </c>
      <c r="T33" t="str">
        <f>chloroform!F38</f>
        <v>TH45</v>
      </c>
    </row>
    <row r="34" spans="11:20" x14ac:dyDescent="0.25">
      <c r="K34">
        <f>chloroform!E39</f>
        <v>78</v>
      </c>
      <c r="L34">
        <f>Table3[[#This Row],[weight]]*(0.9155*Table2[[#This Row],[J1,2]]-A$9)^2</f>
        <v>2.800023551946782E-4</v>
      </c>
      <c r="M34">
        <f>Table3[[#This Row],[weight]]*(0.9155*Table2[[#This Row],[J2,3]]-B$9)^2</f>
        <v>0.75060705447283194</v>
      </c>
      <c r="N34">
        <f>Table3[[#This Row],[weight]]*(0.9155*Table2[[#This Row],[J34]]-C$9)^2</f>
        <v>1.0494118526837206</v>
      </c>
      <c r="O34">
        <f>Table3[[#This Row],[weight]]*(0.9155*Table2[[#This Row],[J45]]-D$9)^2</f>
        <v>0.44857645827566689</v>
      </c>
      <c r="P34">
        <f>Table3[[#This Row],[weight]]*(0.9155*Table2[[#This Row],[J56]]-E$9)^2</f>
        <v>4.9534468432467825E-3</v>
      </c>
      <c r="Q34">
        <f>Table3[[#This Row],[weight]]*(0.9155*Table2[[#This Row],[J67]]-F$9)^2</f>
        <v>1.047202769555592E-2</v>
      </c>
      <c r="R34">
        <f>Table3[[#This Row],[weight]]*(0.9155*Table2[[#This Row],[J67'']]-G$9)^2</f>
        <v>0.90375837947793469</v>
      </c>
      <c r="S34">
        <f>chloroform!J39</f>
        <v>2.3475109694907081E-2</v>
      </c>
      <c r="T34" t="str">
        <f>chloroform!F39</f>
        <v>45TH</v>
      </c>
    </row>
    <row r="35" spans="11:20" x14ac:dyDescent="0.25">
      <c r="K35">
        <f>chloroform!E40</f>
        <v>86</v>
      </c>
      <c r="L35">
        <f>Table3[[#This Row],[weight]]*(0.9155*Table2[[#This Row],[J1,2]]-A$9)^2</f>
        <v>3.149668785943569E-8</v>
      </c>
      <c r="M35">
        <f>Table3[[#This Row],[weight]]*(0.9155*Table2[[#This Row],[J2,3]]-B$9)^2</f>
        <v>2.1852910496391103E-3</v>
      </c>
      <c r="N35">
        <f>Table3[[#This Row],[weight]]*(0.9155*Table2[[#This Row],[J34]]-C$9)^2</f>
        <v>3.0047532915828891E-3</v>
      </c>
      <c r="O35">
        <f>Table3[[#This Row],[weight]]*(0.9155*Table2[[#This Row],[J45]]-D$9)^2</f>
        <v>3.4770463584293523E-3</v>
      </c>
      <c r="P35">
        <f>Table3[[#This Row],[weight]]*(0.9155*Table2[[#This Row],[J56]]-E$9)^2</f>
        <v>4.0029144196827718E-3</v>
      </c>
      <c r="Q35">
        <f>Table3[[#This Row],[weight]]*(0.9155*Table2[[#This Row],[J67]]-F$9)^2</f>
        <v>8.3873643855855041E-3</v>
      </c>
      <c r="R35">
        <f>Table3[[#This Row],[weight]]*(0.9155*Table2[[#This Row],[J67'']]-G$9)^2</f>
        <v>1.2818986441200325E-5</v>
      </c>
      <c r="S35">
        <f>chloroform!J40</f>
        <v>9.1245607550754346E-5</v>
      </c>
      <c r="T35" t="str">
        <f>chloroform!F40</f>
        <v>12C5</v>
      </c>
    </row>
    <row r="36" spans="11:20" x14ac:dyDescent="0.25">
      <c r="K36">
        <f>chloroform!E41</f>
        <v>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>
        <f>chloroform!E42</f>
        <v>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>
        <f>chloroform!E43</f>
        <v>103</v>
      </c>
      <c r="L38">
        <f>Table3[[#This Row],[weight]]*(0.9155*Table2[[#This Row],[J1,2]]-A$9)^2</f>
        <v>2.2849796265068736E-2</v>
      </c>
      <c r="M38">
        <f>Table3[[#This Row],[weight]]*(0.9155*Table2[[#This Row],[J2,3]]-B$9)^2</f>
        <v>1.8789593343185955E-3</v>
      </c>
      <c r="N38">
        <f>Table3[[#This Row],[weight]]*(0.9155*Table2[[#This Row],[J34]]-C$9)^2</f>
        <v>3.7948661176777053E-2</v>
      </c>
      <c r="O38">
        <f>Table3[[#This Row],[weight]]*(0.9155*Table2[[#This Row],[J45]]-D$9)^2</f>
        <v>4.3134628456306797E-3</v>
      </c>
      <c r="P38">
        <f>Table3[[#This Row],[weight]]*(0.9155*Table2[[#This Row],[J56]]-E$9)^2</f>
        <v>7.3751830114675418E-3</v>
      </c>
      <c r="Q38">
        <f>Table3[[#This Row],[weight]]*(0.9155*Table2[[#This Row],[J67]]-F$9)^2</f>
        <v>5.5708341413047788E-3</v>
      </c>
      <c r="R38">
        <f>Table3[[#This Row],[weight]]*(0.9155*Table2[[#This Row],[J67'']]-G$9)^2</f>
        <v>0.73799982919595686</v>
      </c>
      <c r="S38">
        <f>chloroform!J43</f>
        <v>2.4341814562238901E-2</v>
      </c>
      <c r="T38" t="str">
        <f>chloroform!F43</f>
        <v>5C12</v>
      </c>
    </row>
    <row r="39" spans="11:20" x14ac:dyDescent="0.25">
      <c r="K39">
        <f>chloroform!E44</f>
        <v>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>
        <f>chloroform!E45</f>
        <v>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>
        <f>chloroform!E46</f>
        <v>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109</v>
      </c>
      <c r="L42">
        <f>Table3[[#This Row],[weight]]*(0.9155*Table2[[#This Row],[J1,2]]-A$9)^2</f>
        <v>4.1474457428481543E-4</v>
      </c>
      <c r="M42">
        <f>Table3[[#This Row],[weight]]*(0.9155*Table2[[#This Row],[J2,3]]-B$9)^2</f>
        <v>0.40778268609318363</v>
      </c>
      <c r="N42">
        <f>Table3[[#This Row],[weight]]*(0.9155*Table2[[#This Row],[J34]]-C$9)^2</f>
        <v>0.43907999464923392</v>
      </c>
      <c r="O42">
        <f>Table3[[#This Row],[weight]]*(0.9155*Table2[[#This Row],[J45]]-D$9)^2</f>
        <v>0.21174564795150924</v>
      </c>
      <c r="P42">
        <f>Table3[[#This Row],[weight]]*(0.9155*Table2[[#This Row],[J56]]-E$9)^2</f>
        <v>1.1305265095442906E-3</v>
      </c>
      <c r="Q42">
        <f>Table3[[#This Row],[weight]]*(0.9155*Table2[[#This Row],[J67]]-F$9)^2</f>
        <v>1.7598919144237886E-4</v>
      </c>
      <c r="R42">
        <f>Table3[[#This Row],[weight]]*(0.9155*Table2[[#This Row],[J67'']]-G$9)^2</f>
        <v>0.40442485522988175</v>
      </c>
      <c r="S42">
        <f>chloroform!J47</f>
        <v>1.0480173242917196E-2</v>
      </c>
      <c r="T42" t="str">
        <f>chloroform!F47</f>
        <v>45TH</v>
      </c>
    </row>
    <row r="43" spans="11:20" x14ac:dyDescent="0.25">
      <c r="K43">
        <f>chloroform!E48</f>
        <v>123</v>
      </c>
      <c r="L43">
        <f>Table3[[#This Row],[weight]]*(0.9155*Table2[[#This Row],[J1,2]]-A$9)^2</f>
        <v>1.2317736328410162E-3</v>
      </c>
      <c r="M43">
        <f>Table3[[#This Row],[weight]]*(0.9155*Table2[[#This Row],[J2,3]]-B$9)^2</f>
        <v>4.6908113144609688E-5</v>
      </c>
      <c r="N43">
        <f>Table3[[#This Row],[weight]]*(0.9155*Table2[[#This Row],[J34]]-C$9)^2</f>
        <v>1.1316273676418625E-3</v>
      </c>
      <c r="O43">
        <f>Table3[[#This Row],[weight]]*(0.9155*Table2[[#This Row],[J45]]-D$9)^2</f>
        <v>1.9157423117885063E-4</v>
      </c>
      <c r="P43">
        <f>Table3[[#This Row],[weight]]*(0.9155*Table2[[#This Row],[J56]]-E$9)^2</f>
        <v>4.7844168911110035E-6</v>
      </c>
      <c r="Q43">
        <f>Table3[[#This Row],[weight]]*(0.9155*Table2[[#This Row],[J67]]-F$9)^2</f>
        <v>2.6113499883987455E-3</v>
      </c>
      <c r="R43">
        <f>Table3[[#This Row],[weight]]*(0.9155*Table2[[#This Row],[J67'']]-G$9)^2</f>
        <v>3.6070413840413027E-3</v>
      </c>
      <c r="S43">
        <f>chloroform!J48</f>
        <v>1.0355624200105362E-3</v>
      </c>
      <c r="T43" t="str">
        <f>chloroform!F48</f>
        <v>5C12</v>
      </c>
    </row>
    <row r="44" spans="11:20" x14ac:dyDescent="0.25">
      <c r="K44">
        <f>chloroform!E49</f>
        <v>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>
        <f>chloroform!E50</f>
        <v>128</v>
      </c>
      <c r="L45">
        <f>Table3[[#This Row],[weight]]*(0.9155*Table2[[#This Row],[J1,2]]-A$9)^2</f>
        <v>1.6819492080311203E-6</v>
      </c>
      <c r="M45">
        <f>Table3[[#This Row],[weight]]*(0.9155*Table2[[#This Row],[J2,3]]-B$9)^2</f>
        <v>9.2578176678770278E-3</v>
      </c>
      <c r="N45">
        <f>Table3[[#This Row],[weight]]*(0.9155*Table2[[#This Row],[J34]]-C$9)^2</f>
        <v>1.3190497217515033E-2</v>
      </c>
      <c r="O45">
        <f>Table3[[#This Row],[weight]]*(0.9155*Table2[[#This Row],[J45]]-D$9)^2</f>
        <v>1.4814379460042265E-2</v>
      </c>
      <c r="P45">
        <f>Table3[[#This Row],[weight]]*(0.9155*Table2[[#This Row],[J56]]-E$9)^2</f>
        <v>1.6354432300391162E-2</v>
      </c>
      <c r="Q45">
        <f>Table3[[#This Row],[weight]]*(0.9155*Table2[[#This Row],[J67]]-F$9)^2</f>
        <v>6.5215628309820827E-4</v>
      </c>
      <c r="R45">
        <f>Table3[[#This Row],[weight]]*(0.9155*Table2[[#This Row],[J67'']]-G$9)^2</f>
        <v>1.0054040782334683E-2</v>
      </c>
      <c r="S45">
        <f>chloroform!J50</f>
        <v>3.8396480201243605E-4</v>
      </c>
      <c r="T45" t="str">
        <f>chloroform!F50</f>
        <v>12C5</v>
      </c>
    </row>
    <row r="46" spans="11:20" x14ac:dyDescent="0.25">
      <c r="K46">
        <f>chloroform!E51</f>
        <v>135</v>
      </c>
      <c r="L46">
        <f>Table3[[#This Row],[weight]]*(0.9155*Table2[[#This Row],[J1,2]]-A$9)^2</f>
        <v>5.0351598467398189E-3</v>
      </c>
      <c r="M46">
        <f>Table3[[#This Row],[weight]]*(0.9155*Table2[[#This Row],[J2,3]]-B$9)^2</f>
        <v>1.8487024982812933E-2</v>
      </c>
      <c r="N46">
        <f>Table3[[#This Row],[weight]]*(0.9155*Table2[[#This Row],[J34]]-C$9)^2</f>
        <v>4.867367460105518E-3</v>
      </c>
      <c r="O46">
        <f>Table3[[#This Row],[weight]]*(0.9155*Table2[[#This Row],[J45]]-D$9)^2</f>
        <v>9.1353263220208592E-4</v>
      </c>
      <c r="P46">
        <f>Table3[[#This Row],[weight]]*(0.9155*Table2[[#This Row],[J56]]-E$9)^2</f>
        <v>1.1253655188842077E-2</v>
      </c>
      <c r="Q46">
        <f>Table3[[#This Row],[weight]]*(0.9155*Table2[[#This Row],[J67]]-F$9)^2</f>
        <v>8.7995317897812328E-3</v>
      </c>
      <c r="R46">
        <f>Table3[[#This Row],[weight]]*(0.9155*Table2[[#This Row],[J67'']]-G$9)^2</f>
        <v>7.2264416436535292E-2</v>
      </c>
      <c r="S46">
        <f>chloroform!J51</f>
        <v>3.3642829479174261E-3</v>
      </c>
      <c r="T46" t="str">
        <f>chloroform!F51</f>
        <v>56TH</v>
      </c>
    </row>
    <row r="47" spans="11:20" x14ac:dyDescent="0.25">
      <c r="K47">
        <f>chloroform!E52</f>
        <v>136</v>
      </c>
      <c r="L47">
        <f>Table3[[#This Row],[weight]]*(0.9155*Table2[[#This Row],[J1,2]]-A$9)^2</f>
        <v>1.1831189632037031E-4</v>
      </c>
      <c r="M47">
        <f>Table3[[#This Row],[weight]]*(0.9155*Table2[[#This Row],[J2,3]]-B$9)^2</f>
        <v>2.2675662600092597E-5</v>
      </c>
      <c r="N47">
        <f>Table3[[#This Row],[weight]]*(0.9155*Table2[[#This Row],[J34]]-C$9)^2</f>
        <v>1.6065449522098871E-4</v>
      </c>
      <c r="O47">
        <f>Table3[[#This Row],[weight]]*(0.9155*Table2[[#This Row],[J45]]-D$9)^2</f>
        <v>6.5279107393594109E-5</v>
      </c>
      <c r="P47">
        <f>Table3[[#This Row],[weight]]*(0.9155*Table2[[#This Row],[J56]]-E$9)^2</f>
        <v>3.7074699726201817E-4</v>
      </c>
      <c r="Q47">
        <f>Table3[[#This Row],[weight]]*(0.9155*Table2[[#This Row],[J67]]-F$9)^2</f>
        <v>1.5638052985313746E-4</v>
      </c>
      <c r="R47">
        <f>Table3[[#This Row],[weight]]*(0.9155*Table2[[#This Row],[J67'']]-G$9)^2</f>
        <v>3.5529166842006188E-2</v>
      </c>
      <c r="S47">
        <f>chloroform!J52</f>
        <v>1.0909790359274407E-3</v>
      </c>
      <c r="T47" t="str">
        <f>chloroform!F52</f>
        <v>5C12</v>
      </c>
    </row>
    <row r="48" spans="11:20" x14ac:dyDescent="0.25">
      <c r="K48">
        <f>chloroform!E53</f>
        <v>142</v>
      </c>
      <c r="L48">
        <f>Table3[[#This Row],[weight]]*(0.9155*Table2[[#This Row],[J1,2]]-A$9)^2</f>
        <v>3.9418421239782444E-3</v>
      </c>
      <c r="M48">
        <f>Table3[[#This Row],[weight]]*(0.9155*Table2[[#This Row],[J2,3]]-B$9)^2</f>
        <v>1.0205605921240479E-3</v>
      </c>
      <c r="N48">
        <f>Table3[[#This Row],[weight]]*(0.9155*Table2[[#This Row],[J34]]-C$9)^2</f>
        <v>1.1429728105674572E-2</v>
      </c>
      <c r="O48">
        <f>Table3[[#This Row],[weight]]*(0.9155*Table2[[#This Row],[J45]]-D$9)^2</f>
        <v>2.3287337450428525E-4</v>
      </c>
      <c r="P48">
        <f>Table3[[#This Row],[weight]]*(0.9155*Table2[[#This Row],[J56]]-E$9)^2</f>
        <v>1.1437382900879123E-3</v>
      </c>
      <c r="Q48">
        <f>Table3[[#This Row],[weight]]*(0.9155*Table2[[#This Row],[J67]]-F$9)^2</f>
        <v>0.33834917116132662</v>
      </c>
      <c r="R48">
        <f>Table3[[#This Row],[weight]]*(0.9155*Table2[[#This Row],[J67'']]-G$9)^2</f>
        <v>4.6985668100486044E-2</v>
      </c>
      <c r="S48">
        <f>chloroform!J53</f>
        <v>6.8221098406788241E-3</v>
      </c>
      <c r="T48" t="str">
        <f>chloroform!F53</f>
        <v>5C12</v>
      </c>
    </row>
    <row r="49" spans="11:20" x14ac:dyDescent="0.25">
      <c r="K49">
        <f>chloroform!E54</f>
        <v>143</v>
      </c>
      <c r="L49">
        <f>Table3[[#This Row],[weight]]*(0.9155*Table2[[#This Row],[J1,2]]-A$9)^2</f>
        <v>8.8674263416659641E-6</v>
      </c>
      <c r="M49">
        <f>Table3[[#This Row],[weight]]*(0.9155*Table2[[#This Row],[J2,3]]-B$9)^2</f>
        <v>3.6678940590720486E-3</v>
      </c>
      <c r="N49">
        <f>Table3[[#This Row],[weight]]*(0.9155*Table2[[#This Row],[J34]]-C$9)^2</f>
        <v>6.7140461380883103E-3</v>
      </c>
      <c r="O49">
        <f>Table3[[#This Row],[weight]]*(0.9155*Table2[[#This Row],[J45]]-D$9)^2</f>
        <v>1.1433344462808201E-4</v>
      </c>
      <c r="P49">
        <f>Table3[[#This Row],[weight]]*(0.9155*Table2[[#This Row],[J56]]-E$9)^2</f>
        <v>3.3843785827272662E-4</v>
      </c>
      <c r="Q49">
        <f>Table3[[#This Row],[weight]]*(0.9155*Table2[[#This Row],[J67]]-F$9)^2</f>
        <v>5.4073299844484349E-3</v>
      </c>
      <c r="R49">
        <f>Table3[[#This Row],[weight]]*(0.9155*Table2[[#This Row],[J67'']]-G$9)^2</f>
        <v>9.4259443458345109E-4</v>
      </c>
      <c r="S49">
        <f>chloroform!J54</f>
        <v>1.0481661180679757E-4</v>
      </c>
      <c r="T49" t="str">
        <f>chloroform!F54</f>
        <v>45TH</v>
      </c>
    </row>
    <row r="50" spans="11:20" x14ac:dyDescent="0.25">
      <c r="K50">
        <f>chloroform!E55</f>
        <v>144</v>
      </c>
      <c r="L50">
        <f>Table3[[#This Row],[weight]]*(0.9155*Table2[[#This Row],[J1,2]]-A$9)^2</f>
        <v>4.0675175835782096E-6</v>
      </c>
      <c r="M50">
        <f>Table3[[#This Row],[weight]]*(0.9155*Table2[[#This Row],[J2,3]]-B$9)^2</f>
        <v>1.9195184825195803E-3</v>
      </c>
      <c r="N50">
        <f>Table3[[#This Row],[weight]]*(0.9155*Table2[[#This Row],[J34]]-C$9)^2</f>
        <v>3.8262276797205274E-3</v>
      </c>
      <c r="O50">
        <f>Table3[[#This Row],[weight]]*(0.9155*Table2[[#This Row],[J45]]-D$9)^2</f>
        <v>3.8213113281115323E-3</v>
      </c>
      <c r="P50">
        <f>Table3[[#This Row],[weight]]*(0.9155*Table2[[#This Row],[J56]]-E$9)^2</f>
        <v>4.1089063273727399E-3</v>
      </c>
      <c r="Q50">
        <f>Table3[[#This Row],[weight]]*(0.9155*Table2[[#This Row],[J67]]-F$9)^2</f>
        <v>9.280782542174338E-3</v>
      </c>
      <c r="R50">
        <f>Table3[[#This Row],[weight]]*(0.9155*Table2[[#This Row],[J67'']]-G$9)^2</f>
        <v>4.6239016627547266E-7</v>
      </c>
      <c r="S50">
        <f>chloroform!J55</f>
        <v>9.9628718875851752E-5</v>
      </c>
      <c r="T50" t="str">
        <f>chloroform!F55</f>
        <v>12C5</v>
      </c>
    </row>
    <row r="51" spans="11:20" x14ac:dyDescent="0.25">
      <c r="K51">
        <f>chloroform!E56</f>
        <v>145</v>
      </c>
      <c r="L51">
        <f>Table3[[#This Row],[weight]]*(0.9155*Table2[[#This Row],[J1,2]]-A$9)^2</f>
        <v>2.2073851819018432E-5</v>
      </c>
      <c r="M51">
        <f>Table3[[#This Row],[weight]]*(0.9155*Table2[[#This Row],[J2,3]]-B$9)^2</f>
        <v>5.449609931912517E-3</v>
      </c>
      <c r="N51">
        <f>Table3[[#This Row],[weight]]*(0.9155*Table2[[#This Row],[J34]]-C$9)^2</f>
        <v>9.3696664683160409E-3</v>
      </c>
      <c r="O51">
        <f>Table3[[#This Row],[weight]]*(0.9155*Table2[[#This Row],[J45]]-D$9)^2</f>
        <v>9.4927834378870837E-3</v>
      </c>
      <c r="P51">
        <f>Table3[[#This Row],[weight]]*(0.9155*Table2[[#This Row],[J56]]-E$9)^2</f>
        <v>1.2237933439425039E-2</v>
      </c>
      <c r="Q51">
        <f>Table3[[#This Row],[weight]]*(0.9155*Table2[[#This Row],[J67]]-F$9)^2</f>
        <v>2.6709852490845131E-2</v>
      </c>
      <c r="R51">
        <f>Table3[[#This Row],[weight]]*(0.9155*Table2[[#This Row],[J67'']]-G$9)^2</f>
        <v>1.3723931783565113E-5</v>
      </c>
      <c r="S51">
        <f>chloroform!J56</f>
        <v>2.7635755668103923E-4</v>
      </c>
      <c r="T51" t="str">
        <f>chloroform!F56</f>
        <v>5C12</v>
      </c>
    </row>
    <row r="52" spans="11:20" x14ac:dyDescent="0.25">
      <c r="K52">
        <f>chloroform!E57</f>
        <v>166</v>
      </c>
      <c r="L52">
        <f>Table3[[#This Row],[weight]]*(0.9155*Table2[[#This Row],[J1,2]]-A$9)^2</f>
        <v>4.3012745650412789E-4</v>
      </c>
      <c r="M52">
        <f>Table3[[#This Row],[weight]]*(0.9155*Table2[[#This Row],[J2,3]]-B$9)^2</f>
        <v>1.7576548007383657E-4</v>
      </c>
      <c r="N52">
        <f>Table3[[#This Row],[weight]]*(0.9155*Table2[[#This Row],[J34]]-C$9)^2</f>
        <v>1.2600232528185164E-3</v>
      </c>
      <c r="O52">
        <f>Table3[[#This Row],[weight]]*(0.9155*Table2[[#This Row],[J45]]-D$9)^2</f>
        <v>2.8607923877571064E-4</v>
      </c>
      <c r="P52">
        <f>Table3[[#This Row],[weight]]*(0.9155*Table2[[#This Row],[J56]]-E$9)^2</f>
        <v>1.7244036510216277E-3</v>
      </c>
      <c r="Q52">
        <f>Table3[[#This Row],[weight]]*(0.9155*Table2[[#This Row],[J67]]-F$9)^2</f>
        <v>5.3565800280021118E-4</v>
      </c>
      <c r="R52">
        <f>Table3[[#This Row],[weight]]*(0.9155*Table2[[#This Row],[J67'']]-G$9)^2</f>
        <v>5.9390747338852801E-2</v>
      </c>
      <c r="S52">
        <f>chloroform!J57</f>
        <v>1.4559203751675592E-3</v>
      </c>
      <c r="T52" t="str">
        <f>chloroform!F57</f>
        <v>5C12</v>
      </c>
    </row>
    <row r="53" spans="11:20" x14ac:dyDescent="0.25">
      <c r="K53">
        <f>chloroform!E58</f>
        <v>173</v>
      </c>
      <c r="L53">
        <f>Table3[[#This Row],[weight]]*(0.9155*Table2[[#This Row],[J1,2]]-A$9)^2</f>
        <v>9.9715346270872602E-6</v>
      </c>
      <c r="M53">
        <f>Table3[[#This Row],[weight]]*(0.9155*Table2[[#This Row],[J2,3]]-B$9)^2</f>
        <v>6.1737333246320225E-3</v>
      </c>
      <c r="N53">
        <f>Table3[[#This Row],[weight]]*(0.9155*Table2[[#This Row],[J34]]-C$9)^2</f>
        <v>1.1517295256156272E-2</v>
      </c>
      <c r="O53">
        <f>Table3[[#This Row],[weight]]*(0.9155*Table2[[#This Row],[J45]]-D$9)^2</f>
        <v>1.0710668894627158E-2</v>
      </c>
      <c r="P53">
        <f>Table3[[#This Row],[weight]]*(0.9155*Table2[[#This Row],[J56]]-E$9)^2</f>
        <v>1.1852529807348567E-2</v>
      </c>
      <c r="Q53">
        <f>Table3[[#This Row],[weight]]*(0.9155*Table2[[#This Row],[J67]]-F$9)^2</f>
        <v>6.7594903037938338E-4</v>
      </c>
      <c r="R53">
        <f>Table3[[#This Row],[weight]]*(0.9155*Table2[[#This Row],[J67'']]-G$9)^2</f>
        <v>9.7072831341130702E-3</v>
      </c>
      <c r="S53">
        <f>chloroform!J58</f>
        <v>3.0747526469437659E-4</v>
      </c>
      <c r="T53" t="str">
        <f>chloroform!F58</f>
        <v>12C5</v>
      </c>
    </row>
    <row r="54" spans="11:20" x14ac:dyDescent="0.25">
      <c r="K54">
        <f>chloroform!E59</f>
        <v>191</v>
      </c>
      <c r="L54">
        <f>Table3[[#This Row],[weight]]*(0.9155*Table2[[#This Row],[J1,2]]-A$9)^2</f>
        <v>1.4700043714055017E-7</v>
      </c>
      <c r="M54">
        <f>Table3[[#This Row],[weight]]*(0.9155*Table2[[#This Row],[J2,3]]-B$9)^2</f>
        <v>2.1465732262201873E-3</v>
      </c>
      <c r="N54">
        <f>Table3[[#This Row],[weight]]*(0.9155*Table2[[#This Row],[J34]]-C$9)^2</f>
        <v>2.9054169355030605E-3</v>
      </c>
      <c r="O54">
        <f>Table3[[#This Row],[weight]]*(0.9155*Table2[[#This Row],[J45]]-D$9)^2</f>
        <v>3.4521347028650872E-3</v>
      </c>
      <c r="P54">
        <f>Table3[[#This Row],[weight]]*(0.9155*Table2[[#This Row],[J56]]-E$9)^2</f>
        <v>3.9750175342566701E-3</v>
      </c>
      <c r="Q54">
        <f>Table3[[#This Row],[weight]]*(0.9155*Table2[[#This Row],[J67]]-F$9)^2</f>
        <v>8.3242854750108959E-3</v>
      </c>
      <c r="R54">
        <f>Table3[[#This Row],[weight]]*(0.9155*Table2[[#This Row],[J67'']]-G$9)^2</f>
        <v>9.8409706759317031E-6</v>
      </c>
      <c r="S54">
        <f>chloroform!J59</f>
        <v>8.9394687272523727E-5</v>
      </c>
      <c r="T54" t="str">
        <f>chloroform!F59</f>
        <v>12C5</v>
      </c>
    </row>
    <row r="55" spans="11:20" x14ac:dyDescent="0.25">
      <c r="K55">
        <f>chloroform!E60</f>
        <v>193</v>
      </c>
      <c r="L55">
        <f>Table3[[#This Row],[weight]]*(0.9155*Table2[[#This Row],[J1,2]]-A$9)^2</f>
        <v>5.0344863281795066E-5</v>
      </c>
      <c r="M55">
        <f>Table3[[#This Row],[weight]]*(0.9155*Table2[[#This Row],[J2,3]]-B$9)^2</f>
        <v>1.6976243373737463E-2</v>
      </c>
      <c r="N55">
        <f>Table3[[#This Row],[weight]]*(0.9155*Table2[[#This Row],[J34]]-C$9)^2</f>
        <v>3.4164348159944007E-2</v>
      </c>
      <c r="O55">
        <f>Table3[[#This Row],[weight]]*(0.9155*Table2[[#This Row],[J45]]-D$9)^2</f>
        <v>3.3021603085756739E-2</v>
      </c>
      <c r="P55">
        <f>Table3[[#This Row],[weight]]*(0.9155*Table2[[#This Row],[J56]]-E$9)^2</f>
        <v>3.6063036456141409E-2</v>
      </c>
      <c r="Q55">
        <f>Table3[[#This Row],[weight]]*(0.9155*Table2[[#This Row],[J67]]-F$9)^2</f>
        <v>1.5232873931135024E-3</v>
      </c>
      <c r="R55">
        <f>Table3[[#This Row],[weight]]*(0.9155*Table2[[#This Row],[J67'']]-G$9)^2</f>
        <v>2.4862174968738632E-2</v>
      </c>
      <c r="S55">
        <f>chloroform!J60</f>
        <v>9.1866401191648855E-4</v>
      </c>
      <c r="T55" t="str">
        <f>chloroform!F60</f>
        <v>12C5</v>
      </c>
    </row>
    <row r="56" spans="11:20" x14ac:dyDescent="0.25">
      <c r="K56">
        <f>chloroform!E61</f>
        <v>197</v>
      </c>
      <c r="L56">
        <f>Table3[[#This Row],[weight]]*(0.9155*Table2[[#This Row],[J1,2]]-A$9)^2</f>
        <v>0</v>
      </c>
      <c r="M56">
        <f>Table3[[#This Row],[weight]]*(0.9155*Table2[[#This Row],[J2,3]]-B$9)^2</f>
        <v>0</v>
      </c>
      <c r="N56">
        <f>Table3[[#This Row],[weight]]*(0.9155*Table2[[#This Row],[J34]]-C$9)^2</f>
        <v>0</v>
      </c>
      <c r="O56">
        <f>Table3[[#This Row],[weight]]*(0.9155*Table2[[#This Row],[J45]]-D$9)^2</f>
        <v>0</v>
      </c>
      <c r="P56">
        <f>Table3[[#This Row],[weight]]*(0.9155*Table2[[#This Row],[J56]]-E$9)^2</f>
        <v>0</v>
      </c>
      <c r="Q56">
        <f>Table3[[#This Row],[weight]]*(0.9155*Table2[[#This Row],[J67]]-F$9)^2</f>
        <v>0</v>
      </c>
      <c r="R56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>
        <f>chloroform!E62</f>
        <v>208</v>
      </c>
      <c r="L57">
        <f>Table3[[#This Row],[weight]]*(0.9155*Table2[[#This Row],[J1,2]]-A$9)^2</f>
        <v>7.5481062261433037E-6</v>
      </c>
      <c r="M57">
        <f>Table3[[#This Row],[weight]]*(0.9155*Table2[[#This Row],[J2,3]]-B$9)^2</f>
        <v>5.3909075525098039E-7</v>
      </c>
      <c r="N57">
        <f>Table3[[#This Row],[weight]]*(0.9155*Table2[[#This Row],[J34]]-C$9)^2</f>
        <v>6.1799760509120252E-7</v>
      </c>
      <c r="O57">
        <f>Table3[[#This Row],[weight]]*(0.9155*Table2[[#This Row],[J45]]-D$9)^2</f>
        <v>6.3088578418934924E-6</v>
      </c>
      <c r="P57">
        <f>Table3[[#This Row],[weight]]*(0.9155*Table2[[#This Row],[J56]]-E$9)^2</f>
        <v>2.3451406808671855E-5</v>
      </c>
      <c r="Q57">
        <f>Table3[[#This Row],[weight]]*(0.9155*Table2[[#This Row],[J67]]-F$9)^2</f>
        <v>3.8295138444456818E-5</v>
      </c>
      <c r="R57">
        <f>Table3[[#This Row],[weight]]*(0.9155*Table2[[#This Row],[J67'']]-G$9)^2</f>
        <v>1.1431633272278067E-3</v>
      </c>
      <c r="S57">
        <f>chloroform!J62</f>
        <v>3.6649916726386473E-5</v>
      </c>
      <c r="T57" t="str">
        <f>chloroform!F62</f>
        <v>5C12</v>
      </c>
    </row>
    <row r="58" spans="11:20" x14ac:dyDescent="0.25">
      <c r="K58">
        <f>chloroform!E63</f>
        <v>212</v>
      </c>
      <c r="L58">
        <f>Table3[[#This Row],[weight]]*(0.9155*Table2[[#This Row],[J1,2]]-A$9)^2</f>
        <v>2.4186484659283815E-6</v>
      </c>
      <c r="M58">
        <f>Table3[[#This Row],[weight]]*(0.9155*Table2[[#This Row],[J2,3]]-B$9)^2</f>
        <v>4.0034672756508469E-3</v>
      </c>
      <c r="N58">
        <f>Table3[[#This Row],[weight]]*(0.9155*Table2[[#This Row],[J34]]-C$9)^2</f>
        <v>8.775241796219909E-3</v>
      </c>
      <c r="O58">
        <f>Table3[[#This Row],[weight]]*(0.9155*Table2[[#This Row],[J45]]-D$9)^2</f>
        <v>7.9433595332141366E-3</v>
      </c>
      <c r="P58">
        <f>Table3[[#This Row],[weight]]*(0.9155*Table2[[#This Row],[J56]]-E$9)^2</f>
        <v>7.4785047433485949E-3</v>
      </c>
      <c r="Q58">
        <f>Table3[[#This Row],[weight]]*(0.9155*Table2[[#This Row],[J67]]-F$9)^2</f>
        <v>1.7424411657479002E-4</v>
      </c>
      <c r="R58">
        <f>Table3[[#This Row],[weight]]*(0.9155*Table2[[#This Row],[J67'']]-G$9)^2</f>
        <v>6.2171544838505975E-3</v>
      </c>
      <c r="S58">
        <f>chloroform!J63</f>
        <v>2.0479100043481447E-4</v>
      </c>
      <c r="T58" t="str">
        <f>chloroform!F63</f>
        <v>12C5</v>
      </c>
    </row>
    <row r="59" spans="11:20" x14ac:dyDescent="0.25">
      <c r="K59">
        <f>chloroform!E64</f>
        <v>215</v>
      </c>
      <c r="L59">
        <f>Table3[[#This Row],[weight]]*(0.9155*Table2[[#This Row],[J1,2]]-A$9)^2</f>
        <v>5.6091587152741421E-5</v>
      </c>
      <c r="M59">
        <f>Table3[[#This Row],[weight]]*(0.9155*Table2[[#This Row],[J2,3]]-B$9)^2</f>
        <v>2.4703405775363795E-2</v>
      </c>
      <c r="N59">
        <f>Table3[[#This Row],[weight]]*(0.9155*Table2[[#This Row],[J34]]-C$9)^2</f>
        <v>4.2095884065064294E-2</v>
      </c>
      <c r="O59">
        <f>Table3[[#This Row],[weight]]*(0.9155*Table2[[#This Row],[J45]]-D$9)^2</f>
        <v>4.2234855184116342E-2</v>
      </c>
      <c r="P59">
        <f>Table3[[#This Row],[weight]]*(0.9155*Table2[[#This Row],[J56]]-E$9)^2</f>
        <v>4.9171382428436307E-2</v>
      </c>
      <c r="Q59">
        <f>Table3[[#This Row],[weight]]*(0.9155*Table2[[#This Row],[J67]]-F$9)^2</f>
        <v>2.1625682905784508E-3</v>
      </c>
      <c r="R59">
        <f>Table3[[#This Row],[weight]]*(0.9155*Table2[[#This Row],[J67'']]-G$9)^2</f>
        <v>3.2646261625887636E-2</v>
      </c>
      <c r="S59">
        <f>chloroform!J64</f>
        <v>1.2045916108581406E-3</v>
      </c>
      <c r="T59" t="str">
        <f>chloroform!F64</f>
        <v>12C5</v>
      </c>
    </row>
    <row r="60" spans="11:20" x14ac:dyDescent="0.25">
      <c r="K60">
        <f>chloroform!E65</f>
        <v>219</v>
      </c>
      <c r="L60">
        <f>Table3[[#This Row],[weight]]*(0.9155*Table2[[#This Row],[J1,2]]-A$9)^2</f>
        <v>4.5662002974654368E-5</v>
      </c>
      <c r="M60">
        <f>Table3[[#This Row],[weight]]*(0.9155*Table2[[#This Row],[J2,3]]-B$9)^2</f>
        <v>1.0327105176337092E-3</v>
      </c>
      <c r="N60">
        <f>Table3[[#This Row],[weight]]*(0.9155*Table2[[#This Row],[J34]]-C$9)^2</f>
        <v>2.9531916463422336E-3</v>
      </c>
      <c r="O60">
        <f>Table3[[#This Row],[weight]]*(0.9155*Table2[[#This Row],[J45]]-D$9)^2</f>
        <v>1.6784753846135639E-3</v>
      </c>
      <c r="P60">
        <f>Table3[[#This Row],[weight]]*(0.9155*Table2[[#This Row],[J56]]-E$9)^2</f>
        <v>2.4283376346967873E-3</v>
      </c>
      <c r="Q60">
        <f>Table3[[#This Row],[weight]]*(0.9155*Table2[[#This Row],[J67]]-F$9)^2</f>
        <v>2.4102533812936079E-4</v>
      </c>
      <c r="R60">
        <f>Table3[[#This Row],[weight]]*(0.9155*Table2[[#This Row],[J67'']]-G$9)^2</f>
        <v>2.0609124963314272E-3</v>
      </c>
      <c r="S60">
        <f>chloroform!J65</f>
        <v>7.2359087420227486E-5</v>
      </c>
      <c r="T60" t="str">
        <f>chloroform!F65</f>
        <v>12C5</v>
      </c>
    </row>
    <row r="61" spans="11:20" x14ac:dyDescent="0.25">
      <c r="K61">
        <f>chloroform!E66</f>
        <v>220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>
        <f>chloroform!E67</f>
        <v>241</v>
      </c>
      <c r="L62">
        <f>Table3[[#This Row],[weight]]*(0.9155*Table2[[#This Row],[J1,2]]-A$9)^2</f>
        <v>7.152627754660059E-5</v>
      </c>
      <c r="M62">
        <f>Table3[[#This Row],[weight]]*(0.9155*Table2[[#This Row],[J2,3]]-B$9)^2</f>
        <v>1.7927510429431592E-2</v>
      </c>
      <c r="N62">
        <f>Table3[[#This Row],[weight]]*(0.9155*Table2[[#This Row],[J34]]-C$9)^2</f>
        <v>3.6666321351658017E-2</v>
      </c>
      <c r="O62">
        <f>Table3[[#This Row],[weight]]*(0.9155*Table2[[#This Row],[J45]]-D$9)^2</f>
        <v>3.4028219541907545E-2</v>
      </c>
      <c r="P62">
        <f>Table3[[#This Row],[weight]]*(0.9155*Table2[[#This Row],[J56]]-E$9)^2</f>
        <v>3.6991192149901195E-2</v>
      </c>
      <c r="Q62">
        <f>Table3[[#This Row],[weight]]*(0.9155*Table2[[#This Row],[J67]]-F$9)^2</f>
        <v>2.3019440507568187E-3</v>
      </c>
      <c r="R62">
        <f>Table3[[#This Row],[weight]]*(0.9155*Table2[[#This Row],[J67'']]-G$9)^2</f>
        <v>3.0671331829674488E-2</v>
      </c>
      <c r="S62">
        <f>chloroform!J67</f>
        <v>9.7595257771434173E-4</v>
      </c>
      <c r="T62" t="str">
        <f>chloroform!F67</f>
        <v>12C5</v>
      </c>
    </row>
    <row r="63" spans="11:20" x14ac:dyDescent="0.25">
      <c r="K63">
        <f>chloroform!E68</f>
        <v>272</v>
      </c>
      <c r="L63">
        <f>Table3[[#This Row],[weight]]*(0.9155*Table2[[#This Row],[J1,2]]-A$9)^2</f>
        <v>5.3006770691307555E-4</v>
      </c>
      <c r="M63">
        <f>Table3[[#This Row],[weight]]*(0.9155*Table2[[#This Row],[J2,3]]-B$9)^2</f>
        <v>5.0602398183004365E-5</v>
      </c>
      <c r="N63">
        <f>Table3[[#This Row],[weight]]*(0.9155*Table2[[#This Row],[J34]]-C$9)^2</f>
        <v>1.0573916904588782E-3</v>
      </c>
      <c r="O63">
        <f>Table3[[#This Row],[weight]]*(0.9155*Table2[[#This Row],[J45]]-D$9)^2</f>
        <v>1.7122556760399782E-4</v>
      </c>
      <c r="P63">
        <f>Table3[[#This Row],[weight]]*(0.9155*Table2[[#This Row],[J56]]-E$9)^2</f>
        <v>8.7715227077536526E-5</v>
      </c>
      <c r="Q63">
        <f>Table3[[#This Row],[weight]]*(0.9155*Table2[[#This Row],[J67]]-F$9)^2</f>
        <v>2.1867440668823733E-5</v>
      </c>
      <c r="R63">
        <f>Table3[[#This Row],[weight]]*(0.9155*Table2[[#This Row],[J67'']]-G$9)^2</f>
        <v>1.8124030796759431E-3</v>
      </c>
      <c r="S63">
        <f>chloroform!J68</f>
        <v>1.5479455021711209E-4</v>
      </c>
      <c r="T63" t="str">
        <f>chloroform!F68</f>
        <v>5C12</v>
      </c>
    </row>
    <row r="64" spans="11:20" x14ac:dyDescent="0.25">
      <c r="K64">
        <f>chloroform!E69</f>
        <v>276</v>
      </c>
      <c r="L64">
        <f>Table3[[#This Row],[weight]]*(0.9155*Table2[[#This Row],[J1,2]]-A$9)^2</f>
        <v>3.4386163162534365E-5</v>
      </c>
      <c r="M64">
        <f>Table3[[#This Row],[weight]]*(0.9155*Table2[[#This Row],[J2,3]]-B$9)^2</f>
        <v>9.5950038032969922E-4</v>
      </c>
      <c r="N64">
        <f>Table3[[#This Row],[weight]]*(0.9155*Table2[[#This Row],[J34]]-C$9)^2</f>
        <v>3.1790891075379084E-4</v>
      </c>
      <c r="O64">
        <f>Table3[[#This Row],[weight]]*(0.9155*Table2[[#This Row],[J45]]-D$9)^2</f>
        <v>3.4306094333260706E-3</v>
      </c>
      <c r="P64">
        <f>Table3[[#This Row],[weight]]*(0.9155*Table2[[#This Row],[J56]]-E$9)^2</f>
        <v>8.2241448760843665E-6</v>
      </c>
      <c r="Q64">
        <f>Table3[[#This Row],[weight]]*(0.9155*Table2[[#This Row],[J67]]-F$9)^2</f>
        <v>1.7627345979599177E-5</v>
      </c>
      <c r="R64">
        <f>Table3[[#This Row],[weight]]*(0.9155*Table2[[#This Row],[J67'']]-G$9)^2</f>
        <v>4.0726085905359822E-4</v>
      </c>
      <c r="S64">
        <f>chloroform!J69</f>
        <v>3.7837311696544603E-5</v>
      </c>
      <c r="T64" t="str">
        <f>chloroform!F69</f>
        <v>4H6</v>
      </c>
    </row>
    <row r="65" spans="11:20" x14ac:dyDescent="0.25">
      <c r="K65">
        <f>chloroform!E70</f>
        <v>278</v>
      </c>
      <c r="L65">
        <f>Table3[[#This Row],[weight]]*(0.9155*Table2[[#This Row],[J1,2]]-A$9)^2</f>
        <v>0</v>
      </c>
      <c r="M65">
        <f>Table3[[#This Row],[weight]]*(0.9155*Table2[[#This Row],[J2,3]]-B$9)^2</f>
        <v>0</v>
      </c>
      <c r="N65">
        <f>Table3[[#This Row],[weight]]*(0.9155*Table2[[#This Row],[J34]]-C$9)^2</f>
        <v>0</v>
      </c>
      <c r="O65">
        <f>Table3[[#This Row],[weight]]*(0.9155*Table2[[#This Row],[J45]]-D$9)^2</f>
        <v>0</v>
      </c>
      <c r="P65">
        <f>Table3[[#This Row],[weight]]*(0.9155*Table2[[#This Row],[J56]]-E$9)^2</f>
        <v>0</v>
      </c>
      <c r="Q65">
        <f>Table3[[#This Row],[weight]]*(0.9155*Table2[[#This Row],[J67]]-F$9)^2</f>
        <v>0</v>
      </c>
      <c r="R65">
        <f>Table3[[#This Row],[weight]]*(0.9155*Table2[[#This Row],[J67'']]-G$9)^2</f>
        <v>0</v>
      </c>
      <c r="S65">
        <f>chloroform!J70</f>
        <v>0</v>
      </c>
      <c r="T65" t="str">
        <f>chloroform!F70</f>
        <v>5C12</v>
      </c>
    </row>
    <row r="66" spans="11:20" x14ac:dyDescent="0.25">
      <c r="K66">
        <f>chloroform!E71</f>
        <v>283</v>
      </c>
      <c r="L66">
        <f>Table3[[#This Row],[weight]]*(0.9155*Table2[[#This Row],[J1,2]]-A$9)^2</f>
        <v>2.2187811784636519E-4</v>
      </c>
      <c r="M66">
        <f>Table3[[#This Row],[weight]]*(0.9155*Table2[[#This Row],[J2,3]]-B$9)^2</f>
        <v>9.332599042174216E-6</v>
      </c>
      <c r="N66">
        <f>Table3[[#This Row],[weight]]*(0.9155*Table2[[#This Row],[J34]]-C$9)^2</f>
        <v>1.519137945574127E-4</v>
      </c>
      <c r="O66">
        <f>Table3[[#This Row],[weight]]*(0.9155*Table2[[#This Row],[J45]]-D$9)^2</f>
        <v>1.0888123238494721E-4</v>
      </c>
      <c r="P66">
        <f>Table3[[#This Row],[weight]]*(0.9155*Table2[[#This Row],[J56]]-E$9)^2</f>
        <v>1.3620752894729707E-5</v>
      </c>
      <c r="Q66">
        <f>Table3[[#This Row],[weight]]*(0.9155*Table2[[#This Row],[J67]]-F$9)^2</f>
        <v>4.0856003333716133E-3</v>
      </c>
      <c r="R66">
        <f>Table3[[#This Row],[weight]]*(0.9155*Table2[[#This Row],[J67'']]-G$9)^2</f>
        <v>5.5103593583790615E-4</v>
      </c>
      <c r="S66">
        <f>chloroform!J71</f>
        <v>7.0462567453029177E-5</v>
      </c>
      <c r="T66" t="str">
        <f>chloroform!F71</f>
        <v>5C12</v>
      </c>
    </row>
    <row r="67" spans="11:20" x14ac:dyDescent="0.25">
      <c r="K67">
        <f>chloroform!E72</f>
        <v>290</v>
      </c>
      <c r="L67">
        <f>Table3[[#This Row],[weight]]*(0.9155*Table2[[#This Row],[J1,2]]-A$9)^2</f>
        <v>0</v>
      </c>
      <c r="M67">
        <f>Table3[[#This Row],[weight]]*(0.9155*Table2[[#This Row],[J2,3]]-B$9)^2</f>
        <v>0</v>
      </c>
      <c r="N67">
        <f>Table3[[#This Row],[weight]]*(0.9155*Table2[[#This Row],[J34]]-C$9)^2</f>
        <v>0</v>
      </c>
      <c r="O67">
        <f>Table3[[#This Row],[weight]]*(0.9155*Table2[[#This Row],[J45]]-D$9)^2</f>
        <v>0</v>
      </c>
      <c r="P67">
        <f>Table3[[#This Row],[weight]]*(0.9155*Table2[[#This Row],[J56]]-E$9)^2</f>
        <v>0</v>
      </c>
      <c r="Q67">
        <f>Table3[[#This Row],[weight]]*(0.9155*Table2[[#This Row],[J67]]-F$9)^2</f>
        <v>0</v>
      </c>
      <c r="R67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>
        <f>chloroform!E73</f>
        <v>333</v>
      </c>
      <c r="L68" s="4">
        <f>Table3[[#This Row],[weight]]*(0.9155*Table2[[#This Row],[J1,2]]-A$9)^2</f>
        <v>0</v>
      </c>
      <c r="M68" s="4">
        <f>Table3[[#This Row],[weight]]*(0.9155*Table2[[#This Row],[J2,3]]-B$9)^2</f>
        <v>0</v>
      </c>
      <c r="N68" s="4">
        <f>Table3[[#This Row],[weight]]*(0.9155*Table2[[#This Row],[J34]]-C$9)^2</f>
        <v>0</v>
      </c>
      <c r="O68" s="4">
        <f>Table3[[#This Row],[weight]]*(0.9155*Table2[[#This Row],[J45]]-D$9)^2</f>
        <v>0</v>
      </c>
      <c r="P68" s="4">
        <f>Table3[[#This Row],[weight]]*(0.9155*Table2[[#This Row],[J56]]-E$9)^2</f>
        <v>0</v>
      </c>
      <c r="Q68" s="4">
        <f>Table3[[#This Row],[weight]]*(0.9155*Table2[[#This Row],[J67]]-F$9)^2</f>
        <v>0</v>
      </c>
      <c r="R68" s="4">
        <f>Table3[[#This Row],[weight]]*(0.9155*Table2[[#This Row],[J67'']]-G$9)^2</f>
        <v>0</v>
      </c>
      <c r="S68">
        <f>chloroform!J73</f>
        <v>0</v>
      </c>
      <c r="T68" t="str">
        <f>chloroform!F73</f>
        <v>56TH</v>
      </c>
    </row>
    <row r="69" spans="11:20" x14ac:dyDescent="0.25">
      <c r="K69">
        <f>chloroform!E74</f>
        <v>373</v>
      </c>
      <c r="L69" s="4">
        <f>Table3[[#This Row],[weight]]*(0.9155*Table2[[#This Row],[J1,2]]-A$9)^2</f>
        <v>3.5345175731487394E-5</v>
      </c>
      <c r="M69" s="4">
        <f>Table3[[#This Row],[weight]]*(0.9155*Table2[[#This Row],[J2,3]]-B$9)^2</f>
        <v>7.168881256865721E-4</v>
      </c>
      <c r="N69" s="4">
        <f>Table3[[#This Row],[weight]]*(0.9155*Table2[[#This Row],[J34]]-C$9)^2</f>
        <v>2.5759522245814452E-4</v>
      </c>
      <c r="O69" s="4">
        <f>Table3[[#This Row],[weight]]*(0.9155*Table2[[#This Row],[J45]]-D$9)^2</f>
        <v>2.6549530763494006E-3</v>
      </c>
      <c r="P69" s="4">
        <f>Table3[[#This Row],[weight]]*(0.9155*Table2[[#This Row],[J56]]-E$9)^2</f>
        <v>1.8716428564117423E-5</v>
      </c>
      <c r="Q69" s="4">
        <f>Table3[[#This Row],[weight]]*(0.9155*Table2[[#This Row],[J67]]-F$9)^2</f>
        <v>6.5218224454310713E-5</v>
      </c>
      <c r="R69" s="4">
        <f>Table3[[#This Row],[weight]]*(0.9155*Table2[[#This Row],[J67'']]-G$9)^2</f>
        <v>8.8179181011555433E-4</v>
      </c>
      <c r="S69">
        <f>chloroform!J74</f>
        <v>3.1109147732553699E-5</v>
      </c>
      <c r="T69" t="str">
        <f>chloroform!F74</f>
        <v>4H6</v>
      </c>
    </row>
    <row r="70" spans="11:20" x14ac:dyDescent="0.25">
      <c r="K70">
        <f>chloroform!E75</f>
        <v>396</v>
      </c>
      <c r="L70" s="4">
        <f>Table3[[#This Row],[weight]]*(0.9155*Table2[[#This Row],[J1,2]]-A$9)^2</f>
        <v>0</v>
      </c>
      <c r="M70" s="4">
        <f>Table3[[#This Row],[weight]]*(0.9155*Table2[[#This Row],[J2,3]]-B$9)^2</f>
        <v>0</v>
      </c>
      <c r="N70" s="4">
        <f>Table3[[#This Row],[weight]]*(0.9155*Table2[[#This Row],[J34]]-C$9)^2</f>
        <v>0</v>
      </c>
      <c r="O70" s="4">
        <f>Table3[[#This Row],[weight]]*(0.9155*Table2[[#This Row],[J45]]-D$9)^2</f>
        <v>0</v>
      </c>
      <c r="P70" s="4">
        <f>Table3[[#This Row],[weight]]*(0.9155*Table2[[#This Row],[J56]]-E$9)^2</f>
        <v>0</v>
      </c>
      <c r="Q70" s="4">
        <f>Table3[[#This Row],[weight]]*(0.9155*Table2[[#This Row],[J67]]-F$9)^2</f>
        <v>0</v>
      </c>
      <c r="R70" s="4">
        <f>Table3[[#This Row],[weight]]*(0.9155*Table2[[#This Row],[J67'']]-G$9)^2</f>
        <v>0</v>
      </c>
      <c r="S70">
        <f>chloroform!J75</f>
        <v>0</v>
      </c>
      <c r="T70" t="str">
        <f>chloroform!F75</f>
        <v>4H6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0C877-BDD3-45E1-BA89-4846EDD764E0}">
  <dimension ref="A1:T70"/>
  <sheetViews>
    <sheetView workbookViewId="0">
      <selection activeCell="K2" sqref="K2:T70"/>
    </sheetView>
  </sheetViews>
  <sheetFormatPr defaultRowHeight="15" x14ac:dyDescent="0.25"/>
  <cols>
    <col min="1" max="1" width="14.5703125" customWidth="1"/>
    <col min="11" max="11" width="10.5703125" customWidth="1"/>
    <col min="20" max="20" width="14" customWidth="1"/>
  </cols>
  <sheetData>
    <row r="1" spans="1:20" x14ac:dyDescent="0.25">
      <c r="A1" t="s">
        <v>77</v>
      </c>
      <c r="B1">
        <f>SUMIF(Table1[Classification],E1,Table1[weight])</f>
        <v>0.75453566509837044</v>
      </c>
      <c r="D1" t="s">
        <v>11</v>
      </c>
      <c r="E1" t="s">
        <v>17</v>
      </c>
      <c r="G1">
        <f>COUNTIF(Table3[classification],E1)</f>
        <v>17</v>
      </c>
      <c r="K1" t="s">
        <v>76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74</v>
      </c>
      <c r="S1" t="s">
        <v>15</v>
      </c>
      <c r="T1" t="s">
        <v>75</v>
      </c>
    </row>
    <row r="2" spans="1:20" x14ac:dyDescent="0.25">
      <c r="K2">
        <f>chloroform!E7</f>
        <v>2</v>
      </c>
      <c r="L2">
        <f>Table3[[#This Row],[weight]]*(0.9155*Table2[[#This Row],[J1,2]]-A$9)^2</f>
        <v>5.4581490068948972E-4</v>
      </c>
      <c r="M2">
        <f>Table3[[#This Row],[weight]]*(0.9155*Table2[[#This Row],[J2,3]]-B$9)^2</f>
        <v>2.1338744864643519E-6</v>
      </c>
      <c r="N2">
        <f>Table3[[#This Row],[weight]]*(0.9155*Table2[[#This Row],[J34]]-C$9)^2</f>
        <v>3.6627072069941222E-3</v>
      </c>
      <c r="O2">
        <f>Table3[[#This Row],[weight]]*(0.9155*Table2[[#This Row],[J45]]-D$9)^2</f>
        <v>2.0167558032546215E-3</v>
      </c>
      <c r="P2">
        <f>Table3[[#This Row],[weight]]*(0.9155*Table2[[#This Row],[J56]]-E$9)^2</f>
        <v>5.0689158738552703E-4</v>
      </c>
      <c r="Q2">
        <f>Table3[[#This Row],[weight]]*(0.9155*Table2[[#This Row],[J67]]-F$9)^2</f>
        <v>1.3075067911329E-4</v>
      </c>
      <c r="R2">
        <f>Table3[[#This Row],[weight]]*(0.9155*Table2[[#This Row],[J67'']]-G$9)^2</f>
        <v>0.37368884638859451</v>
      </c>
      <c r="S2">
        <f>chloroform!J7</f>
        <v>1.9835581741084993E-2</v>
      </c>
      <c r="T2" t="str">
        <f>chloroform!F7</f>
        <v>4H6</v>
      </c>
    </row>
    <row r="3" spans="1:20" x14ac:dyDescent="0.25">
      <c r="A3" t="s">
        <v>91</v>
      </c>
      <c r="K3">
        <f>chloroform!E8</f>
        <v>3</v>
      </c>
      <c r="L3">
        <f>Table3[[#This Row],[weight]]*(0.9155*Table2[[#This Row],[J1,2]]-A$9)^2</f>
        <v>2.2878439424233061E-5</v>
      </c>
      <c r="M3">
        <f>Table3[[#This Row],[weight]]*(0.9155*Table2[[#This Row],[J2,3]]-B$9)^2</f>
        <v>3.5646730367771239E-3</v>
      </c>
      <c r="N3">
        <f>Table3[[#This Row],[weight]]*(0.9155*Table2[[#This Row],[J34]]-C$9)^2</f>
        <v>1.1255759865494093E-4</v>
      </c>
      <c r="O3">
        <f>Table3[[#This Row],[weight]]*(0.9155*Table2[[#This Row],[J45]]-D$9)^2</f>
        <v>2.8454741419157792E-6</v>
      </c>
      <c r="P3">
        <f>Table3[[#This Row],[weight]]*(0.9155*Table2[[#This Row],[J56]]-E$9)^2</f>
        <v>2.5638913214683732E-3</v>
      </c>
      <c r="Q3">
        <f>Table3[[#This Row],[weight]]*(0.9155*Table2[[#This Row],[J67]]-F$9)^2</f>
        <v>1.6947188479528945E-3</v>
      </c>
      <c r="R3">
        <f>Table3[[#This Row],[weight]]*(0.9155*Table2[[#This Row],[J67'']]-G$9)^2</f>
        <v>0.44149668927097069</v>
      </c>
      <c r="S3">
        <f>chloroform!J8</f>
        <v>2.4774886975683762E-2</v>
      </c>
      <c r="T3" t="str">
        <f>chloroform!F8</f>
        <v>4H6</v>
      </c>
    </row>
    <row r="4" spans="1:20" x14ac:dyDescent="0.25">
      <c r="A4" t="s">
        <v>67</v>
      </c>
      <c r="B4" t="s">
        <v>68</v>
      </c>
      <c r="C4" t="s">
        <v>69</v>
      </c>
      <c r="D4" t="s">
        <v>70</v>
      </c>
      <c r="E4" t="s">
        <v>71</v>
      </c>
      <c r="F4" t="s">
        <v>72</v>
      </c>
      <c r="G4" t="s">
        <v>74</v>
      </c>
      <c r="K4">
        <f>chloroform!E9</f>
        <v>4</v>
      </c>
      <c r="L4">
        <f>Table3[[#This Row],[weight]]*(0.9155*Table2[[#This Row],[J1,2]]-A$9)^2</f>
        <v>2.0980596515139276E-7</v>
      </c>
      <c r="M4">
        <f>Table3[[#This Row],[weight]]*(0.9155*Table2[[#This Row],[J2,3]]-B$9)^2</f>
        <v>6.6086387435835142E-3</v>
      </c>
      <c r="N4">
        <f>Table3[[#This Row],[weight]]*(0.9155*Table2[[#This Row],[J34]]-C$9)^2</f>
        <v>5.2706571702375513E-3</v>
      </c>
      <c r="O4">
        <f>Table3[[#This Row],[weight]]*(0.9155*Table2[[#This Row],[J45]]-D$9)^2</f>
        <v>7.1811465588726025E-4</v>
      </c>
      <c r="P4">
        <f>Table3[[#This Row],[weight]]*(0.9155*Table2[[#This Row],[J56]]-E$9)^2</f>
        <v>2.3295272763643087E-3</v>
      </c>
      <c r="Q4">
        <f>Table3[[#This Row],[weight]]*(0.9155*Table2[[#This Row],[J67]]-F$9)^2</f>
        <v>2.2958078094152547E-2</v>
      </c>
      <c r="R4">
        <f>Table3[[#This Row],[weight]]*(0.9155*Table2[[#This Row],[J67'']]-G$9)^2</f>
        <v>0.34144258890648899</v>
      </c>
      <c r="S4">
        <f>chloroform!J9</f>
        <v>7.6679062294856923E-2</v>
      </c>
      <c r="T4" t="str">
        <f>chloroform!F9</f>
        <v>4H6</v>
      </c>
    </row>
    <row r="5" spans="1:20" x14ac:dyDescent="0.25">
      <c r="A5">
        <f>SUMIF(Table1[Classification],E1,Table2[J1,23])/$B$1</f>
        <v>7.1941758666444935</v>
      </c>
      <c r="B5">
        <f>SUMIF(Table1[Classification],E1,Table2[J2,34])/$B$1</f>
        <v>7.8717704870149614</v>
      </c>
      <c r="C5">
        <f>SUMIF(Table1[Classification],E1,Table2[J345])/$B$1</f>
        <v>5.5137128634665258</v>
      </c>
      <c r="D5">
        <f>SUMIF(Table1[Classification],E1,Table2[J456])/$B$1</f>
        <v>0.52431245681596228</v>
      </c>
      <c r="E5">
        <f>SUMIF(Table1[Classification],E1,Table2[J567])/$B$1</f>
        <v>10.928677743969509</v>
      </c>
      <c r="F5">
        <f>SUMIF(Table1[Classification],E1,Table2[J678])/$B$1</f>
        <v>1.4297209324673699</v>
      </c>
      <c r="G5">
        <f>SUMIF(Table1[Classification],E1,Table2[J67''9])/$B$1</f>
        <v>5.1011230973452175</v>
      </c>
      <c r="K5">
        <f>chloroform!E10</f>
        <v>6</v>
      </c>
      <c r="L5">
        <f>Table3[[#This Row],[weight]]*(0.9155*Table2[[#This Row],[J1,2]]-A$9)^2</f>
        <v>2.6114534839268449E-3</v>
      </c>
      <c r="M5">
        <f>Table3[[#This Row],[weight]]*(0.9155*Table2[[#This Row],[J2,3]]-B$9)^2</f>
        <v>4.2698097527412087E-5</v>
      </c>
      <c r="N5">
        <f>Table3[[#This Row],[weight]]*(0.9155*Table2[[#This Row],[J34]]-C$9)^2</f>
        <v>1.4321022582458215E-2</v>
      </c>
      <c r="O5">
        <f>Table3[[#This Row],[weight]]*(0.9155*Table2[[#This Row],[J45]]-D$9)^2</f>
        <v>5.5742652857562105E-3</v>
      </c>
      <c r="P5">
        <f>Table3[[#This Row],[weight]]*(0.9155*Table2[[#This Row],[J56]]-E$9)^2</f>
        <v>1.6201646276594941E-3</v>
      </c>
      <c r="Q5">
        <f>Table3[[#This Row],[weight]]*(0.9155*Table2[[#This Row],[J67]]-F$9)^2</f>
        <v>1.261934101664689E-2</v>
      </c>
      <c r="R5">
        <f>Table3[[#This Row],[weight]]*(0.9155*Table2[[#This Row],[J67'']]-G$9)^2</f>
        <v>0.70511177626061694</v>
      </c>
      <c r="S5">
        <f>chloroform!J10</f>
        <v>0.11197937776820978</v>
      </c>
      <c r="T5" t="str">
        <f>chloroform!F10</f>
        <v>4H6</v>
      </c>
    </row>
    <row r="6" spans="1:20" x14ac:dyDescent="0.25">
      <c r="K6">
        <f>chloroform!E11</f>
        <v>7</v>
      </c>
      <c r="L6">
        <f>Table3[[#This Row],[weight]]*(0.9155*Table2[[#This Row],[J1,2]]-A$9)^2</f>
        <v>1.6129902526490917E-3</v>
      </c>
      <c r="M6">
        <f>Table3[[#This Row],[weight]]*(0.9155*Table2[[#This Row],[J2,3]]-B$9)^2</f>
        <v>3.2699254358270085E-3</v>
      </c>
      <c r="N6">
        <f>Table3[[#This Row],[weight]]*(0.9155*Table2[[#This Row],[J34]]-C$9)^2</f>
        <v>2.6944774649591354E-2</v>
      </c>
      <c r="O6">
        <f>Table3[[#This Row],[weight]]*(0.9155*Table2[[#This Row],[J45]]-D$9)^2</f>
        <v>0.10006612579799076</v>
      </c>
      <c r="P6">
        <f>Table3[[#This Row],[weight]]*(0.9155*Table2[[#This Row],[J56]]-E$9)^2</f>
        <v>2.1055279955242097E-2</v>
      </c>
      <c r="Q6">
        <f>Table3[[#This Row],[weight]]*(0.9155*Table2[[#This Row],[J67]]-F$9)^2</f>
        <v>7.1433237559523707E-5</v>
      </c>
      <c r="R6">
        <f>Table3[[#This Row],[weight]]*(0.9155*Table2[[#This Row],[J67'']]-G$9)^2</f>
        <v>2.8406294393544466E-2</v>
      </c>
      <c r="S6">
        <f>chloroform!J11</f>
        <v>3.3160826466214649E-3</v>
      </c>
      <c r="T6" t="str">
        <f>chloroform!F11</f>
        <v>45TH</v>
      </c>
    </row>
    <row r="7" spans="1:20" x14ac:dyDescent="0.25">
      <c r="A7" t="s">
        <v>92</v>
      </c>
      <c r="K7">
        <f>chloroform!E12</f>
        <v>8</v>
      </c>
      <c r="L7">
        <f>Table3[[#This Row],[weight]]*(0.9155*Table2[[#This Row],[J1,2]]-A$9)^2</f>
        <v>1.8759003179128297E-3</v>
      </c>
      <c r="M7">
        <f>Table3[[#This Row],[weight]]*(0.9155*Table2[[#This Row],[J2,3]]-B$9)^2</f>
        <v>1.326300689920672E-2</v>
      </c>
      <c r="N7">
        <f>Table3[[#This Row],[weight]]*(0.9155*Table2[[#This Row],[J34]]-C$9)^2</f>
        <v>1.1998758726997722E-2</v>
      </c>
      <c r="O7">
        <f>Table3[[#This Row],[weight]]*(0.9155*Table2[[#This Row],[J45]]-D$9)^2</f>
        <v>7.7223134538909001E-4</v>
      </c>
      <c r="P7">
        <f>Table3[[#This Row],[weight]]*(0.9155*Table2[[#This Row],[J56]]-E$9)^2</f>
        <v>2.1494604090707961E-3</v>
      </c>
      <c r="Q7">
        <f>Table3[[#This Row],[weight]]*(0.9155*Table2[[#This Row],[J67]]-F$9)^2</f>
        <v>1.684077417722005E-3</v>
      </c>
      <c r="R7">
        <f>Table3[[#This Row],[weight]]*(0.9155*Table2[[#This Row],[J67'']]-G$9)^2</f>
        <v>0.43497396449710946</v>
      </c>
      <c r="S7">
        <f>chloroform!J12</f>
        <v>6.020718568699291E-2</v>
      </c>
      <c r="T7" t="str">
        <f>chloroform!F12</f>
        <v>4H6</v>
      </c>
    </row>
    <row r="8" spans="1:20" x14ac:dyDescent="0.25">
      <c r="A8" t="s">
        <v>67</v>
      </c>
      <c r="B8" t="s">
        <v>68</v>
      </c>
      <c r="C8" t="s">
        <v>69</v>
      </c>
      <c r="D8" t="s">
        <v>70</v>
      </c>
      <c r="E8" t="s">
        <v>71</v>
      </c>
      <c r="F8" t="s">
        <v>72</v>
      </c>
      <c r="G8" t="s">
        <v>74</v>
      </c>
      <c r="K8">
        <f>chloroform!E13</f>
        <v>9</v>
      </c>
      <c r="L8">
        <f>Table3[[#This Row],[weight]]*(0.9155*Table2[[#This Row],[J1,2]]-A$9)^2</f>
        <v>5.3958390325979752E-4</v>
      </c>
      <c r="M8">
        <f>Table3[[#This Row],[weight]]*(0.9155*Table2[[#This Row],[J2,3]]-B$9)^2</f>
        <v>1.8048602660315026E-4</v>
      </c>
      <c r="N8">
        <f>Table3[[#This Row],[weight]]*(0.9155*Table2[[#This Row],[J34]]-C$9)^2</f>
        <v>7.6260623680776511E-3</v>
      </c>
      <c r="O8">
        <f>Table3[[#This Row],[weight]]*(0.9155*Table2[[#This Row],[J45]]-D$9)^2</f>
        <v>3.1725634770320642E-3</v>
      </c>
      <c r="P8">
        <f>Table3[[#This Row],[weight]]*(0.9155*Table2[[#This Row],[J56]]-E$9)^2</f>
        <v>1.2689473737826043E-3</v>
      </c>
      <c r="Q8">
        <f>Table3[[#This Row],[weight]]*(0.9155*Table2[[#This Row],[J67]]-F$9)^2</f>
        <v>3.8735710590662949E-2</v>
      </c>
      <c r="R8">
        <f>Table3[[#This Row],[weight]]*(0.9155*Table2[[#This Row],[J67'']]-G$9)^2</f>
        <v>0.68066755644926558</v>
      </c>
      <c r="S8">
        <f>chloroform!J13</f>
        <v>4.3116973942192695E-2</v>
      </c>
      <c r="T8" t="str">
        <f>chloroform!F13</f>
        <v>4H6</v>
      </c>
    </row>
    <row r="9" spans="1:20" x14ac:dyDescent="0.25">
      <c r="A9">
        <f>A5</f>
        <v>7.1941758666444935</v>
      </c>
      <c r="B9">
        <f t="shared" ref="B9:G9" si="0">B5</f>
        <v>7.8717704870149614</v>
      </c>
      <c r="C9">
        <f>C5</f>
        <v>5.5137128634665258</v>
      </c>
      <c r="D9">
        <f t="shared" si="0"/>
        <v>0.52431245681596228</v>
      </c>
      <c r="E9">
        <f t="shared" si="0"/>
        <v>10.928677743969509</v>
      </c>
      <c r="F9">
        <f t="shared" si="0"/>
        <v>1.4297209324673699</v>
      </c>
      <c r="G9">
        <f t="shared" si="0"/>
        <v>5.1011230973452175</v>
      </c>
      <c r="K9">
        <f>chloroform!E14</f>
        <v>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>
        <f>chloroform!E15</f>
        <v>15</v>
      </c>
      <c r="L10">
        <f>Table3[[#This Row],[weight]]*(0.9155*Table2[[#This Row],[J1,2]]-A$9)^2</f>
        <v>9.2691955585267119E-3</v>
      </c>
      <c r="M10">
        <f>Table3[[#This Row],[weight]]*(0.9155*Table2[[#This Row],[J2,3]]-B$9)^2</f>
        <v>3.8921139656707443E-3</v>
      </c>
      <c r="N10">
        <f>Table3[[#This Row],[weight]]*(0.9155*Table2[[#This Row],[J34]]-C$9)^2</f>
        <v>0.18853596502615225</v>
      </c>
      <c r="O10">
        <f>Table3[[#This Row],[weight]]*(0.9155*Table2[[#This Row],[J45]]-D$9)^2</f>
        <v>0.42366845424723737</v>
      </c>
      <c r="P10">
        <f>Table3[[#This Row],[weight]]*(0.9155*Table2[[#This Row],[J56]]-E$9)^2</f>
        <v>7.1268045140460409E-2</v>
      </c>
      <c r="Q10">
        <f>Table3[[#This Row],[weight]]*(0.9155*Table2[[#This Row],[J67]]-F$9)^2</f>
        <v>2.6368537287173255E-2</v>
      </c>
      <c r="R10">
        <f>Table3[[#This Row],[weight]]*(0.9155*Table2[[#This Row],[J67'']]-G$9)^2</f>
        <v>0.47478955508567511</v>
      </c>
      <c r="S10">
        <f>chloroform!J15</f>
        <v>1.5313869254083566E-2</v>
      </c>
      <c r="T10" t="str">
        <f>chloroform!F15</f>
        <v>45TH</v>
      </c>
    </row>
    <row r="11" spans="1:20" x14ac:dyDescent="0.25">
      <c r="A11" t="s">
        <v>93</v>
      </c>
      <c r="K11">
        <f>chloroform!E16</f>
        <v>16</v>
      </c>
      <c r="L11">
        <f>Table3[[#This Row],[weight]]*(0.9155*Table2[[#This Row],[J1,2]]-A$9)^2</f>
        <v>1.7877418922523504E-4</v>
      </c>
      <c r="M11">
        <f>Table3[[#This Row],[weight]]*(0.9155*Table2[[#This Row],[J2,3]]-B$9)^2</f>
        <v>2.8341356263337472E-3</v>
      </c>
      <c r="N11">
        <f>Table3[[#This Row],[weight]]*(0.9155*Table2[[#This Row],[J34]]-C$9)^2</f>
        <v>5.0586639386427518E-3</v>
      </c>
      <c r="O11">
        <f>Table3[[#This Row],[weight]]*(0.9155*Table2[[#This Row],[J45]]-D$9)^2</f>
        <v>3.0533891880674627E-3</v>
      </c>
      <c r="P11">
        <f>Table3[[#This Row],[weight]]*(0.9155*Table2[[#This Row],[J56]]-E$9)^2</f>
        <v>5.2789933070514718E-6</v>
      </c>
      <c r="Q11">
        <f>Table3[[#This Row],[weight]]*(0.9155*Table2[[#This Row],[J67]]-F$9)^2</f>
        <v>5.2994418176383687E-2</v>
      </c>
      <c r="R11">
        <f>Table3[[#This Row],[weight]]*(0.9155*Table2[[#This Row],[J67'']]-G$9)^2</f>
        <v>1.3232016976947554</v>
      </c>
      <c r="S11">
        <f>chloroform!J16</f>
        <v>8.9542104370779821E-2</v>
      </c>
      <c r="T11" t="str">
        <f>chloroform!F16</f>
        <v>4H6</v>
      </c>
    </row>
    <row r="12" spans="1:20" x14ac:dyDescent="0.25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  <c r="G12" t="s">
        <v>74</v>
      </c>
      <c r="K12">
        <f>chloroform!E17</f>
        <v>17</v>
      </c>
      <c r="L12">
        <f>Table3[[#This Row],[weight]]*(0.9155*Table2[[#This Row],[J1,2]]-A$9)^2</f>
        <v>3.2634756541112975E-2</v>
      </c>
      <c r="M12">
        <f>Table3[[#This Row],[weight]]*(0.9155*Table2[[#This Row],[J2,3]]-B$9)^2</f>
        <v>1.4897137526351866E-2</v>
      </c>
      <c r="N12">
        <f>Table3[[#This Row],[weight]]*(0.9155*Table2[[#This Row],[J34]]-C$9)^2</f>
        <v>0.58150214917388343</v>
      </c>
      <c r="O12">
        <f>Table3[[#This Row],[weight]]*(0.9155*Table2[[#This Row],[J45]]-D$9)^2</f>
        <v>1.2315523931964507</v>
      </c>
      <c r="P12">
        <f>Table3[[#This Row],[weight]]*(0.9155*Table2[[#This Row],[J56]]-E$9)^2</f>
        <v>0.11228244105584353</v>
      </c>
      <c r="Q12">
        <f>Table3[[#This Row],[weight]]*(0.9155*Table2[[#This Row],[J67]]-F$9)^2</f>
        <v>1.071139167289374E-2</v>
      </c>
      <c r="R12">
        <f>Table3[[#This Row],[weight]]*(0.9155*Table2[[#This Row],[J67'']]-G$9)^2</f>
        <v>0.57939083750625253</v>
      </c>
      <c r="S12">
        <f>chloroform!J17</f>
        <v>5.1465722506778361E-2</v>
      </c>
      <c r="T12" t="str">
        <f>chloroform!F17</f>
        <v>45TH</v>
      </c>
    </row>
    <row r="13" spans="1:20" x14ac:dyDescent="0.25">
      <c r="A13">
        <f>SQRT(SUMIF($T$2:$T$46,$E$1,L$2:L$46)/(($G$1-1)*$B$1/$G$1))</f>
        <v>0.10943343916740489</v>
      </c>
      <c r="B13">
        <f>SQRT(SUMIF($T$2:$T$46,$E$1,M$2:M$46)/(($G$1-1)*$B$1/$G$1))</f>
        <v>0.23796967742551497</v>
      </c>
      <c r="C13">
        <f>SQRT(SUMIF($T$2:$T$46,$E$1,N$2:N$46)/(($G$1-1)*$B$1/$G$1))</f>
        <v>0.32771603039877761</v>
      </c>
      <c r="D13">
        <f t="shared" ref="D13:F13" si="1">SQRT(SUMIF($T$2:$T$46,$E$1,O$2:O$46)/(($G$1-1)*$B$1/$G$1))</f>
        <v>0.20305999774546651</v>
      </c>
      <c r="E13">
        <f t="shared" si="1"/>
        <v>0.21522544145243755</v>
      </c>
      <c r="F13">
        <f t="shared" si="1"/>
        <v>0.61919320755797558</v>
      </c>
      <c r="G13">
        <f>SQRT(SUMIF($T$2:$T$46,$E$1,R$2:R$46)/(($G$1-1)*$B$1/$G$1))</f>
        <v>3.9438798584813806</v>
      </c>
      <c r="K13">
        <f>chloroform!E18</f>
        <v>19</v>
      </c>
      <c r="L13">
        <f>Table3[[#This Row],[weight]]*(0.9155*Table2[[#This Row],[J1,2]]-A$9)^2</f>
        <v>2.0670401765937501E-3</v>
      </c>
      <c r="M13">
        <f>Table3[[#This Row],[weight]]*(0.9155*Table2[[#This Row],[J2,3]]-B$9)^2</f>
        <v>9.6123914378006436E-2</v>
      </c>
      <c r="N13">
        <f>Table3[[#This Row],[weight]]*(0.9155*Table2[[#This Row],[J34]]-C$9)^2</f>
        <v>7.8941763641163412E-2</v>
      </c>
      <c r="O13">
        <f>Table3[[#This Row],[weight]]*(0.9155*Table2[[#This Row],[J45]]-D$9)^2</f>
        <v>0.16940405395064112</v>
      </c>
      <c r="P13">
        <f>Table3[[#This Row],[weight]]*(0.9155*Table2[[#This Row],[J56]]-E$9)^2</f>
        <v>0.30280255897485919</v>
      </c>
      <c r="Q13">
        <f>Table3[[#This Row],[weight]]*(0.9155*Table2[[#This Row],[J67]]-F$9)^2</f>
        <v>0.27742354858484269</v>
      </c>
      <c r="R13">
        <f>Table3[[#This Row],[weight]]*(0.9155*Table2[[#This Row],[J67'']]-G$9)^2</f>
        <v>4.0686547133979756E-4</v>
      </c>
      <c r="S13">
        <f>chloroform!J18</f>
        <v>2.6494242156238882E-3</v>
      </c>
      <c r="T13" t="str">
        <f>chloroform!F18</f>
        <v>6H4</v>
      </c>
    </row>
    <row r="14" spans="1:20" x14ac:dyDescent="0.25">
      <c r="K14">
        <f>chloroform!E19</f>
        <v>20</v>
      </c>
      <c r="L14">
        <f>Table3[[#This Row],[weight]]*(0.9155*Table2[[#This Row],[J1,2]]-A$9)^2</f>
        <v>1.2694905186020464E-4</v>
      </c>
      <c r="M14">
        <f>Table3[[#This Row],[weight]]*(0.9155*Table2[[#This Row],[J2,3]]-B$9)^2</f>
        <v>1.8902416202328442E-3</v>
      </c>
      <c r="N14">
        <f>Table3[[#This Row],[weight]]*(0.9155*Table2[[#This Row],[J34]]-C$9)^2</f>
        <v>1.1853660283369701E-2</v>
      </c>
      <c r="O14">
        <f>Table3[[#This Row],[weight]]*(0.9155*Table2[[#This Row],[J45]]-D$9)^2</f>
        <v>4.2628428458823244E-3</v>
      </c>
      <c r="P14">
        <f>Table3[[#This Row],[weight]]*(0.9155*Table2[[#This Row],[J56]]-E$9)^2</f>
        <v>1.6218847755865172E-3</v>
      </c>
      <c r="Q14">
        <f>Table3[[#This Row],[weight]]*(0.9155*Table2[[#This Row],[J67]]-F$9)^2</f>
        <v>7.1130445427835245E-3</v>
      </c>
      <c r="R14">
        <f>Table3[[#This Row],[weight]]*(0.9155*Table2[[#This Row],[J67'']]-G$9)^2</f>
        <v>0.80941912689575091</v>
      </c>
      <c r="S14">
        <f>chloroform!J19</f>
        <v>8.1186193319153999E-2</v>
      </c>
      <c r="T14" t="str">
        <f>chloroform!F19</f>
        <v>4H6</v>
      </c>
    </row>
    <row r="15" spans="1:20" x14ac:dyDescent="0.25">
      <c r="K15">
        <f>chloroform!E20</f>
        <v>21</v>
      </c>
      <c r="L15">
        <f>Table3[[#This Row],[weight]]*(0.9155*Table2[[#This Row],[J1,2]]-A$9)^2</f>
        <v>8.918964491112082E-5</v>
      </c>
      <c r="M15">
        <f>Table3[[#This Row],[weight]]*(0.9155*Table2[[#This Row],[J2,3]]-B$9)^2</f>
        <v>8.6334598003935377E-4</v>
      </c>
      <c r="N15">
        <f>Table3[[#This Row],[weight]]*(0.9155*Table2[[#This Row],[J34]]-C$9)^2</f>
        <v>4.4522591783070862E-5</v>
      </c>
      <c r="O15">
        <f>Table3[[#This Row],[weight]]*(0.9155*Table2[[#This Row],[J45]]-D$9)^2</f>
        <v>2.6221434984303807E-5</v>
      </c>
      <c r="P15">
        <f>Table3[[#This Row],[weight]]*(0.9155*Table2[[#This Row],[J56]]-E$9)^2</f>
        <v>1.4635978917302533E-3</v>
      </c>
      <c r="Q15">
        <f>Table3[[#This Row],[weight]]*(0.9155*Table2[[#This Row],[J67]]-F$9)^2</f>
        <v>1.8759693851190924E-4</v>
      </c>
      <c r="R15">
        <f>Table3[[#This Row],[weight]]*(0.9155*Table2[[#This Row],[J67'']]-G$9)^2</f>
        <v>4.8079012451599109E-4</v>
      </c>
      <c r="S15">
        <f>chloroform!J20</f>
        <v>3.0469752193280297E-5</v>
      </c>
      <c r="T15" t="str">
        <f>chloroform!F20</f>
        <v>TH45</v>
      </c>
    </row>
    <row r="16" spans="1:20" x14ac:dyDescent="0.25">
      <c r="K16">
        <f>chloroform!E21</f>
        <v>22</v>
      </c>
      <c r="L16">
        <f>Table3[[#This Row],[weight]]*(0.9155*Table2[[#This Row],[J1,2]]-A$9)^2</f>
        <v>1.1880934307861079E-4</v>
      </c>
      <c r="M16">
        <f>Table3[[#This Row],[weight]]*(0.9155*Table2[[#This Row],[J2,3]]-B$9)^2</f>
        <v>2.4626528607894706E-4</v>
      </c>
      <c r="N16">
        <f>Table3[[#This Row],[weight]]*(0.9155*Table2[[#This Row],[J34]]-C$9)^2</f>
        <v>2.1743760757789825E-3</v>
      </c>
      <c r="O16">
        <f>Table3[[#This Row],[weight]]*(0.9155*Table2[[#This Row],[J45]]-D$9)^2</f>
        <v>8.7582730448509376E-3</v>
      </c>
      <c r="P16">
        <f>Table3[[#This Row],[weight]]*(0.9155*Table2[[#This Row],[J56]]-E$9)^2</f>
        <v>2.0333188505191314E-3</v>
      </c>
      <c r="Q16">
        <f>Table3[[#This Row],[weight]]*(0.9155*Table2[[#This Row],[J67]]-F$9)^2</f>
        <v>9.6293775400426091E-4</v>
      </c>
      <c r="R16">
        <f>Table3[[#This Row],[weight]]*(0.9155*Table2[[#This Row],[J67'']]-G$9)^2</f>
        <v>8.1419873840443378E-3</v>
      </c>
      <c r="S16">
        <f>chloroform!J21</f>
        <v>2.5970010128064205E-4</v>
      </c>
      <c r="T16" t="str">
        <f>chloroform!F21</f>
        <v>45TH</v>
      </c>
    </row>
    <row r="17" spans="7:20" x14ac:dyDescent="0.25">
      <c r="K17">
        <f>chloroform!E22</f>
        <v>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7:20" x14ac:dyDescent="0.25">
      <c r="G18" t="s">
        <v>67</v>
      </c>
      <c r="K18">
        <f>chloroform!E23</f>
        <v>24</v>
      </c>
      <c r="L18">
        <f>Table3[[#This Row],[weight]]*(0.9155*Table2[[#This Row],[J1,2]]-A$9)^2</f>
        <v>1.4197397877936796E-4</v>
      </c>
      <c r="M18">
        <f>Table3[[#This Row],[weight]]*(0.9155*Table2[[#This Row],[J2,3]]-B$9)^2</f>
        <v>3.0556925017500132E-4</v>
      </c>
      <c r="N18">
        <f>Table3[[#This Row],[weight]]*(0.9155*Table2[[#This Row],[J34]]-C$9)^2</f>
        <v>2.4702296575036474E-3</v>
      </c>
      <c r="O18">
        <f>Table3[[#This Row],[weight]]*(0.9155*Table2[[#This Row],[J45]]-D$9)^2</f>
        <v>9.7193493614108357E-3</v>
      </c>
      <c r="P18">
        <f>Table3[[#This Row],[weight]]*(0.9155*Table2[[#This Row],[J56]]-E$9)^2</f>
        <v>1.3088977687090366E-3</v>
      </c>
      <c r="Q18">
        <f>Table3[[#This Row],[weight]]*(0.9155*Table2[[#This Row],[J67]]-F$9)^2</f>
        <v>2.3972064376501481E-2</v>
      </c>
      <c r="R18">
        <f>Table3[[#This Row],[weight]]*(0.9155*Table2[[#This Row],[J67'']]-G$9)^2</f>
        <v>2.4180296731753678E-3</v>
      </c>
      <c r="S18">
        <f>chloroform!J23</f>
        <v>3.3152378722330739E-4</v>
      </c>
      <c r="T18" t="str">
        <f>chloroform!F23</f>
        <v>45TH</v>
      </c>
    </row>
    <row r="19" spans="7:20" x14ac:dyDescent="0.25">
      <c r="G19" t="s">
        <v>68</v>
      </c>
      <c r="K19">
        <f>chloroform!E24</f>
        <v>26</v>
      </c>
      <c r="L19">
        <f>Table3[[#This Row],[weight]]*(0.9155*Table2[[#This Row],[J1,2]]-A$9)^2</f>
        <v>3.3593739579090916E-3</v>
      </c>
      <c r="M19">
        <f>Table3[[#This Row],[weight]]*(0.9155*Table2[[#This Row],[J2,3]]-B$9)^2</f>
        <v>1.6871038781387337E-3</v>
      </c>
      <c r="N19">
        <f>Table3[[#This Row],[weight]]*(0.9155*Table2[[#This Row],[J34]]-C$9)^2</f>
        <v>7.0354013179923333E-2</v>
      </c>
      <c r="O19">
        <f>Table3[[#This Row],[weight]]*(0.9155*Table2[[#This Row],[J45]]-D$9)^2</f>
        <v>0.2372400935444956</v>
      </c>
      <c r="P19">
        <f>Table3[[#This Row],[weight]]*(0.9155*Table2[[#This Row],[J56]]-E$9)^2</f>
        <v>4.3059209051611196E-2</v>
      </c>
      <c r="Q19">
        <f>Table3[[#This Row],[weight]]*(0.9155*Table2[[#This Row],[J67]]-F$9)^2</f>
        <v>7.8412009128787322E-4</v>
      </c>
      <c r="R19">
        <f>Table3[[#This Row],[weight]]*(0.9155*Table2[[#This Row],[J67'']]-G$9)^2</f>
        <v>5.0083058286700358E-2</v>
      </c>
      <c r="S19">
        <f>chloroform!J24</f>
        <v>4.6965541756517929E-3</v>
      </c>
      <c r="T19" t="str">
        <f>chloroform!F24</f>
        <v>45TH</v>
      </c>
    </row>
    <row r="20" spans="7:20" x14ac:dyDescent="0.25">
      <c r="G20" t="s">
        <v>69</v>
      </c>
      <c r="K20">
        <f>chloroform!E25</f>
        <v>27</v>
      </c>
      <c r="L20">
        <f>Table3[[#This Row],[weight]]*(0.9155*Table2[[#This Row],[J1,2]]-A$9)^2</f>
        <v>1.6865238921593281E-3</v>
      </c>
      <c r="M20">
        <f>Table3[[#This Row],[weight]]*(0.9155*Table2[[#This Row],[J2,3]]-B$9)^2</f>
        <v>1.9109660558632206E-5</v>
      </c>
      <c r="N20">
        <f>Table3[[#This Row],[weight]]*(0.9155*Table2[[#This Row],[J34]]-C$9)^2</f>
        <v>1.285386905977391E-2</v>
      </c>
      <c r="O20">
        <f>Table3[[#This Row],[weight]]*(0.9155*Table2[[#This Row],[J45]]-D$9)^2</f>
        <v>9.1141975830101238E-3</v>
      </c>
      <c r="P20">
        <f>Table3[[#This Row],[weight]]*(0.9155*Table2[[#This Row],[J56]]-E$9)^2</f>
        <v>2.7183961893578247E-3</v>
      </c>
      <c r="Q20">
        <f>Table3[[#This Row],[weight]]*(0.9155*Table2[[#This Row],[J67]]-F$9)^2</f>
        <v>4.2293846288632966E-3</v>
      </c>
      <c r="R20">
        <f>Table3[[#This Row],[weight]]*(0.9155*Table2[[#This Row],[J67'']]-G$9)^2</f>
        <v>1.5815532173096947</v>
      </c>
      <c r="S20">
        <f>chloroform!J25</f>
        <v>6.7864687042358235E-2</v>
      </c>
      <c r="T20" t="str">
        <f>chloroform!F25</f>
        <v>4H6</v>
      </c>
    </row>
    <row r="21" spans="7:20" x14ac:dyDescent="0.25">
      <c r="G21" t="s">
        <v>70</v>
      </c>
      <c r="K21">
        <f>chloroform!E26</f>
        <v>30</v>
      </c>
      <c r="L21">
        <f>Table3[[#This Row],[weight]]*(0.9155*Table2[[#This Row],[J1,2]]-A$9)^2</f>
        <v>1.8231606334361404E-4</v>
      </c>
      <c r="M21">
        <f>Table3[[#This Row],[weight]]*(0.9155*Table2[[#This Row],[J2,3]]-B$9)^2</f>
        <v>2.2117677558291287E-2</v>
      </c>
      <c r="N21">
        <f>Table3[[#This Row],[weight]]*(0.9155*Table2[[#This Row],[J34]]-C$9)^2</f>
        <v>2.0125652356495716E-2</v>
      </c>
      <c r="O21">
        <f>Table3[[#This Row],[weight]]*(0.9155*Table2[[#This Row],[J45]]-D$9)^2</f>
        <v>4.1580240664567128E-2</v>
      </c>
      <c r="P21">
        <f>Table3[[#This Row],[weight]]*(0.9155*Table2[[#This Row],[J56]]-E$9)^2</f>
        <v>7.2141657335564394E-2</v>
      </c>
      <c r="Q21">
        <f>Table3[[#This Row],[weight]]*(0.9155*Table2[[#This Row],[J67]]-F$9)^2</f>
        <v>6.0049752826732153E-2</v>
      </c>
      <c r="R21">
        <f>Table3[[#This Row],[weight]]*(0.9155*Table2[[#This Row],[J67'']]-G$9)^2</f>
        <v>1.6031675800843425E-3</v>
      </c>
      <c r="S21">
        <f>chloroform!J26</f>
        <v>6.2318537715621344E-4</v>
      </c>
      <c r="T21" t="str">
        <f>chloroform!F26</f>
        <v>6H4</v>
      </c>
    </row>
    <row r="22" spans="7:20" x14ac:dyDescent="0.25">
      <c r="G22" t="s">
        <v>71</v>
      </c>
      <c r="K22">
        <f>chloroform!E27</f>
        <v>33</v>
      </c>
      <c r="L22">
        <f>Table3[[#This Row],[weight]]*(0.9155*Table2[[#This Row],[J1,2]]-A$9)^2</f>
        <v>5.3337754570471072E-4</v>
      </c>
      <c r="M22">
        <f>Table3[[#This Row],[weight]]*(0.9155*Table2[[#This Row],[J2,3]]-B$9)^2</f>
        <v>1.1302337056815967E-3</v>
      </c>
      <c r="N22">
        <f>Table3[[#This Row],[weight]]*(0.9155*Table2[[#This Row],[J34]]-C$9)^2</f>
        <v>1.0411173957910119E-2</v>
      </c>
      <c r="O22">
        <f>Table3[[#This Row],[weight]]*(0.9155*Table2[[#This Row],[J45]]-D$9)^2</f>
        <v>3.8433989402918582E-2</v>
      </c>
      <c r="P22">
        <f>Table3[[#This Row],[weight]]*(0.9155*Table2[[#This Row],[J56]]-E$9)^2</f>
        <v>7.3395463613432485E-3</v>
      </c>
      <c r="Q22">
        <f>Table3[[#This Row],[weight]]*(0.9155*Table2[[#This Row],[J67]]-F$9)^2</f>
        <v>2.4442292188119567E-4</v>
      </c>
      <c r="R22">
        <f>Table3[[#This Row],[weight]]*(0.9155*Table2[[#This Row],[J67'']]-G$9)^2</f>
        <v>3.5211155174120982E-2</v>
      </c>
      <c r="S22">
        <f>chloroform!J27</f>
        <v>1.1110867542881051E-3</v>
      </c>
      <c r="T22" t="str">
        <f>chloroform!F27</f>
        <v>45TH</v>
      </c>
    </row>
    <row r="23" spans="7:20" x14ac:dyDescent="0.25">
      <c r="G23" t="s">
        <v>72</v>
      </c>
      <c r="K23">
        <f>chloroform!E28</f>
        <v>34</v>
      </c>
      <c r="L23">
        <f>Table3[[#This Row],[weight]]*(0.9155*Table2[[#This Row],[J1,2]]-A$9)^2</f>
        <v>1.5970858600690242E-4</v>
      </c>
      <c r="M23">
        <f>Table3[[#This Row],[weight]]*(0.9155*Table2[[#This Row],[J2,3]]-B$9)^2</f>
        <v>1.692612945108625E-2</v>
      </c>
      <c r="N23">
        <f>Table3[[#This Row],[weight]]*(0.9155*Table2[[#This Row],[J34]]-C$9)^2</f>
        <v>1.5844265869276512E-2</v>
      </c>
      <c r="O23">
        <f>Table3[[#This Row],[weight]]*(0.9155*Table2[[#This Row],[J45]]-D$9)^2</f>
        <v>3.8244989980046495E-2</v>
      </c>
      <c r="P23">
        <f>Table3[[#This Row],[weight]]*(0.9155*Table2[[#This Row],[J56]]-E$9)^2</f>
        <v>5.2022089973489408E-2</v>
      </c>
      <c r="Q23">
        <f>Table3[[#This Row],[weight]]*(0.9155*Table2[[#This Row],[J67]]-F$9)^2</f>
        <v>5.1670906548378871E-5</v>
      </c>
      <c r="R23">
        <f>Table3[[#This Row],[weight]]*(0.9155*Table2[[#This Row],[J67'']]-G$9)^2</f>
        <v>8.2816157931341961E-4</v>
      </c>
      <c r="S23">
        <f>chloroform!J28</f>
        <v>4.9283395387780284E-4</v>
      </c>
      <c r="T23" t="str">
        <f>chloroform!F28</f>
        <v>6H4</v>
      </c>
    </row>
    <row r="24" spans="7:20" x14ac:dyDescent="0.25">
      <c r="G24" t="s">
        <v>74</v>
      </c>
      <c r="K24">
        <f>chloroform!E29</f>
        <v>38</v>
      </c>
      <c r="L24">
        <f>Table3[[#This Row],[weight]]*(0.9155*Table2[[#This Row],[J1,2]]-A$9)^2</f>
        <v>2.1026991217094709E-2</v>
      </c>
      <c r="M24">
        <f>Table3[[#This Row],[weight]]*(0.9155*Table2[[#This Row],[J2,3]]-B$9)^2</f>
        <v>1.1310554276181252E-2</v>
      </c>
      <c r="N24">
        <f>Table3[[#This Row],[weight]]*(0.9155*Table2[[#This Row],[J34]]-C$9)^2</f>
        <v>0.4105974693263425</v>
      </c>
      <c r="O24">
        <f>Table3[[#This Row],[weight]]*(0.9155*Table2[[#This Row],[J45]]-D$9)^2</f>
        <v>0.97032324175530382</v>
      </c>
      <c r="P24">
        <f>Table3[[#This Row],[weight]]*(0.9155*Table2[[#This Row],[J56]]-E$9)^2</f>
        <v>0.11826974000213906</v>
      </c>
      <c r="Q24">
        <f>Table3[[#This Row],[weight]]*(0.9155*Table2[[#This Row],[J67]]-F$9)^2</f>
        <v>8.847297265250768E-3</v>
      </c>
      <c r="R24">
        <f>Table3[[#This Row],[weight]]*(0.9155*Table2[[#This Row],[J67'']]-G$9)^2</f>
        <v>0.3576189242683892</v>
      </c>
      <c r="S24">
        <f>chloroform!J29</f>
        <v>3.0916983615801238E-2</v>
      </c>
      <c r="T24" t="str">
        <f>chloroform!F29</f>
        <v>45TH</v>
      </c>
    </row>
    <row r="25" spans="7:20" x14ac:dyDescent="0.25">
      <c r="K25">
        <f>chloroform!E30</f>
        <v>39</v>
      </c>
      <c r="L25">
        <f>Table3[[#This Row],[weight]]*(0.9155*Table2[[#This Row],[J1,2]]-A$9)^2</f>
        <v>3.4030232158954514E-5</v>
      </c>
      <c r="M25">
        <f>Table3[[#This Row],[weight]]*(0.9155*Table2[[#This Row],[J2,3]]-B$9)^2</f>
        <v>1.1795268161115327E-2</v>
      </c>
      <c r="N25">
        <f>Table3[[#This Row],[weight]]*(0.9155*Table2[[#This Row],[J34]]-C$9)^2</f>
        <v>2.9145866988908782E-3</v>
      </c>
      <c r="O25">
        <f>Table3[[#This Row],[weight]]*(0.9155*Table2[[#This Row],[J45]]-D$9)^2</f>
        <v>4.3607524082362945E-4</v>
      </c>
      <c r="P25">
        <f>Table3[[#This Row],[weight]]*(0.9155*Table2[[#This Row],[J56]]-E$9)^2</f>
        <v>1.7771891148089726E-2</v>
      </c>
      <c r="Q25">
        <f>Table3[[#This Row],[weight]]*(0.9155*Table2[[#This Row],[J67]]-F$9)^2</f>
        <v>4.4582463149571766E-3</v>
      </c>
      <c r="R25">
        <f>Table3[[#This Row],[weight]]*(0.9155*Table2[[#This Row],[J67'']]-G$9)^2</f>
        <v>2.6967953843812094</v>
      </c>
      <c r="S25">
        <f>chloroform!J30</f>
        <v>0.11021833097035422</v>
      </c>
      <c r="T25" t="str">
        <f>chloroform!F30</f>
        <v>4H6</v>
      </c>
    </row>
    <row r="26" spans="7:20" x14ac:dyDescent="0.25">
      <c r="K26">
        <f>chloroform!E31</f>
        <v>41</v>
      </c>
      <c r="L26">
        <f>Table3[[#This Row],[weight]]*(0.9155*Table2[[#This Row],[J1,2]]-A$9)^2</f>
        <v>8.4269890729239477E-4</v>
      </c>
      <c r="M26">
        <f>Table3[[#This Row],[weight]]*(0.9155*Table2[[#This Row],[J2,3]]-B$9)^2</f>
        <v>1.4805903096320656E-5</v>
      </c>
      <c r="N26">
        <f>Table3[[#This Row],[weight]]*(0.9155*Table2[[#This Row],[J34]]-C$9)^2</f>
        <v>4.4707624453573286E-5</v>
      </c>
      <c r="O26">
        <f>Table3[[#This Row],[weight]]*(0.9155*Table2[[#This Row],[J45]]-D$9)^2</f>
        <v>5.7908105561654099E-5</v>
      </c>
      <c r="P26">
        <f>Table3[[#This Row],[weight]]*(0.9155*Table2[[#This Row],[J56]]-E$9)^2</f>
        <v>3.0089069434065648E-4</v>
      </c>
      <c r="Q26">
        <f>Table3[[#This Row],[weight]]*(0.9155*Table2[[#This Row],[J67]]-F$9)^2</f>
        <v>3.6299719380273529E-3</v>
      </c>
      <c r="R26">
        <f>Table3[[#This Row],[weight]]*(0.9155*Table2[[#This Row],[J67'']]-G$9)^2</f>
        <v>1.6006390522374736</v>
      </c>
      <c r="S26">
        <f>chloroform!J31</f>
        <v>6.6249456850800803E-2</v>
      </c>
      <c r="T26" t="str">
        <f>chloroform!F31</f>
        <v>4H6</v>
      </c>
    </row>
    <row r="27" spans="7:20" x14ac:dyDescent="0.25">
      <c r="K27">
        <f>chloroform!E32</f>
        <v>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7:20" x14ac:dyDescent="0.25">
      <c r="K28">
        <f>chloroform!E33</f>
        <v>48</v>
      </c>
      <c r="L28">
        <f>Table3[[#This Row],[weight]]*(0.9155*Table2[[#This Row],[J1,2]]-A$9)^2</f>
        <v>2.8590844070650627E-3</v>
      </c>
      <c r="M28">
        <f>Table3[[#This Row],[weight]]*(0.9155*Table2[[#This Row],[J2,3]]-B$9)^2</f>
        <v>6.1532009630933519E-2</v>
      </c>
      <c r="N28">
        <f>Table3[[#This Row],[weight]]*(0.9155*Table2[[#This Row],[J34]]-C$9)^2</f>
        <v>0.20574579205904012</v>
      </c>
      <c r="O28">
        <f>Table3[[#This Row],[weight]]*(0.9155*Table2[[#This Row],[J45]]-D$9)^2</f>
        <v>1.3434850945941337</v>
      </c>
      <c r="P28">
        <f>Table3[[#This Row],[weight]]*(0.9155*Table2[[#This Row],[J56]]-E$9)^2</f>
        <v>0.11734529781207351</v>
      </c>
      <c r="Q28">
        <f>Table3[[#This Row],[weight]]*(0.9155*Table2[[#This Row],[J67]]-F$9)^2</f>
        <v>1.7300466079632217E-3</v>
      </c>
      <c r="R28">
        <f>Table3[[#This Row],[weight]]*(0.9155*Table2[[#This Row],[J67'']]-G$9)^2</f>
        <v>0.354997816111155</v>
      </c>
      <c r="S28">
        <f>chloroform!J33</f>
        <v>1.2752774545018598E-2</v>
      </c>
      <c r="T28" t="str">
        <f>chloroform!F33</f>
        <v>56TH</v>
      </c>
    </row>
    <row r="29" spans="7:20" x14ac:dyDescent="0.25">
      <c r="K29">
        <f>chloroform!E34</f>
        <v>57</v>
      </c>
      <c r="L29">
        <f>Table3[[#This Row],[weight]]*(0.9155*Table2[[#This Row],[J1,2]]-A$9)^2</f>
        <v>8.0115892610957678E-4</v>
      </c>
      <c r="M29">
        <f>Table3[[#This Row],[weight]]*(0.9155*Table2[[#This Row],[J2,3]]-B$9)^2</f>
        <v>3.0718976642595285E-2</v>
      </c>
      <c r="N29">
        <f>Table3[[#This Row],[weight]]*(0.9155*Table2[[#This Row],[J34]]-C$9)^2</f>
        <v>2.9467367448269867E-2</v>
      </c>
      <c r="O29">
        <f>Table3[[#This Row],[weight]]*(0.9155*Table2[[#This Row],[J45]]-D$9)^2</f>
        <v>2.9696510866999478E-2</v>
      </c>
      <c r="P29">
        <f>Table3[[#This Row],[weight]]*(0.9155*Table2[[#This Row],[J56]]-E$9)^2</f>
        <v>9.3680605867075467E-2</v>
      </c>
      <c r="Q29">
        <f>Table3[[#This Row],[weight]]*(0.9155*Table2[[#This Row],[J67]]-F$9)^2</f>
        <v>2.4891781195491972E-3</v>
      </c>
      <c r="R29">
        <f>Table3[[#This Row],[weight]]*(0.9155*Table2[[#This Row],[J67'']]-G$9)^2</f>
        <v>4.165898064938707E-2</v>
      </c>
      <c r="S29">
        <f>chloroform!J34</f>
        <v>8.5264554589112415E-4</v>
      </c>
      <c r="T29" t="str">
        <f>chloroform!F34</f>
        <v>6H4</v>
      </c>
    </row>
    <row r="30" spans="7:20" x14ac:dyDescent="0.25">
      <c r="K30">
        <f>chloroform!E35</f>
        <v>59</v>
      </c>
      <c r="L30">
        <f>Table3[[#This Row],[weight]]*(0.9155*Table2[[#This Row],[J1,2]]-A$9)^2</f>
        <v>2.3743279623671701E-4</v>
      </c>
      <c r="M30">
        <f>Table3[[#This Row],[weight]]*(0.9155*Table2[[#This Row],[J2,3]]-B$9)^2</f>
        <v>1.854940004560364E-3</v>
      </c>
      <c r="N30">
        <f>Table3[[#This Row],[weight]]*(0.9155*Table2[[#This Row],[J34]]-C$9)^2</f>
        <v>1.3552529044433474E-4</v>
      </c>
      <c r="O30">
        <f>Table3[[#This Row],[weight]]*(0.9155*Table2[[#This Row],[J45]]-D$9)^2</f>
        <v>1.4291988926990201E-5</v>
      </c>
      <c r="P30">
        <f>Table3[[#This Row],[weight]]*(0.9155*Table2[[#This Row],[J56]]-E$9)^2</f>
        <v>2.0209601002603821E-3</v>
      </c>
      <c r="Q30">
        <f>Table3[[#This Row],[weight]]*(0.9155*Table2[[#This Row],[J67]]-F$9)^2</f>
        <v>1.6244196549274973E-5</v>
      </c>
      <c r="R30">
        <f>Table3[[#This Row],[weight]]*(0.9155*Table2[[#This Row],[J67'']]-G$9)^2</f>
        <v>1.0558967061611141E-3</v>
      </c>
      <c r="S30">
        <f>chloroform!J35</f>
        <v>5.9510202012591562E-5</v>
      </c>
      <c r="T30" t="str">
        <f>chloroform!F35</f>
        <v>45TH</v>
      </c>
    </row>
    <row r="31" spans="7:20" x14ac:dyDescent="0.25">
      <c r="K31">
        <f>chloroform!E36</f>
        <v>72</v>
      </c>
      <c r="L31">
        <f>Table3[[#This Row],[weight]]*(0.9155*Table2[[#This Row],[J1,2]]-A$9)^2</f>
        <v>3.9724870441348931E-5</v>
      </c>
      <c r="M31">
        <f>Table3[[#This Row],[weight]]*(0.9155*Table2[[#This Row],[J2,3]]-B$9)^2</f>
        <v>3.5838132751864913E-7</v>
      </c>
      <c r="N31">
        <f>Table3[[#This Row],[weight]]*(0.9155*Table2[[#This Row],[J34]]-C$9)^2</f>
        <v>5.5142238647552268E-4</v>
      </c>
      <c r="O31">
        <f>Table3[[#This Row],[weight]]*(0.9155*Table2[[#This Row],[J45]]-D$9)^2</f>
        <v>1.0073357148322451E-4</v>
      </c>
      <c r="P31">
        <f>Table3[[#This Row],[weight]]*(0.9155*Table2[[#This Row],[J56]]-E$9)^2</f>
        <v>3.8393507180938276E-5</v>
      </c>
      <c r="Q31">
        <f>Table3[[#This Row],[weight]]*(0.9155*Table2[[#This Row],[J67]]-F$9)^2</f>
        <v>0.12202439539847028</v>
      </c>
      <c r="R31">
        <f>Table3[[#This Row],[weight]]*(0.9155*Table2[[#This Row],[J67'']]-G$9)^2</f>
        <v>5.683583408933493E-2</v>
      </c>
      <c r="S31">
        <f>chloroform!J36</f>
        <v>2.8128776764733254E-3</v>
      </c>
      <c r="T31" t="str">
        <f>chloroform!F36</f>
        <v>4H6</v>
      </c>
    </row>
    <row r="32" spans="7:20" x14ac:dyDescent="0.25">
      <c r="K32">
        <f>chloroform!E37</f>
        <v>73</v>
      </c>
      <c r="L32">
        <f>Table3[[#This Row],[weight]]*(0.9155*Table2[[#This Row],[J1,2]]-A$9)^2</f>
        <v>0.10896455852233308</v>
      </c>
      <c r="M32">
        <f>Table3[[#This Row],[weight]]*(0.9155*Table2[[#This Row],[J2,3]]-B$9)^2</f>
        <v>1.035826125395763</v>
      </c>
      <c r="N32">
        <f>Table3[[#This Row],[weight]]*(0.9155*Table2[[#This Row],[J34]]-C$9)^2</f>
        <v>0.19606792245952395</v>
      </c>
      <c r="O32">
        <f>Table3[[#This Row],[weight]]*(0.9155*Table2[[#This Row],[J45]]-D$9)^2</f>
        <v>4.53079303312321</v>
      </c>
      <c r="P32">
        <f>Table3[[#This Row],[weight]]*(0.9155*Table2[[#This Row],[J56]]-E$9)^2</f>
        <v>0.14615703898489238</v>
      </c>
      <c r="Q32">
        <f>Table3[[#This Row],[weight]]*(0.9155*Table2[[#This Row],[J67]]-F$9)^2</f>
        <v>6.3723666586686508E-3</v>
      </c>
      <c r="R32">
        <f>Table3[[#This Row],[weight]]*(0.9155*Table2[[#This Row],[J67'']]-G$9)^2</f>
        <v>0.47614107269863254</v>
      </c>
      <c r="S32">
        <f>chloroform!J37</f>
        <v>4.3448357369723078E-2</v>
      </c>
      <c r="T32" t="str">
        <f>chloroform!F37</f>
        <v>5C12</v>
      </c>
    </row>
    <row r="33" spans="11:20" x14ac:dyDescent="0.25">
      <c r="K33">
        <f>chloroform!E38</f>
        <v>76</v>
      </c>
      <c r="L33">
        <f>Table3[[#This Row],[weight]]*(0.9155*Table2[[#This Row],[J1,2]]-A$9)^2</f>
        <v>3.7356212857473059E-4</v>
      </c>
      <c r="M33">
        <f>Table3[[#This Row],[weight]]*(0.9155*Table2[[#This Row],[J2,3]]-B$9)^2</f>
        <v>2.705390359932018E-3</v>
      </c>
      <c r="N33">
        <f>Table3[[#This Row],[weight]]*(0.9155*Table2[[#This Row],[J34]]-C$9)^2</f>
        <v>1.5105796271292418E-4</v>
      </c>
      <c r="O33">
        <f>Table3[[#This Row],[weight]]*(0.9155*Table2[[#This Row],[J45]]-D$9)^2</f>
        <v>2.3170404377927763E-5</v>
      </c>
      <c r="P33">
        <f>Table3[[#This Row],[weight]]*(0.9155*Table2[[#This Row],[J56]]-E$9)^2</f>
        <v>3.099747293355755E-3</v>
      </c>
      <c r="Q33">
        <f>Table3[[#This Row],[weight]]*(0.9155*Table2[[#This Row],[J67]]-F$9)^2</f>
        <v>6.5875561419721995E-7</v>
      </c>
      <c r="R33">
        <f>Table3[[#This Row],[weight]]*(0.9155*Table2[[#This Row],[J67'']]-G$9)^2</f>
        <v>2.4467793838824159E-3</v>
      </c>
      <c r="S33">
        <f>chloroform!J38</f>
        <v>8.6510407005682056E-5</v>
      </c>
      <c r="T33" t="str">
        <f>chloroform!F38</f>
        <v>TH45</v>
      </c>
    </row>
    <row r="34" spans="11:20" x14ac:dyDescent="0.25">
      <c r="K34">
        <f>chloroform!E39</f>
        <v>78</v>
      </c>
      <c r="L34">
        <f>Table3[[#This Row],[weight]]*(0.9155*Table2[[#This Row],[J1,2]]-A$9)^2</f>
        <v>1.5229967086458674E-2</v>
      </c>
      <c r="M34">
        <f>Table3[[#This Row],[weight]]*(0.9155*Table2[[#This Row],[J2,3]]-B$9)^2</f>
        <v>8.1517675937708735E-3</v>
      </c>
      <c r="N34">
        <f>Table3[[#This Row],[weight]]*(0.9155*Table2[[#This Row],[J34]]-C$9)^2</f>
        <v>0.32139290272561249</v>
      </c>
      <c r="O34">
        <f>Table3[[#This Row],[weight]]*(0.9155*Table2[[#This Row],[J45]]-D$9)^2</f>
        <v>0.72143096325026512</v>
      </c>
      <c r="P34">
        <f>Table3[[#This Row],[weight]]*(0.9155*Table2[[#This Row],[J56]]-E$9)^2</f>
        <v>9.483015937070699E-2</v>
      </c>
      <c r="Q34">
        <f>Table3[[#This Row],[weight]]*(0.9155*Table2[[#This Row],[J67]]-F$9)^2</f>
        <v>7.3048397092441951E-3</v>
      </c>
      <c r="R34">
        <f>Table3[[#This Row],[weight]]*(0.9155*Table2[[#This Row],[J67'']]-G$9)^2</f>
        <v>0.80869029360352029</v>
      </c>
      <c r="S34">
        <f>chloroform!J39</f>
        <v>2.3475109694907081E-2</v>
      </c>
      <c r="T34" t="str">
        <f>chloroform!F39</f>
        <v>45TH</v>
      </c>
    </row>
    <row r="35" spans="11:20" x14ac:dyDescent="0.25">
      <c r="K35">
        <f>chloroform!E40</f>
        <v>86</v>
      </c>
      <c r="L35">
        <f>Table3[[#This Row],[weight]]*(0.9155*Table2[[#This Row],[J1,2]]-A$9)^2</f>
        <v>7.3269398779038429E-5</v>
      </c>
      <c r="M35">
        <f>Table3[[#This Row],[weight]]*(0.9155*Table2[[#This Row],[J2,3]]-B$9)^2</f>
        <v>2.6837382142887969E-6</v>
      </c>
      <c r="N35">
        <f>Table3[[#This Row],[weight]]*(0.9155*Table2[[#This Row],[J34]]-C$9)^2</f>
        <v>6.9133268625313723E-4</v>
      </c>
      <c r="O35">
        <f>Table3[[#This Row],[weight]]*(0.9155*Table2[[#This Row],[J45]]-D$9)^2</f>
        <v>1.2776161517828492E-3</v>
      </c>
      <c r="P35">
        <f>Table3[[#This Row],[weight]]*(0.9155*Table2[[#This Row],[J56]]-E$9)^2</f>
        <v>6.0964170865990758E-3</v>
      </c>
      <c r="Q35">
        <f>Table3[[#This Row],[weight]]*(0.9155*Table2[[#This Row],[J67]]-F$9)^2</f>
        <v>1.0669039030074759E-2</v>
      </c>
      <c r="R35">
        <f>Table3[[#This Row],[weight]]*(0.9155*Table2[[#This Row],[J67'']]-G$9)^2</f>
        <v>1.4171364593922478E-7</v>
      </c>
      <c r="S35">
        <f>chloroform!J40</f>
        <v>9.1245607550754346E-5</v>
      </c>
      <c r="T35" t="str">
        <f>chloroform!F40</f>
        <v>12C5</v>
      </c>
    </row>
    <row r="36" spans="11:20" x14ac:dyDescent="0.25">
      <c r="K36">
        <f>chloroform!E41</f>
        <v>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>
        <f>chloroform!E42</f>
        <v>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>
        <f>chloroform!E43</f>
        <v>103</v>
      </c>
      <c r="L38">
        <f>Table3[[#This Row],[weight]]*(0.9155*Table2[[#This Row],[J1,2]]-A$9)^2</f>
        <v>7.1484709518122025E-5</v>
      </c>
      <c r="M38">
        <f>Table3[[#This Row],[weight]]*(0.9155*Table2[[#This Row],[J2,3]]-B$9)^2</f>
        <v>0.69494306398997219</v>
      </c>
      <c r="N38">
        <f>Table3[[#This Row],[weight]]*(0.9155*Table2[[#This Row],[J34]]-C$9)^2</f>
        <v>0.43647925842855478</v>
      </c>
      <c r="O38">
        <f>Table3[[#This Row],[weight]]*(0.9155*Table2[[#This Row],[J45]]-D$9)^2</f>
        <v>2.1940765424569517</v>
      </c>
      <c r="P38">
        <f>Table3[[#This Row],[weight]]*(0.9155*Table2[[#This Row],[J56]]-E$9)^2</f>
        <v>2.4345721286629162E-2</v>
      </c>
      <c r="Q38">
        <f>Table3[[#This Row],[weight]]*(0.9155*Table2[[#This Row],[J67]]-F$9)^2</f>
        <v>1.3595248774798051E-2</v>
      </c>
      <c r="R38">
        <f>Table3[[#This Row],[weight]]*(0.9155*Table2[[#This Row],[J67'']]-G$9)^2</f>
        <v>0.65082800128756613</v>
      </c>
      <c r="S38">
        <f>chloroform!J43</f>
        <v>2.4341814562238901E-2</v>
      </c>
      <c r="T38" t="str">
        <f>chloroform!F43</f>
        <v>5C12</v>
      </c>
    </row>
    <row r="39" spans="11:20" x14ac:dyDescent="0.25">
      <c r="K39">
        <f>chloroform!E44</f>
        <v>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>
        <f>chloroform!E45</f>
        <v>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>
        <f>chloroform!E46</f>
        <v>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109</v>
      </c>
      <c r="L42">
        <f>Table3[[#This Row],[weight]]*(0.9155*Table2[[#This Row],[J1,2]]-A$9)^2</f>
        <v>5.3688844338119308E-3</v>
      </c>
      <c r="M42">
        <f>Table3[[#This Row],[weight]]*(0.9155*Table2[[#This Row],[J2,3]]-B$9)^2</f>
        <v>1.4406553511779352E-2</v>
      </c>
      <c r="N42">
        <f>Table3[[#This Row],[weight]]*(0.9155*Table2[[#This Row],[J34]]-C$9)^2</f>
        <v>0.12741527796702512</v>
      </c>
      <c r="O42">
        <f>Table3[[#This Row],[weight]]*(0.9155*Table2[[#This Row],[J45]]-D$9)^2</f>
        <v>0.30787306071525949</v>
      </c>
      <c r="P42">
        <f>Table3[[#This Row],[weight]]*(0.9155*Table2[[#This Row],[J56]]-E$9)^2</f>
        <v>3.7000163584083826E-2</v>
      </c>
      <c r="Q42">
        <f>Table3[[#This Row],[weight]]*(0.9155*Table2[[#This Row],[J67]]-F$9)^2</f>
        <v>1.2592250109027477E-2</v>
      </c>
      <c r="R42">
        <f>Table3[[#This Row],[weight]]*(0.9155*Table2[[#This Row],[J67'']]-G$9)^2</f>
        <v>0.36193139078183839</v>
      </c>
      <c r="S42">
        <f>chloroform!J47</f>
        <v>1.0480173242917196E-2</v>
      </c>
      <c r="T42" t="str">
        <f>chloroform!F47</f>
        <v>45TH</v>
      </c>
    </row>
    <row r="43" spans="11:20" x14ac:dyDescent="0.25">
      <c r="K43">
        <f>chloroform!E48</f>
        <v>123</v>
      </c>
      <c r="L43">
        <f>Table3[[#This Row],[weight]]*(0.9155*Table2[[#This Row],[J1,2]]-A$9)^2</f>
        <v>3.2060402867648002E-5</v>
      </c>
      <c r="M43">
        <f>Table3[[#This Row],[weight]]*(0.9155*Table2[[#This Row],[J2,3]]-B$9)^2</f>
        <v>2.8849694410299952E-2</v>
      </c>
      <c r="N43">
        <f>Table3[[#This Row],[weight]]*(0.9155*Table2[[#This Row],[J34]]-C$9)^2</f>
        <v>1.6829235727093973E-2</v>
      </c>
      <c r="O43">
        <f>Table3[[#This Row],[weight]]*(0.9155*Table2[[#This Row],[J45]]-D$9)^2</f>
        <v>9.3161640652239447E-2</v>
      </c>
      <c r="P43">
        <f>Table3[[#This Row],[weight]]*(0.9155*Table2[[#This Row],[J56]]-E$9)^2</f>
        <v>2.276115226984024E-3</v>
      </c>
      <c r="Q43">
        <f>Table3[[#This Row],[weight]]*(0.9155*Table2[[#This Row],[J67]]-F$9)^2</f>
        <v>1.3589019209564709E-4</v>
      </c>
      <c r="R43">
        <f>Table3[[#This Row],[weight]]*(0.9155*Table2[[#This Row],[J67'']]-G$9)^2</f>
        <v>5.0200288775082025E-3</v>
      </c>
      <c r="S43">
        <f>chloroform!J48</f>
        <v>1.0355624200105362E-3</v>
      </c>
      <c r="T43" t="str">
        <f>chloroform!F48</f>
        <v>5C12</v>
      </c>
    </row>
    <row r="44" spans="11:20" x14ac:dyDescent="0.25">
      <c r="K44">
        <f>chloroform!E49</f>
        <v>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>
        <f>chloroform!E50</f>
        <v>128</v>
      </c>
      <c r="L45">
        <f>Table3[[#This Row],[weight]]*(0.9155*Table2[[#This Row],[J1,2]]-A$9)^2</f>
        <v>2.7643087154913292E-4</v>
      </c>
      <c r="M45">
        <f>Table3[[#This Row],[weight]]*(0.9155*Table2[[#This Row],[J2,3]]-B$9)^2</f>
        <v>9.2272526027317411E-6</v>
      </c>
      <c r="N45">
        <f>Table3[[#This Row],[weight]]*(0.9155*Table2[[#This Row],[J34]]-C$9)^2</f>
        <v>3.1742430746789126E-3</v>
      </c>
      <c r="O45">
        <f>Table3[[#This Row],[weight]]*(0.9155*Table2[[#This Row],[J45]]-D$9)^2</f>
        <v>5.2663323798234074E-3</v>
      </c>
      <c r="P45">
        <f>Table3[[#This Row],[weight]]*(0.9155*Table2[[#This Row],[J56]]-E$9)^2</f>
        <v>2.5048418740059013E-2</v>
      </c>
      <c r="Q45">
        <f>Table3[[#This Row],[weight]]*(0.9155*Table2[[#This Row],[J67]]-F$9)^2</f>
        <v>2.3078215118310346E-6</v>
      </c>
      <c r="R45">
        <f>Table3[[#This Row],[weight]]*(0.9155*Table2[[#This Row],[J67'']]-G$9)^2</f>
        <v>8.7792204944646558E-3</v>
      </c>
      <c r="S45">
        <f>chloroform!J50</f>
        <v>3.8396480201243605E-4</v>
      </c>
      <c r="T45" t="str">
        <f>chloroform!F50</f>
        <v>12C5</v>
      </c>
    </row>
    <row r="46" spans="11:20" x14ac:dyDescent="0.25">
      <c r="K46">
        <f>chloroform!E51</f>
        <v>135</v>
      </c>
      <c r="L46">
        <f>Table3[[#This Row],[weight]]*(0.9155*Table2[[#This Row],[J1,2]]-A$9)^2</f>
        <v>3.2060242643779492E-4</v>
      </c>
      <c r="M46">
        <f>Table3[[#This Row],[weight]]*(0.9155*Table2[[#This Row],[J2,3]]-B$9)^2</f>
        <v>2.4911682543687717E-2</v>
      </c>
      <c r="N46">
        <f>Table3[[#This Row],[weight]]*(0.9155*Table2[[#This Row],[J34]]-C$9)^2</f>
        <v>5.9028625208652603E-2</v>
      </c>
      <c r="O46">
        <f>Table3[[#This Row],[weight]]*(0.9155*Table2[[#This Row],[J45]]-D$9)^2</f>
        <v>0.36640813860413052</v>
      </c>
      <c r="P46">
        <f>Table3[[#This Row],[weight]]*(0.9155*Table2[[#This Row],[J56]]-E$9)^2</f>
        <v>3.8422741985555217E-2</v>
      </c>
      <c r="Q46">
        <f>Table3[[#This Row],[weight]]*(0.9155*Table2[[#This Row],[J67]]-F$9)^2</f>
        <v>5.157669519366123E-4</v>
      </c>
      <c r="R46">
        <f>Table3[[#This Row],[weight]]*(0.9155*Table2[[#This Row],[J67'']]-G$9)^2</f>
        <v>6.2183341531681952E-2</v>
      </c>
      <c r="S46">
        <f>chloroform!J51</f>
        <v>3.3642829479174261E-3</v>
      </c>
      <c r="T46" t="str">
        <f>chloroform!F51</f>
        <v>56TH</v>
      </c>
    </row>
    <row r="47" spans="11:20" x14ac:dyDescent="0.25">
      <c r="K47">
        <f>chloroform!E52</f>
        <v>136</v>
      </c>
      <c r="L47">
        <f>Table3[[#This Row],[weight]]*(0.9155*Table2[[#This Row],[J1,2]]-A$9)^2</f>
        <v>1.688295766036136E-3</v>
      </c>
      <c r="M47">
        <f>Table3[[#This Row],[weight]]*(0.9155*Table2[[#This Row],[J2,3]]-B$9)^2</f>
        <v>2.9607920389312297E-2</v>
      </c>
      <c r="N47">
        <f>Table3[[#This Row],[weight]]*(0.9155*Table2[[#This Row],[J34]]-C$9)^2</f>
        <v>7.3874739102305336E-3</v>
      </c>
      <c r="O47">
        <f>Table3[[#This Row],[weight]]*(0.9155*Table2[[#This Row],[J45]]-D$9)^2</f>
        <v>0.11260748961101899</v>
      </c>
      <c r="P47">
        <f>Table3[[#This Row],[weight]]*(0.9155*Table2[[#This Row],[J56]]-E$9)^2</f>
        <v>4.9657994753448328E-3</v>
      </c>
      <c r="Q47">
        <f>Table3[[#This Row],[weight]]*(0.9155*Table2[[#This Row],[J67]]-F$9)^2</f>
        <v>7.8291395685506642E-4</v>
      </c>
      <c r="R47">
        <f>Table3[[#This Row],[weight]]*(0.9155*Table2[[#This Row],[J67'']]-G$9)^2</f>
        <v>3.1475469494585566E-2</v>
      </c>
      <c r="S47">
        <f>chloroform!J52</f>
        <v>1.0909790359274407E-3</v>
      </c>
      <c r="T47" t="str">
        <f>chloroform!F52</f>
        <v>5C12</v>
      </c>
    </row>
    <row r="48" spans="11:20" x14ac:dyDescent="0.25">
      <c r="K48">
        <f>chloroform!E53</f>
        <v>142</v>
      </c>
      <c r="L48">
        <f>Table3[[#This Row],[weight]]*(0.9155*Table2[[#This Row],[J1,2]]-A$9)^2</f>
        <v>1.6293535229949986E-4</v>
      </c>
      <c r="M48">
        <f>Table3[[#This Row],[weight]]*(0.9155*Table2[[#This Row],[J2,3]]-B$9)^2</f>
        <v>0.20279020231527678</v>
      </c>
      <c r="N48">
        <f>Table3[[#This Row],[weight]]*(0.9155*Table2[[#This Row],[J34]]-C$9)^2</f>
        <v>0.12498801507966935</v>
      </c>
      <c r="O48">
        <f>Table3[[#This Row],[weight]]*(0.9155*Table2[[#This Row],[J45]]-D$9)^2</f>
        <v>0.64589587867616416</v>
      </c>
      <c r="P48">
        <f>Table3[[#This Row],[weight]]*(0.9155*Table2[[#This Row],[J56]]-E$9)^2</f>
        <v>8.8826220701332774E-3</v>
      </c>
      <c r="Q48">
        <f>Table3[[#This Row],[weight]]*(0.9155*Table2[[#This Row],[J67]]-F$9)^2</f>
        <v>0.46637747000895291</v>
      </c>
      <c r="R48">
        <f>Table3[[#This Row],[weight]]*(0.9155*Table2[[#This Row],[J67'']]-G$9)^2</f>
        <v>5.9763252311772555E-2</v>
      </c>
      <c r="S48">
        <f>chloroform!J53</f>
        <v>6.8221098406788241E-3</v>
      </c>
      <c r="T48" t="str">
        <f>chloroform!F53</f>
        <v>5C12</v>
      </c>
    </row>
    <row r="49" spans="11:20" x14ac:dyDescent="0.25">
      <c r="K49">
        <f>chloroform!E54</f>
        <v>143</v>
      </c>
      <c r="L49">
        <f>Table3[[#This Row],[weight]]*(0.9155*Table2[[#This Row],[J1,2]]-A$9)^2</f>
        <v>1.5233192884052366E-4</v>
      </c>
      <c r="M49">
        <f>Table3[[#This Row],[weight]]*(0.9155*Table2[[#This Row],[J2,3]]-B$9)^2</f>
        <v>7.5765289725495877E-5</v>
      </c>
      <c r="N49">
        <f>Table3[[#This Row],[weight]]*(0.9155*Table2[[#This Row],[J34]]-C$9)^2</f>
        <v>2.6388027807439946E-3</v>
      </c>
      <c r="O49">
        <f>Table3[[#This Row],[weight]]*(0.9155*Table2[[#This Row],[J45]]-D$9)^2</f>
        <v>8.2476661038112867E-3</v>
      </c>
      <c r="P49">
        <f>Table3[[#This Row],[weight]]*(0.9155*Table2[[#This Row],[J56]]-E$9)^2</f>
        <v>1.1744948384136387E-3</v>
      </c>
      <c r="Q49">
        <f>Table3[[#This Row],[weight]]*(0.9155*Table2[[#This Row],[J67]]-F$9)^2</f>
        <v>7.4103808634191672E-3</v>
      </c>
      <c r="R49">
        <f>Table3[[#This Row],[weight]]*(0.9155*Table2[[#This Row],[J67'']]-G$9)^2</f>
        <v>1.1652403656148406E-3</v>
      </c>
      <c r="S49">
        <f>chloroform!J54</f>
        <v>1.0481661180679757E-4</v>
      </c>
      <c r="T49" t="str">
        <f>chloroform!F54</f>
        <v>45TH</v>
      </c>
    </row>
    <row r="50" spans="11:20" x14ac:dyDescent="0.25">
      <c r="K50">
        <f>chloroform!E55</f>
        <v>144</v>
      </c>
      <c r="L50">
        <f>Table3[[#This Row],[weight]]*(0.9155*Table2[[#This Row],[J1,2]]-A$9)^2</f>
        <v>1.2424626706286296E-4</v>
      </c>
      <c r="M50">
        <f>Table3[[#This Row],[weight]]*(0.9155*Table2[[#This Row],[J2,3]]-B$9)^2</f>
        <v>4.5519917508155432E-5</v>
      </c>
      <c r="N50">
        <f>Table3[[#This Row],[weight]]*(0.9155*Table2[[#This Row],[J34]]-C$9)^2</f>
        <v>1.0273713936066636E-3</v>
      </c>
      <c r="O50">
        <f>Table3[[#This Row],[weight]]*(0.9155*Table2[[#This Row],[J45]]-D$9)^2</f>
        <v>1.3800192184579652E-3</v>
      </c>
      <c r="P50">
        <f>Table3[[#This Row],[weight]]*(0.9155*Table2[[#This Row],[J56]]-E$9)^2</f>
        <v>6.3325215838501547E-3</v>
      </c>
      <c r="Q50">
        <f>Table3[[#This Row],[weight]]*(0.9155*Table2[[#This Row],[J67]]-F$9)^2</f>
        <v>1.1787735921998737E-2</v>
      </c>
      <c r="R50">
        <f>Table3[[#This Row],[weight]]*(0.9155*Table2[[#This Row],[J67'']]-G$9)^2</f>
        <v>7.1175009947837766E-6</v>
      </c>
      <c r="S50">
        <f>chloroform!J55</f>
        <v>9.9628718875851752E-5</v>
      </c>
      <c r="T50" t="str">
        <f>chloroform!F55</f>
        <v>12C5</v>
      </c>
    </row>
    <row r="51" spans="11:20" x14ac:dyDescent="0.25">
      <c r="K51">
        <f>chloroform!E56</f>
        <v>145</v>
      </c>
      <c r="L51">
        <f>Table3[[#This Row],[weight]]*(0.9155*Table2[[#This Row],[J1,2]]-A$9)^2</f>
        <v>3.9616420225496073E-4</v>
      </c>
      <c r="M51">
        <f>Table3[[#This Row],[weight]]*(0.9155*Table2[[#This Row],[J2,3]]-B$9)^2</f>
        <v>1.0783906186154835E-4</v>
      </c>
      <c r="N51">
        <f>Table3[[#This Row],[weight]]*(0.9155*Table2[[#This Row],[J34]]-C$9)^2</f>
        <v>2.2239549385841026E-3</v>
      </c>
      <c r="O51">
        <f>Table3[[#This Row],[weight]]*(0.9155*Table2[[#This Row],[J45]]-D$9)^2</f>
        <v>4.5421441225433996E-3</v>
      </c>
      <c r="P51">
        <f>Table3[[#This Row],[weight]]*(0.9155*Table2[[#This Row],[J56]]-E$9)^2</f>
        <v>1.86052462241925E-2</v>
      </c>
      <c r="Q51">
        <f>Table3[[#This Row],[weight]]*(0.9155*Table2[[#This Row],[J67]]-F$9)^2</f>
        <v>3.3785391934024467E-2</v>
      </c>
      <c r="R51">
        <f>Table3[[#This Row],[weight]]*(0.9155*Table2[[#This Row],[J67'']]-G$9)^2</f>
        <v>3.5016059560668776E-6</v>
      </c>
      <c r="S51">
        <f>chloroform!J56</f>
        <v>2.7635755668103923E-4</v>
      </c>
      <c r="T51" t="str">
        <f>chloroform!F56</f>
        <v>5C12</v>
      </c>
    </row>
    <row r="52" spans="11:20" x14ac:dyDescent="0.25">
      <c r="K52">
        <f>chloroform!E57</f>
        <v>166</v>
      </c>
      <c r="L52">
        <f>Table3[[#This Row],[weight]]*(0.9155*Table2[[#This Row],[J1,2]]-A$9)^2</f>
        <v>3.0958544056123517E-3</v>
      </c>
      <c r="M52">
        <f>Table3[[#This Row],[weight]]*(0.9155*Table2[[#This Row],[J2,3]]-B$9)^2</f>
        <v>3.2406349644017514E-2</v>
      </c>
      <c r="N52">
        <f>Table3[[#This Row],[weight]]*(0.9155*Table2[[#This Row],[J34]]-C$9)^2</f>
        <v>6.1522251945879264E-3</v>
      </c>
      <c r="O52">
        <f>Table3[[#This Row],[weight]]*(0.9155*Table2[[#This Row],[J45]]-D$9)^2</f>
        <v>0.15621014332527647</v>
      </c>
      <c r="P52">
        <f>Table3[[#This Row],[weight]]*(0.9155*Table2[[#This Row],[J56]]-E$9)^2</f>
        <v>1.0138154001462656E-2</v>
      </c>
      <c r="Q52">
        <f>Table3[[#This Row],[weight]]*(0.9155*Table2[[#This Row],[J67]]-F$9)^2</f>
        <v>5.5815487786062506E-4</v>
      </c>
      <c r="R52">
        <f>Table3[[#This Row],[weight]]*(0.9155*Table2[[#This Row],[J67'']]-G$9)^2</f>
        <v>5.3316716805378021E-2</v>
      </c>
      <c r="S52">
        <f>chloroform!J57</f>
        <v>1.4559203751675592E-3</v>
      </c>
      <c r="T52" t="str">
        <f>chloroform!F57</f>
        <v>5C12</v>
      </c>
    </row>
    <row r="53" spans="11:20" x14ac:dyDescent="0.25">
      <c r="K53">
        <f>chloroform!E58</f>
        <v>173</v>
      </c>
      <c r="L53">
        <f>Table3[[#This Row],[weight]]*(0.9155*Table2[[#This Row],[J1,2]]-A$9)^2</f>
        <v>3.6850970096329006E-4</v>
      </c>
      <c r="M53">
        <f>Table3[[#This Row],[weight]]*(0.9155*Table2[[#This Row],[J2,3]]-B$9)^2</f>
        <v>1.0500656679426406E-4</v>
      </c>
      <c r="N53">
        <f>Table3[[#This Row],[weight]]*(0.9155*Table2[[#This Row],[J34]]-C$9)^2</f>
        <v>3.0206413941885426E-3</v>
      </c>
      <c r="O53">
        <f>Table3[[#This Row],[weight]]*(0.9155*Table2[[#This Row],[J45]]-D$9)^2</f>
        <v>4.9514005285038786E-3</v>
      </c>
      <c r="P53">
        <f>Table3[[#This Row],[weight]]*(0.9155*Table2[[#This Row],[J56]]-E$9)^2</f>
        <v>1.8511684977498857E-2</v>
      </c>
      <c r="Q53">
        <f>Table3[[#This Row],[weight]]*(0.9155*Table2[[#This Row],[J67]]-F$9)^2</f>
        <v>2.0302970993325424E-5</v>
      </c>
      <c r="R53">
        <f>Table3[[#This Row],[weight]]*(0.9155*Table2[[#This Row],[J67'']]-G$9)^2</f>
        <v>8.5829401306166675E-3</v>
      </c>
      <c r="S53">
        <f>chloroform!J58</f>
        <v>3.0747526469437659E-4</v>
      </c>
      <c r="T53" t="str">
        <f>chloroform!F58</f>
        <v>12C5</v>
      </c>
    </row>
    <row r="54" spans="11:20" x14ac:dyDescent="0.25">
      <c r="K54">
        <f>chloroform!E59</f>
        <v>191</v>
      </c>
      <c r="L54">
        <f>Table3[[#This Row],[weight]]*(0.9155*Table2[[#This Row],[J1,2]]-A$9)^2</f>
        <v>6.830608925448124E-5</v>
      </c>
      <c r="M54">
        <f>Table3[[#This Row],[weight]]*(0.9155*Table2[[#This Row],[J2,3]]-B$9)^2</f>
        <v>2.4364699987370873E-6</v>
      </c>
      <c r="N54">
        <f>Table3[[#This Row],[weight]]*(0.9155*Table2[[#This Row],[J34]]-C$9)^2</f>
        <v>6.5896260718032265E-4</v>
      </c>
      <c r="O54">
        <f>Table3[[#This Row],[weight]]*(0.9155*Table2[[#This Row],[J45]]-D$9)^2</f>
        <v>1.2242896385695375E-3</v>
      </c>
      <c r="P54">
        <f>Table3[[#This Row],[weight]]*(0.9155*Table2[[#This Row],[J56]]-E$9)^2</f>
        <v>6.0384892227549232E-3</v>
      </c>
      <c r="Q54">
        <f>Table3[[#This Row],[weight]]*(0.9155*Table2[[#This Row],[J67]]-F$9)^2</f>
        <v>1.0573319077014072E-2</v>
      </c>
      <c r="R54">
        <f>Table3[[#This Row],[weight]]*(0.9155*Table2[[#This Row],[J67'']]-G$9)^2</f>
        <v>1.1708795987276447E-9</v>
      </c>
      <c r="S54">
        <f>chloroform!J59</f>
        <v>8.9394687272523727E-5</v>
      </c>
      <c r="T54" t="str">
        <f>chloroform!F59</f>
        <v>12C5</v>
      </c>
    </row>
    <row r="55" spans="11:20" x14ac:dyDescent="0.25">
      <c r="K55">
        <f>chloroform!E60</f>
        <v>193</v>
      </c>
      <c r="L55">
        <f>Table3[[#This Row],[weight]]*(0.9155*Table2[[#This Row],[J1,2]]-A$9)^2</f>
        <v>1.2123475352851167E-3</v>
      </c>
      <c r="M55">
        <f>Table3[[#This Row],[weight]]*(0.9155*Table2[[#This Row],[J2,3]]-B$9)^2</f>
        <v>5.3984115754868373E-4</v>
      </c>
      <c r="N55">
        <f>Table3[[#This Row],[weight]]*(0.9155*Table2[[#This Row],[J34]]-C$9)^2</f>
        <v>8.8988797637759489E-3</v>
      </c>
      <c r="O55">
        <f>Table3[[#This Row],[weight]]*(0.9155*Table2[[#This Row],[J45]]-D$9)^2</f>
        <v>1.4113134485468177E-2</v>
      </c>
      <c r="P55">
        <f>Table3[[#This Row],[weight]]*(0.9155*Table2[[#This Row],[J56]]-E$9)^2</f>
        <v>5.6120732591847092E-2</v>
      </c>
      <c r="Q55">
        <f>Table3[[#This Row],[weight]]*(0.9155*Table2[[#This Row],[J67]]-F$9)^2</f>
        <v>3.5272370477825938E-6</v>
      </c>
      <c r="R55">
        <f>Table3[[#This Row],[weight]]*(0.9155*Table2[[#This Row],[J67'']]-G$9)^2</f>
        <v>2.1759604740732286E-2</v>
      </c>
      <c r="S55">
        <f>chloroform!J60</f>
        <v>9.1866401191648855E-4</v>
      </c>
      <c r="T55" t="str">
        <f>chloroform!F60</f>
        <v>12C5</v>
      </c>
    </row>
    <row r="56" spans="11:20" x14ac:dyDescent="0.25">
      <c r="K56">
        <f>chloroform!E61</f>
        <v>197</v>
      </c>
      <c r="L56">
        <f>Table3[[#This Row],[weight]]*(0.9155*Table2[[#This Row],[J1,2]]-A$9)^2</f>
        <v>0</v>
      </c>
      <c r="M56">
        <f>Table3[[#This Row],[weight]]*(0.9155*Table2[[#This Row],[J2,3]]-B$9)^2</f>
        <v>0</v>
      </c>
      <c r="N56">
        <f>Table3[[#This Row],[weight]]*(0.9155*Table2[[#This Row],[J34]]-C$9)^2</f>
        <v>0</v>
      </c>
      <c r="O56">
        <f>Table3[[#This Row],[weight]]*(0.9155*Table2[[#This Row],[J45]]-D$9)^2</f>
        <v>0</v>
      </c>
      <c r="P56">
        <f>Table3[[#This Row],[weight]]*(0.9155*Table2[[#This Row],[J56]]-E$9)^2</f>
        <v>0</v>
      </c>
      <c r="Q56">
        <f>Table3[[#This Row],[weight]]*(0.9155*Table2[[#This Row],[J67]]-F$9)^2</f>
        <v>0</v>
      </c>
      <c r="R56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>
        <f>chloroform!E62</f>
        <v>208</v>
      </c>
      <c r="L57">
        <f>Table3[[#This Row],[weight]]*(0.9155*Table2[[#This Row],[J1,2]]-A$9)^2</f>
        <v>6.8637241987321959E-5</v>
      </c>
      <c r="M57">
        <f>Table3[[#This Row],[weight]]*(0.9155*Table2[[#This Row],[J2,3]]-B$9)^2</f>
        <v>9.8591621340414232E-4</v>
      </c>
      <c r="N57">
        <f>Table3[[#This Row],[weight]]*(0.9155*Table2[[#This Row],[J34]]-C$9)^2</f>
        <v>3.5580282217821256E-4</v>
      </c>
      <c r="O57">
        <f>Table3[[#This Row],[weight]]*(0.9155*Table2[[#This Row],[J45]]-D$9)^2</f>
        <v>3.9107629188656094E-3</v>
      </c>
      <c r="P57">
        <f>Table3[[#This Row],[weight]]*(0.9155*Table2[[#This Row],[J56]]-E$9)^2</f>
        <v>2.0247543699485144E-4</v>
      </c>
      <c r="Q57">
        <f>Table3[[#This Row],[weight]]*(0.9155*Table2[[#This Row],[J67]]-F$9)^2</f>
        <v>1.5182189686773904E-6</v>
      </c>
      <c r="R57">
        <f>Table3[[#This Row],[weight]]*(0.9155*Table2[[#This Row],[J67'']]-G$9)^2</f>
        <v>1.009978585177504E-3</v>
      </c>
      <c r="S57">
        <f>chloroform!J62</f>
        <v>3.6649916726386473E-5</v>
      </c>
      <c r="T57" t="str">
        <f>chloroform!F62</f>
        <v>5C12</v>
      </c>
    </row>
    <row r="58" spans="11:20" x14ac:dyDescent="0.25">
      <c r="K58">
        <f>chloroform!E63</f>
        <v>212</v>
      </c>
      <c r="L58">
        <f>Table3[[#This Row],[weight]]*(0.9155*Table2[[#This Row],[J1,2]]-A$9)^2</f>
        <v>2.1446729100416126E-4</v>
      </c>
      <c r="M58">
        <f>Table3[[#This Row],[weight]]*(0.9155*Table2[[#This Row],[J2,3]]-B$9)^2</f>
        <v>8.4907294439974239E-5</v>
      </c>
      <c r="N58">
        <f>Table3[[#This Row],[weight]]*(0.9155*Table2[[#This Row],[J34]]-C$9)^2</f>
        <v>2.5954915163222095E-3</v>
      </c>
      <c r="O58">
        <f>Table3[[#This Row],[weight]]*(0.9155*Table2[[#This Row],[J45]]-D$9)^2</f>
        <v>2.7839037000246276E-3</v>
      </c>
      <c r="P58">
        <f>Table3[[#This Row],[weight]]*(0.9155*Table2[[#This Row],[J56]]-E$9)^2</f>
        <v>1.1808538457272177E-2</v>
      </c>
      <c r="Q58">
        <f>Table3[[#This Row],[weight]]*(0.9155*Table2[[#This Row],[J67]]-F$9)^2</f>
        <v>1.8841461507471478E-5</v>
      </c>
      <c r="R58">
        <f>Table3[[#This Row],[weight]]*(0.9155*Table2[[#This Row],[J67'']]-G$9)^2</f>
        <v>5.4832629495278539E-3</v>
      </c>
      <c r="S58">
        <f>chloroform!J63</f>
        <v>2.0479100043481447E-4</v>
      </c>
      <c r="T58" t="str">
        <f>chloroform!F63</f>
        <v>12C5</v>
      </c>
    </row>
    <row r="59" spans="11:20" x14ac:dyDescent="0.25">
      <c r="K59">
        <f>chloroform!E64</f>
        <v>215</v>
      </c>
      <c r="L59">
        <f>Table3[[#This Row],[weight]]*(0.9155*Table2[[#This Row],[J1,2]]-A$9)^2</f>
        <v>1.5394109186339343E-3</v>
      </c>
      <c r="M59">
        <f>Table3[[#This Row],[weight]]*(0.9155*Table2[[#This Row],[J2,3]]-B$9)^2</f>
        <v>3.4708811826611729E-4</v>
      </c>
      <c r="N59">
        <f>Table3[[#This Row],[weight]]*(0.9155*Table2[[#This Row],[J34]]-C$9)^2</f>
        <v>1.0310222922878394E-2</v>
      </c>
      <c r="O59">
        <f>Table3[[#This Row],[weight]]*(0.9155*Table2[[#This Row],[J45]]-D$9)^2</f>
        <v>1.9212610151660731E-2</v>
      </c>
      <c r="P59">
        <f>Table3[[#This Row],[weight]]*(0.9155*Table2[[#This Row],[J56]]-E$9)^2</f>
        <v>7.5933571134288946E-2</v>
      </c>
      <c r="Q59">
        <f>Table3[[#This Row],[weight]]*(0.9155*Table2[[#This Row],[J67]]-F$9)^2</f>
        <v>1.5695390626362614E-5</v>
      </c>
      <c r="R59">
        <f>Table3[[#This Row],[weight]]*(0.9155*Table2[[#This Row],[J67'']]-G$9)^2</f>
        <v>2.857507949740333E-2</v>
      </c>
      <c r="S59">
        <f>chloroform!J64</f>
        <v>1.2045916108581406E-3</v>
      </c>
      <c r="T59" t="str">
        <f>chloroform!F64</f>
        <v>12C5</v>
      </c>
    </row>
    <row r="60" spans="11:20" x14ac:dyDescent="0.25">
      <c r="K60">
        <f>chloroform!E65</f>
        <v>219</v>
      </c>
      <c r="L60">
        <f>Table3[[#This Row],[weight]]*(0.9155*Table2[[#This Row],[J1,2]]-A$9)^2</f>
        <v>2.1135305544908703E-4</v>
      </c>
      <c r="M60">
        <f>Table3[[#This Row],[weight]]*(0.9155*Table2[[#This Row],[J2,3]]-B$9)^2</f>
        <v>1.1994546630362731E-4</v>
      </c>
      <c r="N60">
        <f>Table3[[#This Row],[weight]]*(0.9155*Table2[[#This Row],[J34]]-C$9)^2</f>
        <v>8.3773600868316742E-4</v>
      </c>
      <c r="O60">
        <f>Table3[[#This Row],[weight]]*(0.9155*Table2[[#This Row],[J45]]-D$9)^2</f>
        <v>1.8810920509042656E-3</v>
      </c>
      <c r="P60">
        <f>Table3[[#This Row],[weight]]*(0.9155*Table2[[#This Row],[J56]]-E$9)^2</f>
        <v>3.9021926939278627E-3</v>
      </c>
      <c r="Q60">
        <f>Table3[[#This Row],[weight]]*(0.9155*Table2[[#This Row],[J67]]-F$9)^2</f>
        <v>2.5993940318902153E-5</v>
      </c>
      <c r="R60">
        <f>Table3[[#This Row],[weight]]*(0.9155*Table2[[#This Row],[J67'']]-G$9)^2</f>
        <v>1.8100043980956418E-3</v>
      </c>
      <c r="S60">
        <f>chloroform!J65</f>
        <v>7.2359087420227486E-5</v>
      </c>
      <c r="T60" t="str">
        <f>chloroform!F65</f>
        <v>12C5</v>
      </c>
    </row>
    <row r="61" spans="11:20" x14ac:dyDescent="0.25">
      <c r="K61">
        <f>chloroform!E66</f>
        <v>220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>
        <f>chloroform!E67</f>
        <v>241</v>
      </c>
      <c r="L62">
        <f>Table3[[#This Row],[weight]]*(0.9155*Table2[[#This Row],[J1,2]]-A$9)^2</f>
        <v>1.3713722641643677E-3</v>
      </c>
      <c r="M62">
        <f>Table3[[#This Row],[weight]]*(0.9155*Table2[[#This Row],[J2,3]]-B$9)^2</f>
        <v>5.9284421780089963E-4</v>
      </c>
      <c r="N62">
        <f>Table3[[#This Row],[weight]]*(0.9155*Table2[[#This Row],[J34]]-C$9)^2</f>
        <v>9.6438633499070728E-3</v>
      </c>
      <c r="O62">
        <f>Table3[[#This Row],[weight]]*(0.9155*Table2[[#This Row],[J45]]-D$9)^2</f>
        <v>1.5694659922806397E-2</v>
      </c>
      <c r="P62">
        <f>Table3[[#This Row],[weight]]*(0.9155*Table2[[#This Row],[J56]]-E$9)^2</f>
        <v>5.7969983943420476E-2</v>
      </c>
      <c r="Q62">
        <f>Table3[[#This Row],[weight]]*(0.9155*Table2[[#This Row],[J67]]-F$9)^2</f>
        <v>9.3828034250280384E-5</v>
      </c>
      <c r="R62">
        <f>Table3[[#This Row],[weight]]*(0.9155*Table2[[#This Row],[J67'']]-G$9)^2</f>
        <v>2.711096285891515E-2</v>
      </c>
      <c r="S62">
        <f>chloroform!J67</f>
        <v>9.7595257771434173E-4</v>
      </c>
      <c r="T62" t="str">
        <f>chloroform!F67</f>
        <v>12C5</v>
      </c>
    </row>
    <row r="63" spans="11:20" x14ac:dyDescent="0.25">
      <c r="K63">
        <f>chloroform!E68</f>
        <v>272</v>
      </c>
      <c r="L63">
        <f>Table3[[#This Row],[weight]]*(0.9155*Table2[[#This Row],[J1,2]]-A$9)^2</f>
        <v>1.3556211363636018E-4</v>
      </c>
      <c r="M63">
        <f>Table3[[#This Row],[weight]]*(0.9155*Table2[[#This Row],[J2,3]]-B$9)^2</f>
        <v>3.1256457145626628E-3</v>
      </c>
      <c r="N63">
        <f>Table3[[#This Row],[weight]]*(0.9155*Table2[[#This Row],[J34]]-C$9)^2</f>
        <v>4.8535624630641839E-3</v>
      </c>
      <c r="O63">
        <f>Table3[[#This Row],[weight]]*(0.9155*Table2[[#This Row],[J45]]-D$9)^2</f>
        <v>1.2160156674860822E-2</v>
      </c>
      <c r="P63">
        <f>Table3[[#This Row],[weight]]*(0.9155*Table2[[#This Row],[J56]]-E$9)^2</f>
        <v>9.8513207049533372E-5</v>
      </c>
      <c r="Q63">
        <f>Table3[[#This Row],[weight]]*(0.9155*Table2[[#This Row],[J67]]-F$9)^2</f>
        <v>1.1180592576535293E-4</v>
      </c>
      <c r="R63">
        <f>Table3[[#This Row],[weight]]*(0.9155*Table2[[#This Row],[J67'']]-G$9)^2</f>
        <v>2.1851293472347631E-3</v>
      </c>
      <c r="S63">
        <f>chloroform!J68</f>
        <v>1.5479455021711209E-4</v>
      </c>
      <c r="T63" t="str">
        <f>chloroform!F68</f>
        <v>5C12</v>
      </c>
    </row>
    <row r="64" spans="11:20" x14ac:dyDescent="0.25">
      <c r="K64">
        <f>chloroform!E69</f>
        <v>276</v>
      </c>
      <c r="L64">
        <f>Table3[[#This Row],[weight]]*(0.9155*Table2[[#This Row],[J1,2]]-A$9)^2</f>
        <v>5.6457509914077287E-8</v>
      </c>
      <c r="M64">
        <f>Table3[[#This Row],[weight]]*(0.9155*Table2[[#This Row],[J2,3]]-B$9)^2</f>
        <v>3.3145910246775971E-8</v>
      </c>
      <c r="N64">
        <f>Table3[[#This Row],[weight]]*(0.9155*Table2[[#This Row],[J34]]-C$9)^2</f>
        <v>2.884757394200979E-7</v>
      </c>
      <c r="O64">
        <f>Table3[[#This Row],[weight]]*(0.9155*Table2[[#This Row],[J45]]-D$9)^2</f>
        <v>5.8444864438781103E-6</v>
      </c>
      <c r="P64">
        <f>Table3[[#This Row],[weight]]*(0.9155*Table2[[#This Row],[J56]]-E$9)^2</f>
        <v>4.4486085269893123E-5</v>
      </c>
      <c r="Q64">
        <f>Table3[[#This Row],[weight]]*(0.9155*Table2[[#This Row],[J67]]-F$9)^2</f>
        <v>1.1163755613464525E-5</v>
      </c>
      <c r="R64">
        <f>Table3[[#This Row],[weight]]*(0.9155*Table2[[#This Row],[J67'']]-G$9)^2</f>
        <v>4.9478993451635962E-4</v>
      </c>
      <c r="S64">
        <f>chloroform!J69</f>
        <v>3.7837311696544603E-5</v>
      </c>
      <c r="T64" t="str">
        <f>chloroform!F69</f>
        <v>4H6</v>
      </c>
    </row>
    <row r="65" spans="11:20" x14ac:dyDescent="0.25">
      <c r="K65">
        <f>chloroform!E70</f>
        <v>278</v>
      </c>
      <c r="L65">
        <f>Table3[[#This Row],[weight]]*(0.9155*Table2[[#This Row],[J1,2]]-A$9)^2</f>
        <v>0</v>
      </c>
      <c r="M65">
        <f>Table3[[#This Row],[weight]]*(0.9155*Table2[[#This Row],[J2,3]]-B$9)^2</f>
        <v>0</v>
      </c>
      <c r="N65">
        <f>Table3[[#This Row],[weight]]*(0.9155*Table2[[#This Row],[J34]]-C$9)^2</f>
        <v>0</v>
      </c>
      <c r="O65">
        <f>Table3[[#This Row],[weight]]*(0.9155*Table2[[#This Row],[J45]]-D$9)^2</f>
        <v>0</v>
      </c>
      <c r="P65">
        <f>Table3[[#This Row],[weight]]*(0.9155*Table2[[#This Row],[J56]]-E$9)^2</f>
        <v>0</v>
      </c>
      <c r="Q65">
        <f>Table3[[#This Row],[weight]]*(0.9155*Table2[[#This Row],[J67]]-F$9)^2</f>
        <v>0</v>
      </c>
      <c r="R65">
        <f>Table3[[#This Row],[weight]]*(0.9155*Table2[[#This Row],[J67'']]-G$9)^2</f>
        <v>0</v>
      </c>
      <c r="S65">
        <f>chloroform!J70</f>
        <v>0</v>
      </c>
      <c r="T65" t="str">
        <f>chloroform!F70</f>
        <v>5C12</v>
      </c>
    </row>
    <row r="66" spans="11:20" x14ac:dyDescent="0.25">
      <c r="K66">
        <f>chloroform!E71</f>
        <v>283</v>
      </c>
      <c r="L66">
        <f>Table3[[#This Row],[weight]]*(0.9155*Table2[[#This Row],[J1,2]]-A$9)^2</f>
        <v>5.2093679268617188E-5</v>
      </c>
      <c r="M66">
        <f>Table3[[#This Row],[weight]]*(0.9155*Table2[[#This Row],[J2,3]]-B$9)^2</f>
        <v>1.557441556658523E-3</v>
      </c>
      <c r="N66">
        <f>Table3[[#This Row],[weight]]*(0.9155*Table2[[#This Row],[J34]]-C$9)^2</f>
        <v>1.3980022247527355E-3</v>
      </c>
      <c r="O66">
        <f>Table3[[#This Row],[weight]]*(0.9155*Table2[[#This Row],[J45]]-D$9)^2</f>
        <v>5.2988971221975059E-3</v>
      </c>
      <c r="P66">
        <f>Table3[[#This Row],[weight]]*(0.9155*Table2[[#This Row],[J56]]-E$9)^2</f>
        <v>8.6950842334582645E-5</v>
      </c>
      <c r="Q66">
        <f>Table3[[#This Row],[weight]]*(0.9155*Table2[[#This Row],[J67]]-F$9)^2</f>
        <v>5.5067856929152245E-3</v>
      </c>
      <c r="R66">
        <f>Table3[[#This Row],[weight]]*(0.9155*Table2[[#This Row],[J67'']]-G$9)^2</f>
        <v>6.911453823536701E-4</v>
      </c>
      <c r="S66">
        <f>chloroform!J71</f>
        <v>7.0462567453029177E-5</v>
      </c>
      <c r="T66" t="str">
        <f>chloroform!F71</f>
        <v>5C12</v>
      </c>
    </row>
    <row r="67" spans="11:20" x14ac:dyDescent="0.25">
      <c r="K67">
        <f>chloroform!E72</f>
        <v>290</v>
      </c>
      <c r="L67">
        <f>Table3[[#This Row],[weight]]*(0.9155*Table2[[#This Row],[J1,2]]-A$9)^2</f>
        <v>0</v>
      </c>
      <c r="M67">
        <f>Table3[[#This Row],[weight]]*(0.9155*Table2[[#This Row],[J2,3]]-B$9)^2</f>
        <v>0</v>
      </c>
      <c r="N67">
        <f>Table3[[#This Row],[weight]]*(0.9155*Table2[[#This Row],[J34]]-C$9)^2</f>
        <v>0</v>
      </c>
      <c r="O67">
        <f>Table3[[#This Row],[weight]]*(0.9155*Table2[[#This Row],[J45]]-D$9)^2</f>
        <v>0</v>
      </c>
      <c r="P67">
        <f>Table3[[#This Row],[weight]]*(0.9155*Table2[[#This Row],[J56]]-E$9)^2</f>
        <v>0</v>
      </c>
      <c r="Q67">
        <f>Table3[[#This Row],[weight]]*(0.9155*Table2[[#This Row],[J67]]-F$9)^2</f>
        <v>0</v>
      </c>
      <c r="R67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>
        <f>chloroform!E73</f>
        <v>333</v>
      </c>
      <c r="L68" s="4">
        <f>Table3[[#This Row],[weight]]*(0.9155*Table2[[#This Row],[J1,2]]-A$9)^2</f>
        <v>0</v>
      </c>
      <c r="M68" s="4">
        <f>Table3[[#This Row],[weight]]*(0.9155*Table2[[#This Row],[J2,3]]-B$9)^2</f>
        <v>0</v>
      </c>
      <c r="N68" s="4">
        <f>Table3[[#This Row],[weight]]*(0.9155*Table2[[#This Row],[J34]]-C$9)^2</f>
        <v>0</v>
      </c>
      <c r="O68" s="4">
        <f>Table3[[#This Row],[weight]]*(0.9155*Table2[[#This Row],[J45]]-D$9)^2</f>
        <v>0</v>
      </c>
      <c r="P68" s="4">
        <f>Table3[[#This Row],[weight]]*(0.9155*Table2[[#This Row],[J56]]-E$9)^2</f>
        <v>0</v>
      </c>
      <c r="Q68" s="4">
        <f>Table3[[#This Row],[weight]]*(0.9155*Table2[[#This Row],[J67]]-F$9)^2</f>
        <v>0</v>
      </c>
      <c r="R68" s="4">
        <f>Table3[[#This Row],[weight]]*(0.9155*Table2[[#This Row],[J67'']]-G$9)^2</f>
        <v>0</v>
      </c>
      <c r="S68">
        <f>chloroform!J73</f>
        <v>0</v>
      </c>
      <c r="T68" t="str">
        <f>chloroform!F73</f>
        <v>56TH</v>
      </c>
    </row>
    <row r="69" spans="11:20" x14ac:dyDescent="0.25">
      <c r="K69">
        <f>chloroform!E74</f>
        <v>373</v>
      </c>
      <c r="L69" s="4">
        <f>Table3[[#This Row],[weight]]*(0.9155*Table2[[#This Row],[J1,2]]-A$9)^2</f>
        <v>7.1152325206791706E-7</v>
      </c>
      <c r="M69" s="4">
        <f>Table3[[#This Row],[weight]]*(0.9155*Table2[[#This Row],[J2,3]]-B$9)^2</f>
        <v>2.1826780721085413E-6</v>
      </c>
      <c r="N69" s="4">
        <f>Table3[[#This Row],[weight]]*(0.9155*Table2[[#This Row],[J34]]-C$9)^2</f>
        <v>3.6536537837971366E-7</v>
      </c>
      <c r="O69" s="4">
        <f>Table3[[#This Row],[weight]]*(0.9155*Table2[[#This Row],[J45]]-D$9)^2</f>
        <v>1.4250792863513905E-5</v>
      </c>
      <c r="P69" s="4">
        <f>Table3[[#This Row],[weight]]*(0.9155*Table2[[#This Row],[J56]]-E$9)^2</f>
        <v>1.8678531018342176E-5</v>
      </c>
      <c r="Q69" s="4">
        <f>Table3[[#This Row],[weight]]*(0.9155*Table2[[#This Row],[J67]]-F$9)^2</f>
        <v>1.5356211719090034E-6</v>
      </c>
      <c r="R69" s="4">
        <f>Table3[[#This Row],[weight]]*(0.9155*Table2[[#This Row],[J67'']]-G$9)^2</f>
        <v>7.7418703915860048E-4</v>
      </c>
      <c r="S69">
        <f>chloroform!J74</f>
        <v>3.1109147732553699E-5</v>
      </c>
      <c r="T69" t="str">
        <f>chloroform!F74</f>
        <v>4H6</v>
      </c>
    </row>
    <row r="70" spans="11:20" x14ac:dyDescent="0.25">
      <c r="K70">
        <f>chloroform!E75</f>
        <v>396</v>
      </c>
      <c r="L70" s="4">
        <f>Table3[[#This Row],[weight]]*(0.9155*Table2[[#This Row],[J1,2]]-A$9)^2</f>
        <v>0</v>
      </c>
      <c r="M70" s="4">
        <f>Table3[[#This Row],[weight]]*(0.9155*Table2[[#This Row],[J2,3]]-B$9)^2</f>
        <v>0</v>
      </c>
      <c r="N70" s="4">
        <f>Table3[[#This Row],[weight]]*(0.9155*Table2[[#This Row],[J34]]-C$9)^2</f>
        <v>0</v>
      </c>
      <c r="O70" s="4">
        <f>Table3[[#This Row],[weight]]*(0.9155*Table2[[#This Row],[J45]]-D$9)^2</f>
        <v>0</v>
      </c>
      <c r="P70" s="4">
        <f>Table3[[#This Row],[weight]]*(0.9155*Table2[[#This Row],[J56]]-E$9)^2</f>
        <v>0</v>
      </c>
      <c r="Q70" s="4">
        <f>Table3[[#This Row],[weight]]*(0.9155*Table2[[#This Row],[J67]]-F$9)^2</f>
        <v>0</v>
      </c>
      <c r="R70" s="4">
        <f>Table3[[#This Row],[weight]]*(0.9155*Table2[[#This Row],[J67'']]-G$9)^2</f>
        <v>0</v>
      </c>
      <c r="S70">
        <f>chloroform!J75</f>
        <v>0</v>
      </c>
      <c r="T70" t="str">
        <f>chloroform!F75</f>
        <v>4H6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9B92A-13D4-4ABE-A335-DD3FA08D2472}">
  <dimension ref="A1:T70"/>
  <sheetViews>
    <sheetView tabSelected="1" workbookViewId="0">
      <selection activeCell="I14" sqref="I14"/>
    </sheetView>
  </sheetViews>
  <sheetFormatPr defaultRowHeight="15" x14ac:dyDescent="0.25"/>
  <cols>
    <col min="11" max="11" width="10.5703125" customWidth="1"/>
    <col min="12" max="12" width="12" bestFit="1" customWidth="1"/>
    <col min="13" max="19" width="9.28515625" bestFit="1" customWidth="1"/>
    <col min="20" max="20" width="14" customWidth="1"/>
  </cols>
  <sheetData>
    <row r="1" spans="1:20" x14ac:dyDescent="0.25">
      <c r="A1" t="s">
        <v>77</v>
      </c>
      <c r="B1">
        <f>SUMIF(Table1[Classification],E1,Table1[weight])</f>
        <v>0.14153113259337213</v>
      </c>
      <c r="D1" t="s">
        <v>11</v>
      </c>
      <c r="E1" t="s">
        <v>122</v>
      </c>
      <c r="G1">
        <f>COUNTIF(Table3[classification],E1)</f>
        <v>15</v>
      </c>
      <c r="K1" t="s">
        <v>76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74</v>
      </c>
      <c r="S1" t="s">
        <v>15</v>
      </c>
      <c r="T1" t="s">
        <v>75</v>
      </c>
    </row>
    <row r="2" spans="1:20" x14ac:dyDescent="0.25">
      <c r="K2">
        <f>chloroform!E7</f>
        <v>2</v>
      </c>
      <c r="L2">
        <f>Table3[[#This Row],[weight]]*(0.9155*Table2[[#This Row],[J1,2]]-A$9)^2</f>
        <v>1.8308254108169653E-2</v>
      </c>
      <c r="M2">
        <f>Table3[[#This Row],[weight]]*(0.9155*Table2[[#This Row],[J2,3]]-B$9)^2</f>
        <v>7.8886851771390824E-3</v>
      </c>
      <c r="N2">
        <f>Table3[[#This Row],[weight]]*(0.9155*Table2[[#This Row],[J34]]-C$9)^2</f>
        <v>0.30693680952865793</v>
      </c>
      <c r="O2">
        <f>Table3[[#This Row],[weight]]*(0.9155*Table2[[#This Row],[J45]]-D$9)^2</f>
        <v>0.49877955522287554</v>
      </c>
      <c r="P2">
        <f>Table3[[#This Row],[weight]]*(0.9155*Table2[[#This Row],[J56]]-E$9)^2</f>
        <v>8.1302508467785348E-2</v>
      </c>
      <c r="Q2">
        <f>Table3[[#This Row],[weight]]*(0.9155*Table2[[#This Row],[J67]]-F$9)^2</f>
        <v>1.0563233083032579E-2</v>
      </c>
      <c r="R2">
        <f>Table3[[#This Row],[weight]]*(0.9155*Table2[[#This Row],[J67'']]-G$9)^2</f>
        <v>0.38783357757499837</v>
      </c>
      <c r="S2">
        <f>chloroform!J7</f>
        <v>1.9835581741084993E-2</v>
      </c>
      <c r="T2" t="str">
        <f>chloroform!F7</f>
        <v>4H6</v>
      </c>
    </row>
    <row r="3" spans="1:20" x14ac:dyDescent="0.25">
      <c r="K3">
        <f>chloroform!E8</f>
        <v>3</v>
      </c>
      <c r="L3">
        <f>Table3[[#This Row],[weight]]*(0.9155*Table2[[#This Row],[J1,2]]-A$9)^2</f>
        <v>1.6872023826026573E-2</v>
      </c>
      <c r="M3">
        <f>Table3[[#This Row],[weight]]*(0.9155*Table2[[#This Row],[J2,3]]-B$9)^2</f>
        <v>2.4754282104375074E-2</v>
      </c>
      <c r="N3">
        <f>Table3[[#This Row],[weight]]*(0.9155*Table2[[#This Row],[J34]]-C$9)^2</f>
        <v>0.29259524883187243</v>
      </c>
      <c r="O3">
        <f>Table3[[#This Row],[weight]]*(0.9155*Table2[[#This Row],[J45]]-D$9)^2</f>
        <v>0.7075636179217365</v>
      </c>
      <c r="P3">
        <f>Table3[[#This Row],[weight]]*(0.9155*Table2[[#This Row],[J56]]-E$9)^2</f>
        <v>5.898539003368089E-2</v>
      </c>
      <c r="Q3">
        <f>Table3[[#This Row],[weight]]*(0.9155*Table2[[#This Row],[J67]]-F$9)^2</f>
        <v>2.052089170797055E-2</v>
      </c>
      <c r="R3">
        <f>Table3[[#This Row],[weight]]*(0.9155*Table2[[#This Row],[J67'']]-G$9)^2</f>
        <v>0.45868370340065123</v>
      </c>
      <c r="S3">
        <f>chloroform!J8</f>
        <v>2.4774886975683762E-2</v>
      </c>
      <c r="T3" t="str">
        <f>chloroform!F8</f>
        <v>4H6</v>
      </c>
    </row>
    <row r="4" spans="1:20" x14ac:dyDescent="0.25">
      <c r="A4" t="s">
        <v>67</v>
      </c>
      <c r="B4" t="s">
        <v>68</v>
      </c>
      <c r="C4" t="s">
        <v>69</v>
      </c>
      <c r="D4" t="s">
        <v>70</v>
      </c>
      <c r="E4" t="s">
        <v>71</v>
      </c>
      <c r="F4" t="s">
        <v>72</v>
      </c>
      <c r="G4" t="s">
        <v>74</v>
      </c>
      <c r="K4">
        <f>chloroform!E9</f>
        <v>4</v>
      </c>
      <c r="L4">
        <f>Table3[[#This Row],[weight]]*(0.9155*Table2[[#This Row],[J1,2]]-A$9)^2</f>
        <v>4.8242990415449369E-2</v>
      </c>
      <c r="M4">
        <f>Table3[[#This Row],[weight]]*(0.9155*Table2[[#This Row],[J2,3]]-B$9)^2</f>
        <v>8.1837556470682679E-3</v>
      </c>
      <c r="N4">
        <f>Table3[[#This Row],[weight]]*(0.9155*Table2[[#This Row],[J34]]-C$9)^2</f>
        <v>1.0876189446617943</v>
      </c>
      <c r="O4">
        <f>Table3[[#This Row],[weight]]*(0.9155*Table2[[#This Row],[J45]]-D$9)^2</f>
        <v>2.2610290998812963</v>
      </c>
      <c r="P4">
        <f>Table3[[#This Row],[weight]]*(0.9155*Table2[[#This Row],[J56]]-E$9)^2</f>
        <v>0.21910600997097351</v>
      </c>
      <c r="Q4">
        <f>Table3[[#This Row],[weight]]*(0.9155*Table2[[#This Row],[J67]]-F$9)^2</f>
        <v>0.10963575493746233</v>
      </c>
      <c r="R4">
        <f>Table3[[#This Row],[weight]]*(0.9155*Table2[[#This Row],[J67'']]-G$9)^2</f>
        <v>0.31561372130990556</v>
      </c>
      <c r="S4">
        <f>chloroform!J9</f>
        <v>7.6679062294856923E-2</v>
      </c>
      <c r="T4" t="str">
        <f>chloroform!F9</f>
        <v>4H6</v>
      </c>
    </row>
    <row r="5" spans="1:20" x14ac:dyDescent="0.25">
      <c r="A5">
        <f>SUMIF(Table1[Classification],E1,Table2[J1,23])/$B$1</f>
        <v>7.9890227090374015</v>
      </c>
      <c r="B5">
        <f>SUMIF(Table1[Classification],E1,Table2[J2,34])/$B$1</f>
        <v>8.4920360716186583</v>
      </c>
      <c r="C5">
        <f>SUMIF(Table1[Classification],E1,Table2[J345])/$B$1</f>
        <v>2.0097189309453594</v>
      </c>
      <c r="D5">
        <f>SUMIF(Table1[Classification],E1,Table2[J456])/$B$1</f>
        <v>5.8577241694524682</v>
      </c>
      <c r="E5">
        <f>SUMIF(Table1[Classification],E1,Table2[J567])/$B$1</f>
        <v>9.0639813630638706</v>
      </c>
      <c r="F5">
        <f>SUMIF(Table1[Classification],E1,Table2[J678])/$B$1</f>
        <v>2.0782846198800868</v>
      </c>
      <c r="G5">
        <f>SUMIF(Table1[Classification],E1,Table2[J67''9])/$B$1</f>
        <v>5.0197399253472863</v>
      </c>
      <c r="K5">
        <f>chloroform!E10</f>
        <v>6</v>
      </c>
      <c r="L5">
        <f>Table3[[#This Row],[weight]]*(0.9155*Table2[[#This Row],[J1,2]]-A$9)^2</f>
        <v>4.6173310866663451E-2</v>
      </c>
      <c r="M5">
        <f>Table3[[#This Row],[weight]]*(0.9155*Table2[[#This Row],[J2,3]]-B$9)^2</f>
        <v>4.5837026494568271E-2</v>
      </c>
      <c r="N5">
        <f>Table3[[#This Row],[weight]]*(0.9155*Table2[[#This Row],[J34]]-C$9)^2</f>
        <v>1.1085609763211499</v>
      </c>
      <c r="O5">
        <f>Table3[[#This Row],[weight]]*(0.9155*Table2[[#This Row],[J45]]-D$9)^2</f>
        <v>3.4573595263365302</v>
      </c>
      <c r="P5">
        <f>Table3[[#This Row],[weight]]*(0.9155*Table2[[#This Row],[J56]]-E$9)^2</f>
        <v>0.34075010654368515</v>
      </c>
      <c r="Q5">
        <f>Table3[[#This Row],[weight]]*(0.9155*Table2[[#This Row],[J67]]-F$9)^2</f>
        <v>0.10848247687155521</v>
      </c>
      <c r="R5">
        <f>Table3[[#This Row],[weight]]*(0.9155*Table2[[#This Row],[J67'']]-G$9)^2</f>
        <v>0.66011697297914618</v>
      </c>
      <c r="S5">
        <f>chloroform!J10</f>
        <v>0.11197937776820978</v>
      </c>
      <c r="T5" t="str">
        <f>chloroform!F10</f>
        <v>4H6</v>
      </c>
    </row>
    <row r="6" spans="1:20" x14ac:dyDescent="0.25">
      <c r="K6">
        <f>chloroform!E11</f>
        <v>7</v>
      </c>
      <c r="L6">
        <f>Table3[[#This Row],[weight]]*(0.9155*Table2[[#This Row],[J1,2]]-A$9)^2</f>
        <v>3.1467090438016568E-5</v>
      </c>
      <c r="M6">
        <f>Table3[[#This Row],[weight]]*(0.9155*Table2[[#This Row],[J2,3]]-B$9)^2</f>
        <v>4.6074607940245932E-4</v>
      </c>
      <c r="N6">
        <f>Table3[[#This Row],[weight]]*(0.9155*Table2[[#This Row],[J34]]-C$9)^2</f>
        <v>1.4160461618749785E-3</v>
      </c>
      <c r="O6">
        <f>Table3[[#This Row],[weight]]*(0.9155*Table2[[#This Row],[J45]]-D$9)^2</f>
        <v>8.4740390068384594E-5</v>
      </c>
      <c r="P6">
        <f>Table3[[#This Row],[weight]]*(0.9155*Table2[[#This Row],[J56]]-E$9)^2</f>
        <v>1.4231770293816675E-3</v>
      </c>
      <c r="Q6">
        <f>Table3[[#This Row],[weight]]*(0.9155*Table2[[#This Row],[J67]]-F$9)^2</f>
        <v>8.3497912149189946E-4</v>
      </c>
      <c r="R6">
        <f>Table3[[#This Row],[weight]]*(0.9155*Table2[[#This Row],[J67'']]-G$9)^2</f>
        <v>2.6848521329193832E-2</v>
      </c>
      <c r="S6">
        <f>chloroform!J11</f>
        <v>3.3160826466214649E-3</v>
      </c>
      <c r="T6" t="str">
        <f>chloroform!F11</f>
        <v>45TH</v>
      </c>
    </row>
    <row r="7" spans="1:20" x14ac:dyDescent="0.25">
      <c r="A7" t="s">
        <v>92</v>
      </c>
      <c r="K7">
        <f>chloroform!E12</f>
        <v>8</v>
      </c>
      <c r="L7">
        <f>Table3[[#This Row],[weight]]*(0.9155*Table2[[#This Row],[J1,2]]-A$9)^2</f>
        <v>2.3019297525760676E-2</v>
      </c>
      <c r="M7">
        <f>Table3[[#This Row],[weight]]*(0.9155*Table2[[#This Row],[J2,3]]-B$9)^2</f>
        <v>1.3712493450547861E-3</v>
      </c>
      <c r="N7">
        <f>Table3[[#This Row],[weight]]*(0.9155*Table2[[#This Row],[J34]]-C$9)^2</f>
        <v>0.5628622962722527</v>
      </c>
      <c r="O7">
        <f>Table3[[#This Row],[weight]]*(0.9155*Table2[[#This Row],[J45]]-D$9)^2</f>
        <v>1.7861157642034511</v>
      </c>
      <c r="P7">
        <f>Table3[[#This Row],[weight]]*(0.9155*Table2[[#This Row],[J56]]-E$9)^2</f>
        <v>0.16906991561088444</v>
      </c>
      <c r="Q7">
        <f>Table3[[#This Row],[weight]]*(0.9155*Table2[[#This Row],[J67]]-F$9)^2</f>
        <v>4.0070660738590898E-2</v>
      </c>
      <c r="R7">
        <f>Table3[[#This Row],[weight]]*(0.9155*Table2[[#This Row],[J67'']]-G$9)^2</f>
        <v>0.40903244898199015</v>
      </c>
      <c r="S7">
        <f>chloroform!J12</f>
        <v>6.020718568699291E-2</v>
      </c>
      <c r="T7" t="str">
        <f>chloroform!F12</f>
        <v>4H6</v>
      </c>
    </row>
    <row r="8" spans="1:20" x14ac:dyDescent="0.25">
      <c r="A8" t="s">
        <v>67</v>
      </c>
      <c r="B8" t="s">
        <v>68</v>
      </c>
      <c r="C8" t="s">
        <v>69</v>
      </c>
      <c r="D8" t="s">
        <v>70</v>
      </c>
      <c r="E8" t="s">
        <v>71</v>
      </c>
      <c r="F8" t="s">
        <v>72</v>
      </c>
      <c r="G8" t="s">
        <v>74</v>
      </c>
      <c r="K8">
        <f>chloroform!E13</f>
        <v>9</v>
      </c>
      <c r="L8">
        <f>Table3[[#This Row],[weight]]*(0.9155*Table2[[#This Row],[J1,2]]-A$9)^2</f>
        <v>3.5447825204139131E-2</v>
      </c>
      <c r="M8">
        <f>Table3[[#This Row],[weight]]*(0.9155*Table2[[#This Row],[J2,3]]-B$9)^2</f>
        <v>1.3308235766866145E-2</v>
      </c>
      <c r="N8">
        <f>Table3[[#This Row],[weight]]*(0.9155*Table2[[#This Row],[J34]]-C$9)^2</f>
        <v>0.66409232993811707</v>
      </c>
      <c r="O8">
        <f>Table3[[#This Row],[weight]]*(0.9155*Table2[[#This Row],[J45]]-D$9)^2</f>
        <v>1.1048901308067649</v>
      </c>
      <c r="P8">
        <f>Table3[[#This Row],[weight]]*(0.9155*Table2[[#This Row],[J56]]-E$9)^2</f>
        <v>0.12360495447585587</v>
      </c>
      <c r="Q8">
        <f>Table3[[#This Row],[weight]]*(0.9155*Table2[[#This Row],[J67]]-F$9)^2</f>
        <v>3.8616364962931605E-3</v>
      </c>
      <c r="R8">
        <f>Table3[[#This Row],[weight]]*(0.9155*Table2[[#This Row],[J67'']]-G$9)^2</f>
        <v>0.65306905285433148</v>
      </c>
      <c r="S8">
        <f>chloroform!J13</f>
        <v>4.3116973942192695E-2</v>
      </c>
      <c r="T8" t="str">
        <f>chloroform!F13</f>
        <v>4H6</v>
      </c>
    </row>
    <row r="9" spans="1:20" x14ac:dyDescent="0.25">
      <c r="A9">
        <f t="shared" ref="A9:G9" si="0">A5</f>
        <v>7.9890227090374015</v>
      </c>
      <c r="B9">
        <f t="shared" si="0"/>
        <v>8.4920360716186583</v>
      </c>
      <c r="C9">
        <f t="shared" si="0"/>
        <v>2.0097189309453594</v>
      </c>
      <c r="D9">
        <f t="shared" si="0"/>
        <v>5.8577241694524682</v>
      </c>
      <c r="E9">
        <f t="shared" si="0"/>
        <v>9.0639813630638706</v>
      </c>
      <c r="F9">
        <f t="shared" si="0"/>
        <v>2.0782846198800868</v>
      </c>
      <c r="G9">
        <f t="shared" si="0"/>
        <v>5.0197399253472863</v>
      </c>
      <c r="K9">
        <f>chloroform!E14</f>
        <v>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>
        <f>chloroform!E15</f>
        <v>15</v>
      </c>
      <c r="L10">
        <f>Table3[[#This Row],[weight]]*(0.9155*Table2[[#This Row],[J1,2]]-A$9)^2</f>
        <v>4.3472858322010688E-6</v>
      </c>
      <c r="M10">
        <f>Table3[[#This Row],[weight]]*(0.9155*Table2[[#This Row],[J2,3]]-B$9)^2</f>
        <v>2.0651335589977874E-4</v>
      </c>
      <c r="N10">
        <f>Table3[[#This Row],[weight]]*(0.9155*Table2[[#This Row],[J34]]-C$9)^2</f>
        <v>3.4900946114673075E-7</v>
      </c>
      <c r="O10">
        <f>Table3[[#This Row],[weight]]*(0.9155*Table2[[#This Row],[J45]]-D$9)^2</f>
        <v>8.2943728524185269E-5</v>
      </c>
      <c r="P10">
        <f>Table3[[#This Row],[weight]]*(0.9155*Table2[[#This Row],[J56]]-E$9)^2</f>
        <v>1.3108769423733112E-3</v>
      </c>
      <c r="Q10">
        <f>Table3[[#This Row],[weight]]*(0.9155*Table2[[#This Row],[J67]]-F$9)^2</f>
        <v>6.744461340539183E-3</v>
      </c>
      <c r="R10">
        <f>Table3[[#This Row],[weight]]*(0.9155*Table2[[#This Row],[J67'']]-G$9)^2</f>
        <v>0.48876996555383334</v>
      </c>
      <c r="S10">
        <f>chloroform!J15</f>
        <v>1.5313869254083566E-2</v>
      </c>
      <c r="T10" t="str">
        <f>chloroform!F15</f>
        <v>45TH</v>
      </c>
    </row>
    <row r="11" spans="1:20" x14ac:dyDescent="0.25">
      <c r="A11" t="s">
        <v>93</v>
      </c>
      <c r="K11">
        <f>chloroform!E16</f>
        <v>16</v>
      </c>
      <c r="L11">
        <f>Table3[[#This Row],[weight]]*(0.9155*Table2[[#This Row],[J1,2]]-A$9)^2</f>
        <v>5.0389491557179832E-2</v>
      </c>
      <c r="M11">
        <f>Table3[[#This Row],[weight]]*(0.9155*Table2[[#This Row],[J2,3]]-B$9)^2</f>
        <v>5.7045649380456184E-2</v>
      </c>
      <c r="N11">
        <f>Table3[[#This Row],[weight]]*(0.9155*Table2[[#This Row],[J34]]-C$9)^2</f>
        <v>0.95530368128492982</v>
      </c>
      <c r="O11">
        <f>Table3[[#This Row],[weight]]*(0.9155*Table2[[#This Row],[J45]]-D$9)^2</f>
        <v>2.7264798051797428</v>
      </c>
      <c r="P11">
        <f>Table3[[#This Row],[weight]]*(0.9155*Table2[[#This Row],[J56]]-E$9)^2</f>
        <v>0.30878741191292136</v>
      </c>
      <c r="Q11">
        <f>Table3[[#This Row],[weight]]*(0.9155*Table2[[#This Row],[J67]]-F$9)^2</f>
        <v>1.3054959725321484E-3</v>
      </c>
      <c r="R11">
        <f>Table3[[#This Row],[weight]]*(0.9155*Table2[[#This Row],[J67'']]-G$9)^2</f>
        <v>1.2677685400519854</v>
      </c>
      <c r="S11">
        <f>chloroform!J16</f>
        <v>8.9542104370779821E-2</v>
      </c>
      <c r="T11" t="str">
        <f>chloroform!F16</f>
        <v>4H6</v>
      </c>
    </row>
    <row r="12" spans="1:20" x14ac:dyDescent="0.25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  <c r="G12" t="s">
        <v>74</v>
      </c>
      <c r="K12">
        <f>chloroform!E17</f>
        <v>17</v>
      </c>
      <c r="L12">
        <f>Table3[[#This Row],[weight]]*(0.9155*Table2[[#This Row],[J1,2]]-A$9)^2</f>
        <v>1.0989842561009204E-7</v>
      </c>
      <c r="M12">
        <f>Table3[[#This Row],[weight]]*(0.9155*Table2[[#This Row],[J2,3]]-B$9)^2</f>
        <v>3.481948345171834E-4</v>
      </c>
      <c r="N12">
        <f>Table3[[#This Row],[weight]]*(0.9155*Table2[[#This Row],[J34]]-C$9)^2</f>
        <v>1.0468597304479721E-3</v>
      </c>
      <c r="O12">
        <f>Table3[[#This Row],[weight]]*(0.9155*Table2[[#This Row],[J45]]-D$9)^2</f>
        <v>1.0037548922157967E-2</v>
      </c>
      <c r="P12">
        <f>Table3[[#This Row],[weight]]*(0.9155*Table2[[#This Row],[J56]]-E$9)^2</f>
        <v>7.7335103487710067E-3</v>
      </c>
      <c r="Q12">
        <f>Table3[[#This Row],[weight]]*(0.9155*Table2[[#This Row],[J67]]-F$9)^2</f>
        <v>1.9042471616192284E-3</v>
      </c>
      <c r="R12">
        <f>Table3[[#This Row],[weight]]*(0.9155*Table2[[#This Row],[J67'']]-G$9)^2</f>
        <v>0.55162503230110105</v>
      </c>
      <c r="S12">
        <f>chloroform!J17</f>
        <v>5.1465722506778361E-2</v>
      </c>
      <c r="T12" t="str">
        <f>chloroform!F17</f>
        <v>45TH</v>
      </c>
    </row>
    <row r="13" spans="1:20" x14ac:dyDescent="0.25">
      <c r="A13">
        <f>SQRT(SUMIF($T$2:$T$46,$E$1,L$2:L$46)/(($G$1-1)*$B$1/$G$1))</f>
        <v>4.3647313850439122E-2</v>
      </c>
      <c r="B13">
        <f>SQRT(SUMIF($T$2:$T$46,$E$1,M$2:M$46)/(($G$1-1)*$B$1/$G$1))</f>
        <v>0.22640628408715202</v>
      </c>
      <c r="C13">
        <f>SQRT(SUMIF($T$2:$T$46,$E$1,N$2:N$46)/(($G$1-1)*$B$1/$G$1))</f>
        <v>0.22381446985090839</v>
      </c>
      <c r="D13">
        <f t="shared" ref="D13:F13" si="1">SQRT(SUMIF($T$2:$T$46,$E$1,O$2:O$46)/(($G$1-1)*$B$1/$G$1))</f>
        <v>0.47754034854800126</v>
      </c>
      <c r="E13">
        <f t="shared" si="1"/>
        <v>0.38218851724412567</v>
      </c>
      <c r="F13">
        <f t="shared" si="1"/>
        <v>0.50315276097684292</v>
      </c>
      <c r="G13">
        <f>SQRT(SUMIF($T$2:$T$46,$E$1,R$2:R$46)/(($G$1-1)*$B$1/$G$1))</f>
        <v>4.5267677653283043</v>
      </c>
      <c r="K13">
        <f>chloroform!E18</f>
        <v>19</v>
      </c>
      <c r="L13">
        <f>Table3[[#This Row],[weight]]*(0.9155*Table2[[#This Row],[J1,2]]-A$9)^2</f>
        <v>2.071991582555707E-5</v>
      </c>
      <c r="M13">
        <f>Table3[[#This Row],[weight]]*(0.9155*Table2[[#This Row],[J2,3]]-B$9)^2</f>
        <v>0.11694021537473213</v>
      </c>
      <c r="N13">
        <f>Table3[[#This Row],[weight]]*(0.9155*Table2[[#This Row],[J34]]-C$9)^2</f>
        <v>0.21282103246857056</v>
      </c>
      <c r="O13">
        <f>Table3[[#This Row],[weight]]*(0.9155*Table2[[#This Row],[J45]]-D$9)^2</f>
        <v>1.8786236974046071E-2</v>
      </c>
      <c r="P13">
        <f>Table3[[#This Row],[weight]]*(0.9155*Table2[[#This Row],[J56]]-E$9)^2</f>
        <v>0.20638330416148307</v>
      </c>
      <c r="Q13">
        <f>Table3[[#This Row],[weight]]*(0.9155*Table2[[#This Row],[J67]]-F$9)^2</f>
        <v>0.2433714166745273</v>
      </c>
      <c r="R13">
        <f>Table3[[#This Row],[weight]]*(0.9155*Table2[[#This Row],[J67'']]-G$9)^2</f>
        <v>5.9340504902755857E-4</v>
      </c>
      <c r="S13">
        <f>chloroform!J18</f>
        <v>2.6494242156238882E-3</v>
      </c>
      <c r="T13" t="str">
        <f>chloroform!F18</f>
        <v>6H4</v>
      </c>
    </row>
    <row r="14" spans="1:20" x14ac:dyDescent="0.25">
      <c r="K14">
        <f>chloroform!E19</f>
        <v>20</v>
      </c>
      <c r="L14">
        <f>Table3[[#This Row],[weight]]*(0.9155*Table2[[#This Row],[J1,2]]-A$9)^2</f>
        <v>5.652239779198244E-2</v>
      </c>
      <c r="M14">
        <f>Table3[[#This Row],[weight]]*(0.9155*Table2[[#This Row],[J2,3]]-B$9)^2</f>
        <v>1.7757307761666973E-2</v>
      </c>
      <c r="N14">
        <f>Table3[[#This Row],[weight]]*(0.9155*Table2[[#This Row],[J34]]-C$9)^2</f>
        <v>1.2260561538576615</v>
      </c>
      <c r="O14">
        <f>Table3[[#This Row],[weight]]*(0.9155*Table2[[#This Row],[J45]]-D$9)^2</f>
        <v>2.1151884204148836</v>
      </c>
      <c r="P14">
        <f>Table3[[#This Row],[weight]]*(0.9155*Table2[[#This Row],[J56]]-E$9)^2</f>
        <v>0.2411191725617316</v>
      </c>
      <c r="Q14">
        <f>Table3[[#This Row],[weight]]*(0.9155*Table2[[#This Row],[J67]]-F$9)^2</f>
        <v>1.009173399069329E-2</v>
      </c>
      <c r="R14">
        <f>Table3[[#This Row],[weight]]*(0.9155*Table2[[#This Row],[J67'']]-G$9)^2</f>
        <v>0.76823221720906298</v>
      </c>
      <c r="S14">
        <f>chloroform!J19</f>
        <v>8.1186193319153999E-2</v>
      </c>
      <c r="T14" t="str">
        <f>chloroform!F19</f>
        <v>4H6</v>
      </c>
    </row>
    <row r="15" spans="1:20" x14ac:dyDescent="0.25">
      <c r="K15">
        <f>chloroform!E20</f>
        <v>21</v>
      </c>
      <c r="L15">
        <f>Table3[[#This Row],[weight]]*(0.9155*Table2[[#This Row],[J1,2]]-A$9)^2</f>
        <v>2.5568384538540949E-5</v>
      </c>
      <c r="M15">
        <f>Table3[[#This Row],[weight]]*(0.9155*Table2[[#This Row],[J2,3]]-B$9)^2</f>
        <v>1.0762716475060106E-3</v>
      </c>
      <c r="N15">
        <f>Table3[[#This Row],[weight]]*(0.9155*Table2[[#This Row],[J34]]-C$9)^2</f>
        <v>6.7674724054079161E-4</v>
      </c>
      <c r="O15">
        <f>Table3[[#This Row],[weight]]*(0.9155*Table2[[#This Row],[J45]]-D$9)^2</f>
        <v>5.914348084687653E-4</v>
      </c>
      <c r="P15">
        <f>Table3[[#This Row],[weight]]*(0.9155*Table2[[#This Row],[J56]]-E$9)^2</f>
        <v>7.8198436421011638E-4</v>
      </c>
      <c r="Q15">
        <f>Table3[[#This Row],[weight]]*(0.9155*Table2[[#This Row],[J67]]-F$9)^2</f>
        <v>1.0234498201771581E-4</v>
      </c>
      <c r="R15">
        <f>Table3[[#This Row],[weight]]*(0.9155*Table2[[#This Row],[J67'']]-G$9)^2</f>
        <v>4.6129145099429607E-4</v>
      </c>
      <c r="S15">
        <f>chloroform!J20</f>
        <v>3.0469752193280297E-5</v>
      </c>
      <c r="T15" t="str">
        <f>chloroform!F20</f>
        <v>TH45</v>
      </c>
    </row>
    <row r="16" spans="1:20" x14ac:dyDescent="0.25">
      <c r="K16">
        <f>chloroform!E21</f>
        <v>22</v>
      </c>
      <c r="L16">
        <f>Table3[[#This Row],[weight]]*(0.9155*Table2[[#This Row],[J1,2]]-A$9)^2</f>
        <v>3.6448788428084914E-6</v>
      </c>
      <c r="M16">
        <f>Table3[[#This Row],[weight]]*(0.9155*Table2[[#This Row],[J2,3]]-B$9)^2</f>
        <v>3.2457286192174408E-5</v>
      </c>
      <c r="N16">
        <f>Table3[[#This Row],[weight]]*(0.9155*Table2[[#This Row],[J34]]-C$9)^2</f>
        <v>9.6774520999913044E-5</v>
      </c>
      <c r="O16">
        <f>Table3[[#This Row],[weight]]*(0.9155*Table2[[#This Row],[J45]]-D$9)^2</f>
        <v>5.8317321713259518E-5</v>
      </c>
      <c r="P16">
        <f>Table3[[#This Row],[weight]]*(0.9155*Table2[[#This Row],[J56]]-E$9)^2</f>
        <v>2.2627250196913427E-4</v>
      </c>
      <c r="Q16">
        <f>Table3[[#This Row],[weight]]*(0.9155*Table2[[#This Row],[J67]]-F$9)^2</f>
        <v>4.2351566238723069E-4</v>
      </c>
      <c r="R16">
        <f>Table3[[#This Row],[weight]]*(0.9155*Table2[[#This Row],[J67'']]-G$9)^2</f>
        <v>8.3803897894676373E-3</v>
      </c>
      <c r="S16">
        <f>chloroform!J21</f>
        <v>2.5970010128064205E-4</v>
      </c>
      <c r="T16" t="str">
        <f>chloroform!F21</f>
        <v>45TH</v>
      </c>
    </row>
    <row r="17" spans="11:20" x14ac:dyDescent="0.25">
      <c r="K17">
        <f>chloroform!E22</f>
        <v>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11:20" x14ac:dyDescent="0.25">
      <c r="K18">
        <f>chloroform!E23</f>
        <v>24</v>
      </c>
      <c r="L18">
        <f>Table3[[#This Row],[weight]]*(0.9155*Table2[[#This Row],[J1,2]]-A$9)^2</f>
        <v>6.5388867272825753E-6</v>
      </c>
      <c r="M18">
        <f>Table3[[#This Row],[weight]]*(0.9155*Table2[[#This Row],[J2,3]]-B$9)^2</f>
        <v>3.8277369935227023E-5</v>
      </c>
      <c r="N18">
        <f>Table3[[#This Row],[weight]]*(0.9155*Table2[[#This Row],[J34]]-C$9)^2</f>
        <v>1.9877044044468679E-4</v>
      </c>
      <c r="O18">
        <f>Table3[[#This Row],[weight]]*(0.9155*Table2[[#This Row],[J45]]-D$9)^2</f>
        <v>2.1818100952006218E-6</v>
      </c>
      <c r="P18">
        <f>Table3[[#This Row],[weight]]*(0.9155*Table2[[#This Row],[J56]]-E$9)^2</f>
        <v>4.9581187050061888E-6</v>
      </c>
      <c r="Q18">
        <f>Table3[[#This Row],[weight]]*(0.9155*Table2[[#This Row],[J67]]-F$9)^2</f>
        <v>2.0454786561042274E-2</v>
      </c>
      <c r="R18">
        <f>Table3[[#This Row],[weight]]*(0.9155*Table2[[#This Row],[J67'']]-G$9)^2</f>
        <v>2.274494151839764E-3</v>
      </c>
      <c r="S18">
        <f>chloroform!J23</f>
        <v>3.3152378722330739E-4</v>
      </c>
      <c r="T18" t="str">
        <f>chloroform!F23</f>
        <v>45TH</v>
      </c>
    </row>
    <row r="19" spans="11:20" x14ac:dyDescent="0.25">
      <c r="K19">
        <f>chloroform!E24</f>
        <v>26</v>
      </c>
      <c r="L19">
        <f>Table3[[#This Row],[weight]]*(0.9155*Table2[[#This Row],[J1,2]]-A$9)^2</f>
        <v>1.2167062431007403E-5</v>
      </c>
      <c r="M19">
        <f>Table3[[#This Row],[weight]]*(0.9155*Table2[[#This Row],[J2,3]]-B$9)^2</f>
        <v>2.0543634680672432E-6</v>
      </c>
      <c r="N19">
        <f>Table3[[#This Row],[weight]]*(0.9155*Table2[[#This Row],[J34]]-C$9)^2</f>
        <v>6.3049523034172574E-4</v>
      </c>
      <c r="O19">
        <f>Table3[[#This Row],[weight]]*(0.9155*Table2[[#This Row],[J45]]-D$9)^2</f>
        <v>1.477847721721629E-2</v>
      </c>
      <c r="P19">
        <f>Table3[[#This Row],[weight]]*(0.9155*Table2[[#This Row],[J56]]-E$9)^2</f>
        <v>6.3547773948064452E-3</v>
      </c>
      <c r="Q19">
        <f>Table3[[#This Row],[weight]]*(0.9155*Table2[[#This Row],[J67]]-F$9)^2</f>
        <v>2.7043275138495483E-4</v>
      </c>
      <c r="R19">
        <f>Table3[[#This Row],[weight]]*(0.9155*Table2[[#This Row],[J67'']]-G$9)^2</f>
        <v>4.7617847814434261E-2</v>
      </c>
      <c r="S19">
        <f>chloroform!J24</f>
        <v>4.6965541756517929E-3</v>
      </c>
      <c r="T19" t="str">
        <f>chloroform!F24</f>
        <v>45TH</v>
      </c>
    </row>
    <row r="20" spans="11:20" x14ac:dyDescent="0.25">
      <c r="K20">
        <f>chloroform!E25</f>
        <v>27</v>
      </c>
      <c r="L20">
        <f>Table3[[#This Row],[weight]]*(0.9155*Table2[[#This Row],[J1,2]]-A$9)^2</f>
        <v>6.1569331042079338E-2</v>
      </c>
      <c r="M20">
        <f>Table3[[#This Row],[weight]]*(0.9155*Table2[[#This Row],[J2,3]]-B$9)^2</f>
        <v>2.754136967478063E-2</v>
      </c>
      <c r="N20">
        <f>Table3[[#This Row],[weight]]*(0.9155*Table2[[#This Row],[J34]]-C$9)^2</f>
        <v>1.0530765171381471</v>
      </c>
      <c r="O20">
        <f>Table3[[#This Row],[weight]]*(0.9155*Table2[[#This Row],[J45]]-D$9)^2</f>
        <v>1.6742570837930597</v>
      </c>
      <c r="P20">
        <f>Table3[[#This Row],[weight]]*(0.9155*Table2[[#This Row],[J56]]-E$9)^2</f>
        <v>0.28934450932570649</v>
      </c>
      <c r="Q20">
        <f>Table3[[#This Row],[weight]]*(0.9155*Table2[[#This Row],[J67]]-F$9)^2</f>
        <v>5.4751358977112904E-2</v>
      </c>
      <c r="R20">
        <f>Table3[[#This Row],[weight]]*(0.9155*Table2[[#This Row],[J67'']]-G$9)^2</f>
        <v>1.6353274023328319</v>
      </c>
      <c r="S20">
        <f>chloroform!J25</f>
        <v>6.7864687042358235E-2</v>
      </c>
      <c r="T20" t="str">
        <f>chloroform!F25</f>
        <v>4H6</v>
      </c>
    </row>
    <row r="21" spans="11:20" x14ac:dyDescent="0.25">
      <c r="K21">
        <f>chloroform!E26</f>
        <v>30</v>
      </c>
      <c r="L21">
        <f>Table3[[#This Row],[weight]]*(0.9155*Table2[[#This Row],[J1,2]]-A$9)^2</f>
        <v>4.0193781420467923E-5</v>
      </c>
      <c r="M21">
        <f>Table3[[#This Row],[weight]]*(0.9155*Table2[[#This Row],[J2,3]]-B$9)^2</f>
        <v>2.6963033728165761E-2</v>
      </c>
      <c r="N21">
        <f>Table3[[#This Row],[weight]]*(0.9155*Table2[[#This Row],[J34]]-C$9)^2</f>
        <v>5.2595687141234443E-2</v>
      </c>
      <c r="O21">
        <f>Table3[[#This Row],[weight]]*(0.9155*Table2[[#This Row],[J45]]-D$9)^2</f>
        <v>5.0084985225783219E-3</v>
      </c>
      <c r="P21">
        <f>Table3[[#This Row],[weight]]*(0.9155*Table2[[#This Row],[J56]]-E$9)^2</f>
        <v>4.9302785003797409E-2</v>
      </c>
      <c r="Q21">
        <f>Table3[[#This Row],[weight]]*(0.9155*Table2[[#This Row],[J67]]-F$9)^2</f>
        <v>5.2376887543798975E-2</v>
      </c>
      <c r="R21">
        <f>Table3[[#This Row],[weight]]*(0.9155*Table2[[#This Row],[J67'']]-G$9)^2</f>
        <v>1.444604386038042E-3</v>
      </c>
      <c r="S21">
        <f>chloroform!J26</f>
        <v>6.2318537715621344E-4</v>
      </c>
      <c r="T21" t="str">
        <f>chloroform!F26</f>
        <v>6H4</v>
      </c>
    </row>
    <row r="22" spans="11:20" x14ac:dyDescent="0.25">
      <c r="K22">
        <f>chloroform!E27</f>
        <v>33</v>
      </c>
      <c r="L22">
        <f>Table3[[#This Row],[weight]]*(0.9155*Table2[[#This Row],[J1,2]]-A$9)^2</f>
        <v>1.1557527461919075E-5</v>
      </c>
      <c r="M22">
        <f>Table3[[#This Row],[weight]]*(0.9155*Table2[[#This Row],[J2,3]]-B$9)^2</f>
        <v>1.6753822392934282E-4</v>
      </c>
      <c r="N22">
        <f>Table3[[#This Row],[weight]]*(0.9155*Table2[[#This Row],[J34]]-C$9)^2</f>
        <v>2.1795671436836359E-4</v>
      </c>
      <c r="O22">
        <f>Table3[[#This Row],[weight]]*(0.9155*Table2[[#This Row],[J45]]-D$9)^2</f>
        <v>3.3369951492159431E-4</v>
      </c>
      <c r="P22">
        <f>Table3[[#This Row],[weight]]*(0.9155*Table2[[#This Row],[J56]]-E$9)^2</f>
        <v>5.5296875515567848E-4</v>
      </c>
      <c r="Q22">
        <f>Table3[[#This Row],[weight]]*(0.9155*Table2[[#This Row],[J67]]-F$9)^2</f>
        <v>3.581450039053892E-5</v>
      </c>
      <c r="R22">
        <f>Table3[[#This Row],[weight]]*(0.9155*Table2[[#This Row],[J67'']]-G$9)^2</f>
        <v>3.6236586702736377E-2</v>
      </c>
      <c r="S22">
        <f>chloroform!J27</f>
        <v>1.1110867542881051E-3</v>
      </c>
      <c r="T22" t="str">
        <f>chloroform!F27</f>
        <v>45TH</v>
      </c>
    </row>
    <row r="23" spans="11:20" x14ac:dyDescent="0.25">
      <c r="K23">
        <f>chloroform!E28</f>
        <v>34</v>
      </c>
      <c r="L23">
        <f>Table3[[#This Row],[weight]]*(0.9155*Table2[[#This Row],[J1,2]]-A$9)^2</f>
        <v>2.5079116716233505E-5</v>
      </c>
      <c r="M23">
        <f>Table3[[#This Row],[weight]]*(0.9155*Table2[[#This Row],[J2,3]]-B$9)^2</f>
        <v>2.0698654758850191E-2</v>
      </c>
      <c r="N23">
        <f>Table3[[#This Row],[weight]]*(0.9155*Table2[[#This Row],[J34]]-C$9)^2</f>
        <v>4.1478290106283337E-2</v>
      </c>
      <c r="O23">
        <f>Table3[[#This Row],[weight]]*(0.9155*Table2[[#This Row],[J45]]-D$9)^2</f>
        <v>5.9540127669760077E-3</v>
      </c>
      <c r="P23">
        <f>Table3[[#This Row],[weight]]*(0.9155*Table2[[#This Row],[J56]]-E$9)^2</f>
        <v>3.4852226246500695E-2</v>
      </c>
      <c r="Q23">
        <f>Table3[[#This Row],[weight]]*(0.9155*Table2[[#This Row],[J67]]-F$9)^2</f>
        <v>4.6596719717421914E-4</v>
      </c>
      <c r="R23">
        <f>Table3[[#This Row],[weight]]*(0.9155*Table2[[#This Row],[J67'']]-G$9)^2</f>
        <v>7.2744030541670331E-4</v>
      </c>
      <c r="S23">
        <f>chloroform!J28</f>
        <v>4.9283395387780284E-4</v>
      </c>
      <c r="T23" t="str">
        <f>chloroform!F28</f>
        <v>6H4</v>
      </c>
    </row>
    <row r="24" spans="11:20" x14ac:dyDescent="0.25">
      <c r="K24">
        <f>chloroform!E29</f>
        <v>38</v>
      </c>
      <c r="L24">
        <f>Table3[[#This Row],[weight]]*(0.9155*Table2[[#This Row],[J1,2]]-A$9)^2</f>
        <v>2.7532578336363744E-5</v>
      </c>
      <c r="M24">
        <f>Table3[[#This Row],[weight]]*(0.9155*Table2[[#This Row],[J2,3]]-B$9)^2</f>
        <v>7.3528276459927433E-6</v>
      </c>
      <c r="N24">
        <f>Table3[[#This Row],[weight]]*(0.9155*Table2[[#This Row],[J34]]-C$9)^2</f>
        <v>6.0829451096834153E-4</v>
      </c>
      <c r="O24">
        <f>Table3[[#This Row],[weight]]*(0.9155*Table2[[#This Row],[J45]]-D$9)^2</f>
        <v>2.2338888462452066E-3</v>
      </c>
      <c r="P24">
        <f>Table3[[#This Row],[weight]]*(0.9155*Table2[[#This Row],[J56]]-E$9)^2</f>
        <v>2.5695768525018525E-4</v>
      </c>
      <c r="Q24">
        <f>Table3[[#This Row],[weight]]*(0.9155*Table2[[#This Row],[J67]]-F$9)^2</f>
        <v>3.9913431669366087E-4</v>
      </c>
      <c r="R24">
        <f>Table3[[#This Row],[weight]]*(0.9155*Table2[[#This Row],[J67'']]-G$9)^2</f>
        <v>0.3407088318380837</v>
      </c>
      <c r="S24">
        <f>chloroform!J29</f>
        <v>3.0916983615801238E-2</v>
      </c>
      <c r="T24" t="str">
        <f>chloroform!F29</f>
        <v>45TH</v>
      </c>
    </row>
    <row r="25" spans="11:20" x14ac:dyDescent="0.25">
      <c r="K25">
        <f>chloroform!E30</f>
        <v>39</v>
      </c>
      <c r="L25">
        <f>Table3[[#This Row],[weight]]*(0.9155*Table2[[#This Row],[J1,2]]-A$9)^2</f>
        <v>7.2746671638979923E-2</v>
      </c>
      <c r="M25">
        <f>Table3[[#This Row],[weight]]*(0.9155*Table2[[#This Row],[J2,3]]-B$9)^2</f>
        <v>9.8928429599513326E-2</v>
      </c>
      <c r="N25">
        <f>Table3[[#This Row],[weight]]*(0.9155*Table2[[#This Row],[J34]]-C$9)^2</f>
        <v>1.2305668055542049</v>
      </c>
      <c r="O25">
        <f>Table3[[#This Row],[weight]]*(0.9155*Table2[[#This Row],[J45]]-D$9)^2</f>
        <v>3.2095781915744221</v>
      </c>
      <c r="P25">
        <f>Table3[[#This Row],[weight]]*(0.9155*Table2[[#This Row],[J56]]-E$9)^2</f>
        <v>0.56606744045128665</v>
      </c>
      <c r="Q25">
        <f>Table3[[#This Row],[weight]]*(0.9155*Table2[[#This Row],[J67]]-F$9)^2</f>
        <v>7.9573474647629525E-2</v>
      </c>
      <c r="R25">
        <f>Table3[[#This Row],[weight]]*(0.9155*Table2[[#This Row],[J67'']]-G$9)^2</f>
        <v>2.7862645873025524</v>
      </c>
      <c r="S25">
        <f>chloroform!J30</f>
        <v>0.11021833097035422</v>
      </c>
      <c r="T25" t="str">
        <f>chloroform!F30</f>
        <v>4H6</v>
      </c>
    </row>
    <row r="26" spans="11:20" x14ac:dyDescent="0.25">
      <c r="K26">
        <f>chloroform!E31</f>
        <v>41</v>
      </c>
      <c r="L26">
        <f>Table3[[#This Row],[weight]]*(0.9155*Table2[[#This Row],[J1,2]]-A$9)^2</f>
        <v>5.4575812066380625E-2</v>
      </c>
      <c r="M26">
        <f>Table3[[#This Row],[weight]]*(0.9155*Table2[[#This Row],[J2,3]]-B$9)^2</f>
        <v>2.6731535743044346E-2</v>
      </c>
      <c r="N26">
        <f>Table3[[#This Row],[weight]]*(0.9155*Table2[[#This Row],[J34]]-C$9)^2</f>
        <v>0.82551455917079841</v>
      </c>
      <c r="O26">
        <f>Table3[[#This Row],[weight]]*(0.9155*Table2[[#This Row],[J45]]-D$9)^2</f>
        <v>1.8636495246995743</v>
      </c>
      <c r="P26">
        <f>Table3[[#This Row],[weight]]*(0.9155*Table2[[#This Row],[J56]]-E$9)^2</f>
        <v>0.2473071311318466</v>
      </c>
      <c r="Q26">
        <f>Table3[[#This Row],[weight]]*(0.9155*Table2[[#This Row],[J67]]-F$9)^2</f>
        <v>5.1612052037059028E-2</v>
      </c>
      <c r="R26">
        <f>Table3[[#This Row],[weight]]*(0.9155*Table2[[#This Row],[J67'']]-G$9)^2</f>
        <v>1.654081083820663</v>
      </c>
      <c r="S26">
        <f>chloroform!J31</f>
        <v>6.6249456850800803E-2</v>
      </c>
      <c r="T26" t="str">
        <f>chloroform!F31</f>
        <v>4H6</v>
      </c>
    </row>
    <row r="27" spans="11:20" x14ac:dyDescent="0.25">
      <c r="K27">
        <f>chloroform!E32</f>
        <v>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11:20" x14ac:dyDescent="0.25">
      <c r="K28">
        <f>chloroform!E33</f>
        <v>48</v>
      </c>
      <c r="L28">
        <f>Table3[[#This Row],[weight]]*(0.9155*Table2[[#This Row],[J1,2]]-A$9)^2</f>
        <v>2.0515124119888279E-2</v>
      </c>
      <c r="M28">
        <f>Table3[[#This Row],[weight]]*(0.9155*Table2[[#This Row],[J2,3]]-B$9)^2</f>
        <v>0.1011888379520994</v>
      </c>
      <c r="N28">
        <f>Table3[[#This Row],[weight]]*(0.9155*Table2[[#This Row],[J34]]-C$9)^2</f>
        <v>0.7212965059347296</v>
      </c>
      <c r="O28">
        <f>Table3[[#This Row],[weight]]*(0.9155*Table2[[#This Row],[J45]]-D$9)^2</f>
        <v>0.31002128424936093</v>
      </c>
      <c r="P28">
        <f>Table3[[#This Row],[weight]]*(0.9155*Table2[[#This Row],[J56]]-E$9)^2</f>
        <v>1.7418779785163537E-2</v>
      </c>
      <c r="Q28">
        <f>Table3[[#This Row],[weight]]*(0.9155*Table2[[#This Row],[J67]]-F$9)^2</f>
        <v>1.0015509579272563E-3</v>
      </c>
      <c r="R28">
        <f>Table3[[#This Row],[weight]]*(0.9155*Table2[[#This Row],[J67'']]-G$9)^2</f>
        <v>0.36603393646126275</v>
      </c>
      <c r="S28">
        <f>chloroform!J33</f>
        <v>1.2752774545018598E-2</v>
      </c>
      <c r="T28" t="str">
        <f>chloroform!F33</f>
        <v>56TH</v>
      </c>
    </row>
    <row r="29" spans="11:20" x14ac:dyDescent="0.25">
      <c r="K29">
        <f>chloroform!E34</f>
        <v>57</v>
      </c>
      <c r="L29">
        <f>Table3[[#This Row],[weight]]*(0.9155*Table2[[#This Row],[J1,2]]-A$9)^2</f>
        <v>2.5960529742473031E-5</v>
      </c>
      <c r="M29">
        <f>Table3[[#This Row],[weight]]*(0.9155*Table2[[#This Row],[J2,3]]-B$9)^2</f>
        <v>3.7395868102607387E-2</v>
      </c>
      <c r="N29">
        <f>Table3[[#This Row],[weight]]*(0.9155*Table2[[#This Row],[J34]]-C$9)^2</f>
        <v>7.5063710308949372E-2</v>
      </c>
      <c r="O29">
        <f>Table3[[#This Row],[weight]]*(0.9155*Table2[[#This Row],[J45]]-D$9)^2</f>
        <v>2.7524892441288003E-4</v>
      </c>
      <c r="P29">
        <f>Table3[[#This Row],[weight]]*(0.9155*Table2[[#This Row],[J56]]-E$9)^2</f>
        <v>6.3314418626667507E-2</v>
      </c>
      <c r="Q29">
        <f>Table3[[#This Row],[weight]]*(0.9155*Table2[[#This Row],[J67]]-F$9)^2</f>
        <v>9.5812179736966968E-4</v>
      </c>
      <c r="R29">
        <f>Table3[[#This Row],[weight]]*(0.9155*Table2[[#This Row],[J67'']]-G$9)^2</f>
        <v>4.2634698172575647E-2</v>
      </c>
      <c r="S29">
        <f>chloroform!J34</f>
        <v>8.5264554589112415E-4</v>
      </c>
      <c r="T29" t="str">
        <f>chloroform!F34</f>
        <v>6H4</v>
      </c>
    </row>
    <row r="30" spans="11:20" x14ac:dyDescent="0.25">
      <c r="K30">
        <f>chloroform!E35</f>
        <v>59</v>
      </c>
      <c r="L30">
        <f>Table3[[#This Row],[weight]]*(0.9155*Table2[[#This Row],[J1,2]]-A$9)^2</f>
        <v>8.6066049092901415E-5</v>
      </c>
      <c r="M30">
        <f>Table3[[#This Row],[weight]]*(0.9155*Table2[[#This Row],[J2,3]]-B$9)^2</f>
        <v>2.289997687315643E-3</v>
      </c>
      <c r="N30">
        <f>Table3[[#This Row],[weight]]*(0.9155*Table2[[#This Row],[J34]]-C$9)^2</f>
        <v>1.495550102314678E-3</v>
      </c>
      <c r="O30">
        <f>Table3[[#This Row],[weight]]*(0.9155*Table2[[#This Row],[J45]]-D$9)^2</f>
        <v>1.3959927506324147E-3</v>
      </c>
      <c r="P30">
        <f>Table3[[#This Row],[weight]]*(0.9155*Table2[[#This Row],[J56]]-E$9)^2</f>
        <v>9.3454259474592028E-4</v>
      </c>
      <c r="Q30">
        <f>Table3[[#This Row],[weight]]*(0.9155*Table2[[#This Row],[J67]]-F$9)^2</f>
        <v>8.1606190610038486E-5</v>
      </c>
      <c r="R30">
        <f>Table3[[#This Row],[weight]]*(0.9155*Table2[[#This Row],[J67'']]-G$9)^2</f>
        <v>1.0970918770635372E-3</v>
      </c>
      <c r="S30">
        <f>chloroform!J35</f>
        <v>5.9510202012591562E-5</v>
      </c>
      <c r="T30" t="str">
        <f>chloroform!F35</f>
        <v>45TH</v>
      </c>
    </row>
    <row r="31" spans="11:20" x14ac:dyDescent="0.25">
      <c r="K31">
        <f>chloroform!E36</f>
        <v>72</v>
      </c>
      <c r="L31">
        <f>Table3[[#This Row],[weight]]*(0.9155*Table2[[#This Row],[J1,2]]-A$9)^2</f>
        <v>1.2854507098591396E-3</v>
      </c>
      <c r="M31">
        <f>Table3[[#This Row],[weight]]*(0.9155*Table2[[#This Row],[J2,3]]-B$9)^2</f>
        <v>1.1219423711541609E-3</v>
      </c>
      <c r="N31">
        <f>Table3[[#This Row],[weight]]*(0.9155*Table2[[#This Row],[J34]]-C$9)^2</f>
        <v>2.6359935793874203E-2</v>
      </c>
      <c r="O31">
        <f>Table3[[#This Row],[weight]]*(0.9155*Table2[[#This Row],[J45]]-D$9)^2</f>
        <v>8.5791857589762752E-2</v>
      </c>
      <c r="P31">
        <f>Table3[[#This Row],[weight]]*(0.9155*Table2[[#This Row],[J56]]-E$9)^2</f>
        <v>1.1044611826917154E-2</v>
      </c>
      <c r="Q31">
        <f>Table3[[#This Row],[weight]]*(0.9155*Table2[[#This Row],[J67]]-F$9)^2</f>
        <v>9.9176062082016042E-2</v>
      </c>
      <c r="R31">
        <f>Table3[[#This Row],[weight]]*(0.9155*Table2[[#This Row],[J67'']]-G$9)^2</f>
        <v>5.4796437007478702E-2</v>
      </c>
      <c r="S31">
        <f>chloroform!J36</f>
        <v>2.8128776764733254E-3</v>
      </c>
      <c r="T31" t="str">
        <f>chloroform!F36</f>
        <v>4H6</v>
      </c>
    </row>
    <row r="32" spans="11:20" x14ac:dyDescent="0.25">
      <c r="K32">
        <f>chloroform!E37</f>
        <v>73</v>
      </c>
      <c r="L32">
        <f>Table3[[#This Row],[weight]]*(0.9155*Table2[[#This Row],[J1,2]]-A$9)^2</f>
        <v>2.7033207364421673E-2</v>
      </c>
      <c r="M32">
        <f>Table3[[#This Row],[weight]]*(0.9155*Table2[[#This Row],[J2,3]]-B$9)^2</f>
        <v>1.3157128409593115</v>
      </c>
      <c r="N32">
        <f>Table3[[#This Row],[weight]]*(0.9155*Table2[[#This Row],[J34]]-C$9)^2</f>
        <v>1.3763454868929623</v>
      </c>
      <c r="O32">
        <f>Table3[[#This Row],[weight]]*(0.9155*Table2[[#This Row],[J45]]-D$9)^2</f>
        <v>1.0339945843357305</v>
      </c>
      <c r="P32">
        <f>Table3[[#This Row],[weight]]*(0.9155*Table2[[#This Row],[J56]]-E$9)^2</f>
        <v>4.0671703174762494E-5</v>
      </c>
      <c r="Q32">
        <f>Table3[[#This Row],[weight]]*(0.9155*Table2[[#This Row],[J67]]-F$9)^2</f>
        <v>3.064868944682306E-3</v>
      </c>
      <c r="R32">
        <f>Table3[[#This Row],[weight]]*(0.9155*Table2[[#This Row],[J67'']]-G$9)^2</f>
        <v>0.45301788670527404</v>
      </c>
      <c r="S32">
        <f>chloroform!J37</f>
        <v>4.3448357369723078E-2</v>
      </c>
      <c r="T32" t="str">
        <f>chloroform!F37</f>
        <v>5C12</v>
      </c>
    </row>
    <row r="33" spans="11:20" x14ac:dyDescent="0.25">
      <c r="K33">
        <f>chloroform!E38</f>
        <v>76</v>
      </c>
      <c r="L33">
        <f>Table3[[#This Row],[weight]]*(0.9155*Table2[[#This Row],[J1,2]]-A$9)^2</f>
        <v>1.4243963589606674E-4</v>
      </c>
      <c r="M33">
        <f>Table3[[#This Row],[weight]]*(0.9155*Table2[[#This Row],[J2,3]]-B$9)^2</f>
        <v>3.3388193343014986E-3</v>
      </c>
      <c r="N33">
        <f>Table3[[#This Row],[weight]]*(0.9155*Table2[[#This Row],[J34]]-C$9)^2</f>
        <v>2.0143536853426893E-3</v>
      </c>
      <c r="O33">
        <f>Table3[[#This Row],[weight]]*(0.9155*Table2[[#This Row],[J45]]-D$9)^2</f>
        <v>2.0064142390836394E-3</v>
      </c>
      <c r="P33">
        <f>Table3[[#This Row],[weight]]*(0.9155*Table2[[#This Row],[J56]]-E$9)^2</f>
        <v>1.4693155553546532E-3</v>
      </c>
      <c r="Q33">
        <f>Table3[[#This Row],[weight]]*(0.9155*Table2[[#This Row],[J67]]-F$9)^2</f>
        <v>2.7255877751205794E-5</v>
      </c>
      <c r="R33">
        <f>Table3[[#This Row],[weight]]*(0.9155*Table2[[#This Row],[J67'']]-G$9)^2</f>
        <v>2.5222375956254397E-3</v>
      </c>
      <c r="S33">
        <f>chloroform!J38</f>
        <v>8.6510407005682056E-5</v>
      </c>
      <c r="T33" t="str">
        <f>chloroform!F38</f>
        <v>TH45</v>
      </c>
    </row>
    <row r="34" spans="11:20" x14ac:dyDescent="0.25">
      <c r="K34">
        <f>chloroform!E39</f>
        <v>78</v>
      </c>
      <c r="L34">
        <f>Table3[[#This Row],[weight]]*(0.9155*Table2[[#This Row],[J1,2]]-A$9)^2</f>
        <v>2.6457771167485295E-6</v>
      </c>
      <c r="M34">
        <f>Table3[[#This Row],[weight]]*(0.9155*Table2[[#This Row],[J2,3]]-B$9)^2</f>
        <v>2.2537858034233336E-5</v>
      </c>
      <c r="N34">
        <f>Table3[[#This Row],[weight]]*(0.9155*Table2[[#This Row],[J34]]-C$9)^2</f>
        <v>9.0286393520687489E-4</v>
      </c>
      <c r="O34">
        <f>Table3[[#This Row],[weight]]*(0.9155*Table2[[#This Row],[J45]]-D$9)^2</f>
        <v>1.0373222050783645E-3</v>
      </c>
      <c r="P34">
        <f>Table3[[#This Row],[weight]]*(0.9155*Table2[[#This Row],[J56]]-E$9)^2</f>
        <v>4.947928173860244E-4</v>
      </c>
      <c r="Q34">
        <f>Table3[[#This Row],[weight]]*(0.9155*Table2[[#This Row],[J67]]-F$9)^2</f>
        <v>1.9326307806509253E-4</v>
      </c>
      <c r="R34">
        <f>Table3[[#This Row],[weight]]*(0.9155*Table2[[#This Row],[J67'']]-G$9)^2</f>
        <v>0.83127217314441204</v>
      </c>
      <c r="S34">
        <f>chloroform!J39</f>
        <v>2.3475109694907081E-2</v>
      </c>
      <c r="T34" t="str">
        <f>chloroform!F39</f>
        <v>45TH</v>
      </c>
    </row>
    <row r="35" spans="11:20" x14ac:dyDescent="0.25">
      <c r="K35">
        <f>chloroform!E40</f>
        <v>86</v>
      </c>
      <c r="L35">
        <f>Table3[[#This Row],[weight]]*(0.9155*Table2[[#This Row],[J1,2]]-A$9)^2</f>
        <v>9.3542466351634818E-7</v>
      </c>
      <c r="M35">
        <f>Table3[[#This Row],[weight]]*(0.9155*Table2[[#This Row],[J2,3]]-B$9)^2</f>
        <v>5.7201207142099904E-5</v>
      </c>
      <c r="N35">
        <f>Table3[[#This Row],[weight]]*(0.9155*Table2[[#This Row],[J34]]-C$9)^2</f>
        <v>5.1521435003763503E-5</v>
      </c>
      <c r="O35">
        <f>Table3[[#This Row],[weight]]*(0.9155*Table2[[#This Row],[J45]]-D$9)^2</f>
        <v>2.3111177390907345E-4</v>
      </c>
      <c r="P35">
        <f>Table3[[#This Row],[weight]]*(0.9155*Table2[[#This Row],[J56]]-E$9)^2</f>
        <v>3.6321712777303374E-3</v>
      </c>
      <c r="Q35">
        <f>Table3[[#This Row],[weight]]*(0.9155*Table2[[#This Row],[J67]]-F$9)^2</f>
        <v>9.4275931356318909E-3</v>
      </c>
      <c r="R35">
        <f>Table3[[#This Row],[weight]]*(0.9155*Table2[[#This Row],[J67'']]-G$9)^2</f>
        <v>1.3313506162739585E-6</v>
      </c>
      <c r="S35">
        <f>chloroform!J40</f>
        <v>9.1245607550754346E-5</v>
      </c>
      <c r="T35" t="str">
        <f>chloroform!F40</f>
        <v>12C5</v>
      </c>
    </row>
    <row r="36" spans="11:20" x14ac:dyDescent="0.25">
      <c r="K36">
        <f>chloroform!E41</f>
        <v>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>
        <f>chloroform!E42</f>
        <v>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>
        <f>chloroform!E43</f>
        <v>103</v>
      </c>
      <c r="L38">
        <f>Table3[[#This Row],[weight]]*(0.9155*Table2[[#This Row],[J1,2]]-A$9)^2</f>
        <v>1.754718358507424E-2</v>
      </c>
      <c r="M38">
        <f>Table3[[#This Row],[weight]]*(0.9155*Table2[[#This Row],[J2,3]]-B$9)^2</f>
        <v>0.8656542854124547</v>
      </c>
      <c r="N38">
        <f>Table3[[#This Row],[weight]]*(0.9155*Table2[[#This Row],[J34]]-C$9)^2</f>
        <v>1.4577039723911533</v>
      </c>
      <c r="O38">
        <f>Table3[[#This Row],[weight]]*(0.9155*Table2[[#This Row],[J45]]-D$9)^2</f>
        <v>0.42136967571963213</v>
      </c>
      <c r="P38">
        <f>Table3[[#This Row],[weight]]*(0.9155*Table2[[#This Row],[J56]]-E$9)^2</f>
        <v>1.8196992799932137E-2</v>
      </c>
      <c r="Q38">
        <f>Table3[[#This Row],[weight]]*(0.9155*Table2[[#This Row],[J67]]-F$9)^2</f>
        <v>2.3748794816631072E-4</v>
      </c>
      <c r="R38">
        <f>Table3[[#This Row],[weight]]*(0.9155*Table2[[#This Row],[J67'']]-G$9)^2</f>
        <v>0.67147602582798405</v>
      </c>
      <c r="S38">
        <f>chloroform!J43</f>
        <v>2.4341814562238901E-2</v>
      </c>
      <c r="T38" t="str">
        <f>chloroform!F43</f>
        <v>5C12</v>
      </c>
    </row>
    <row r="39" spans="11:20" x14ac:dyDescent="0.25">
      <c r="K39">
        <f>chloroform!E44</f>
        <v>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>
        <f>chloroform!E45</f>
        <v>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>
        <f>chloroform!E46</f>
        <v>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109</v>
      </c>
      <c r="L42">
        <f>Table3[[#This Row],[weight]]*(0.9155*Table2[[#This Row],[J1,2]]-A$9)^2</f>
        <v>6.5576944309808676E-5</v>
      </c>
      <c r="M42">
        <f>Table3[[#This Row],[weight]]*(0.9155*Table2[[#This Row],[J2,3]]-B$9)^2</f>
        <v>3.1955312172477464E-3</v>
      </c>
      <c r="N42">
        <f>Table3[[#This Row],[weight]]*(0.9155*Table2[[#This Row],[J34]]-C$9)^2</f>
        <v>3.0997583507795302E-6</v>
      </c>
      <c r="O42">
        <f>Table3[[#This Row],[weight]]*(0.9155*Table2[[#This Row],[J45]]-D$9)^2</f>
        <v>7.8628149014089594E-5</v>
      </c>
      <c r="P42">
        <f>Table3[[#This Row],[weight]]*(0.9155*Table2[[#This Row],[J56]]-E$9)^2</f>
        <v>2.1322728816318676E-6</v>
      </c>
      <c r="Q42">
        <f>Table3[[#This Row],[weight]]*(0.9155*Table2[[#This Row],[J67]]-F$9)^2</f>
        <v>2.09946951580752E-3</v>
      </c>
      <c r="R42">
        <f>Table3[[#This Row],[weight]]*(0.9155*Table2[[#This Row],[J67'']]-G$9)^2</f>
        <v>0.37202528585914613</v>
      </c>
      <c r="S42">
        <f>chloroform!J47</f>
        <v>1.0480173242917196E-2</v>
      </c>
      <c r="T42" t="str">
        <f>chloroform!F47</f>
        <v>45TH</v>
      </c>
    </row>
    <row r="43" spans="11:20" x14ac:dyDescent="0.25">
      <c r="K43">
        <f>chloroform!E48</f>
        <v>123</v>
      </c>
      <c r="L43">
        <f>Table3[[#This Row],[weight]]*(0.9155*Table2[[#This Row],[J1,2]]-A$9)^2</f>
        <v>9.7596795160044146E-4</v>
      </c>
      <c r="M43">
        <f>Table3[[#This Row],[weight]]*(0.9155*Table2[[#This Row],[J2,3]]-B$9)^2</f>
        <v>3.6028679248566176E-2</v>
      </c>
      <c r="N43">
        <f>Table3[[#This Row],[weight]]*(0.9155*Table2[[#This Row],[J34]]-C$9)^2</f>
        <v>5.8799758204179389E-2</v>
      </c>
      <c r="O43">
        <f>Table3[[#This Row],[weight]]*(0.9155*Table2[[#This Row],[J45]]-D$9)^2</f>
        <v>1.7847330015670945E-2</v>
      </c>
      <c r="P43">
        <f>Table3[[#This Row],[weight]]*(0.9155*Table2[[#This Row],[J56]]-E$9)^2</f>
        <v>1.5123023901824975E-4</v>
      </c>
      <c r="Q43">
        <f>Table3[[#This Row],[weight]]*(0.9155*Table2[[#This Row],[J67]]-F$9)^2</f>
        <v>1.0580756825607439E-3</v>
      </c>
      <c r="R43">
        <f>Table3[[#This Row],[weight]]*(0.9155*Table2[[#This Row],[J67'']]-G$9)^2</f>
        <v>4.6557749014113775E-3</v>
      </c>
      <c r="S43">
        <f>chloroform!J48</f>
        <v>1.0355624200105362E-3</v>
      </c>
      <c r="T43" t="str">
        <f>chloroform!F48</f>
        <v>5C12</v>
      </c>
    </row>
    <row r="44" spans="11:20" x14ac:dyDescent="0.25">
      <c r="K44">
        <f>chloroform!E49</f>
        <v>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>
        <f>chloroform!E50</f>
        <v>128</v>
      </c>
      <c r="L45">
        <f>Table3[[#This Row],[weight]]*(0.9155*Table2[[#This Row],[J1,2]]-A$9)^2</f>
        <v>1.104959929922319E-6</v>
      </c>
      <c r="M45">
        <f>Table3[[#This Row],[weight]]*(0.9155*Table2[[#This Row],[J2,3]]-B$9)^2</f>
        <v>2.3078944253414514E-4</v>
      </c>
      <c r="N45">
        <f>Table3[[#This Row],[weight]]*(0.9155*Table2[[#This Row],[J34]]-C$9)^2</f>
        <v>1.5179248431573865E-4</v>
      </c>
      <c r="O45">
        <f>Table3[[#This Row],[weight]]*(0.9155*Table2[[#This Row],[J45]]-D$9)^2</f>
        <v>1.020087450840122E-3</v>
      </c>
      <c r="P45">
        <f>Table3[[#This Row],[weight]]*(0.9155*Table2[[#This Row],[J56]]-E$9)^2</f>
        <v>1.4817744910137596E-2</v>
      </c>
      <c r="Q45">
        <f>Table3[[#This Row],[weight]]*(0.9155*Table2[[#This Row],[J67]]-F$9)^2</f>
        <v>2.0242943604589515E-4</v>
      </c>
      <c r="R45">
        <f>Table3[[#This Row],[weight]]*(0.9155*Table2[[#This Row],[J67'']]-G$9)^2</f>
        <v>9.0806032797644404E-3</v>
      </c>
      <c r="S45">
        <f>chloroform!J50</f>
        <v>3.8396480201243605E-4</v>
      </c>
      <c r="T45" t="str">
        <f>chloroform!F50</f>
        <v>12C5</v>
      </c>
    </row>
    <row r="46" spans="11:20" x14ac:dyDescent="0.25">
      <c r="K46">
        <f>chloroform!E51</f>
        <v>135</v>
      </c>
      <c r="L46">
        <f>Table3[[#This Row],[weight]]*(0.9155*Table2[[#This Row],[J1,2]]-A$9)^2</f>
        <v>4.0970790914459706E-3</v>
      </c>
      <c r="M46">
        <f>Table3[[#This Row],[weight]]*(0.9155*Table2[[#This Row],[J2,3]]-B$9)^2</f>
        <v>3.7562807769173666E-2</v>
      </c>
      <c r="N46">
        <f>Table3[[#This Row],[weight]]*(0.9155*Table2[[#This Row],[J34]]-C$9)^2</f>
        <v>0.19909289420036108</v>
      </c>
      <c r="O46">
        <f>Table3[[#This Row],[weight]]*(0.9155*Table2[[#This Row],[J45]]-D$9)^2</f>
        <v>8.7595679183282635E-2</v>
      </c>
      <c r="P46">
        <f>Table3[[#This Row],[weight]]*(0.9155*Table2[[#This Row],[J56]]-E$9)^2</f>
        <v>7.7194252542978174E-3</v>
      </c>
      <c r="Q46">
        <f>Table3[[#This Row],[weight]]*(0.9155*Table2[[#This Row],[J67]]-F$9)^2</f>
        <v>3.6395615679858046E-3</v>
      </c>
      <c r="R46">
        <f>Table3[[#This Row],[weight]]*(0.9155*Table2[[#This Row],[J67'']]-G$9)^2</f>
        <v>6.455984852159069E-2</v>
      </c>
      <c r="S46">
        <f>chloroform!J51</f>
        <v>3.3642829479174261E-3</v>
      </c>
      <c r="T46" t="str">
        <f>chloroform!F51</f>
        <v>56TH</v>
      </c>
    </row>
    <row r="47" spans="11:20" x14ac:dyDescent="0.25">
      <c r="K47">
        <f>chloroform!E52</f>
        <v>136</v>
      </c>
      <c r="L47">
        <f>Table3[[#This Row],[weight]]*(0.9155*Table2[[#This Row],[J1,2]]-A$9)^2</f>
        <v>2.2008041903729956E-4</v>
      </c>
      <c r="M47">
        <f>Table3[[#This Row],[weight]]*(0.9155*Table2[[#This Row],[J2,3]]-B$9)^2</f>
        <v>3.707815077293914E-2</v>
      </c>
      <c r="N47">
        <f>Table3[[#This Row],[weight]]*(0.9155*Table2[[#This Row],[J34]]-C$9)^2</f>
        <v>4.0677741218629569E-2</v>
      </c>
      <c r="O47">
        <f>Table3[[#This Row],[weight]]*(0.9155*Table2[[#This Row],[J45]]-D$9)^2</f>
        <v>2.5410896451701737E-2</v>
      </c>
      <c r="P47">
        <f>Table3[[#This Row],[weight]]*(0.9155*Table2[[#This Row],[J56]]-E$9)^2</f>
        <v>7.8811073023696344E-5</v>
      </c>
      <c r="Q47">
        <f>Table3[[#This Row],[weight]]*(0.9155*Table2[[#This Row],[J67]]-F$9)^2</f>
        <v>4.3014700843337241E-5</v>
      </c>
      <c r="R47">
        <f>Table3[[#This Row],[weight]]*(0.9155*Table2[[#This Row],[J67'']]-G$9)^2</f>
        <v>3.2436498806975161E-2</v>
      </c>
      <c r="S47">
        <f>chloroform!J52</f>
        <v>1.0909790359274407E-3</v>
      </c>
      <c r="T47" t="str">
        <f>chloroform!F52</f>
        <v>5C12</v>
      </c>
    </row>
    <row r="48" spans="11:20" x14ac:dyDescent="0.25">
      <c r="K48">
        <f>chloroform!E53</f>
        <v>142</v>
      </c>
      <c r="L48">
        <f>Table3[[#This Row],[weight]]*(0.9155*Table2[[#This Row],[J1,2]]-A$9)^2</f>
        <v>2.796993266840137E-3</v>
      </c>
      <c r="M48">
        <f>Table3[[#This Row],[weight]]*(0.9155*Table2[[#This Row],[J2,3]]-B$9)^2</f>
        <v>0.25155624207527894</v>
      </c>
      <c r="N48">
        <f>Table3[[#This Row],[weight]]*(0.9155*Table2[[#This Row],[J34]]-C$9)^2</f>
        <v>0.41338798048091696</v>
      </c>
      <c r="O48">
        <f>Table3[[#This Row],[weight]]*(0.9155*Table2[[#This Row],[J45]]-D$9)^2</f>
        <v>0.13188348567304581</v>
      </c>
      <c r="P48">
        <f>Table3[[#This Row],[weight]]*(0.9155*Table2[[#This Row],[J56]]-E$9)^2</f>
        <v>3.5723236468852837E-3</v>
      </c>
      <c r="Q48">
        <f>Table3[[#This Row],[weight]]*(0.9155*Table2[[#This Row],[J67]]-F$9)^2</f>
        <v>0.39608084342470418</v>
      </c>
      <c r="R48">
        <f>Table3[[#This Row],[weight]]*(0.9155*Table2[[#This Row],[J67'']]-G$9)^2</f>
        <v>5.6521880366342113E-2</v>
      </c>
      <c r="S48">
        <f>chloroform!J53</f>
        <v>6.8221098406788241E-3</v>
      </c>
      <c r="T48" t="str">
        <f>chloroform!F53</f>
        <v>5C12</v>
      </c>
    </row>
    <row r="49" spans="11:20" x14ac:dyDescent="0.25">
      <c r="K49">
        <f>chloroform!E54</f>
        <v>143</v>
      </c>
      <c r="L49">
        <f>Table3[[#This Row],[weight]]*(0.9155*Table2[[#This Row],[J1,2]]-A$9)^2</f>
        <v>1.7679009589954198E-5</v>
      </c>
      <c r="M49">
        <f>Table3[[#This Row],[weight]]*(0.9155*Table2[[#This Row],[J2,3]]-B$9)^2</f>
        <v>5.5415412342280489E-6</v>
      </c>
      <c r="N49">
        <f>Table3[[#This Row],[weight]]*(0.9155*Table2[[#This Row],[J34]]-C$9)^2</f>
        <v>2.4010724133293463E-4</v>
      </c>
      <c r="O49">
        <f>Table3[[#This Row],[weight]]*(0.9155*Table2[[#This Row],[J45]]-D$9)^2</f>
        <v>1.3113959491123863E-3</v>
      </c>
      <c r="P49">
        <f>Table3[[#This Row],[weight]]*(0.9155*Table2[[#This Row],[J56]]-E$9)^2</f>
        <v>2.3043680388615462E-4</v>
      </c>
      <c r="Q49">
        <f>Table3[[#This Row],[weight]]*(0.9155*Table2[[#This Row],[J67]]-F$9)^2</f>
        <v>6.3112816176121873E-3</v>
      </c>
      <c r="R49">
        <f>Table3[[#This Row],[weight]]*(0.9155*Table2[[#This Row],[J67'']]-G$9)^2</f>
        <v>1.109050942839975E-3</v>
      </c>
      <c r="S49">
        <f>chloroform!J54</f>
        <v>1.0481661180679757E-4</v>
      </c>
      <c r="T49" t="str">
        <f>chloroform!F54</f>
        <v>45TH</v>
      </c>
    </row>
    <row r="50" spans="11:20" x14ac:dyDescent="0.25">
      <c r="K50">
        <f>chloroform!E55</f>
        <v>144</v>
      </c>
      <c r="L50">
        <f>Table3[[#This Row],[weight]]*(0.9155*Table2[[#This Row],[J1,2]]-A$9)^2</f>
        <v>1.032260970249341E-5</v>
      </c>
      <c r="M50">
        <f>Table3[[#This Row],[weight]]*(0.9155*Table2[[#This Row],[J2,3]]-B$9)^2</f>
        <v>1.6739120996250162E-4</v>
      </c>
      <c r="N50">
        <f>Table3[[#This Row],[weight]]*(0.9155*Table2[[#This Row],[J34]]-C$9)^2</f>
        <v>8.5392280430351109E-6</v>
      </c>
      <c r="O50">
        <f>Table3[[#This Row],[weight]]*(0.9155*Table2[[#This Row],[J45]]-D$9)^2</f>
        <v>2.5877243826066137E-4</v>
      </c>
      <c r="P50">
        <f>Table3[[#This Row],[weight]]*(0.9155*Table2[[#This Row],[J56]]-E$9)^2</f>
        <v>3.7167101379029445E-3</v>
      </c>
      <c r="Q50">
        <f>Table3[[#This Row],[weight]]*(0.9155*Table2[[#This Row],[J67]]-F$9)^2</f>
        <v>1.0423951481538889E-2</v>
      </c>
      <c r="R50">
        <f>Table3[[#This Row],[weight]]*(0.9155*Table2[[#This Row],[J67'']]-G$9)^2</f>
        <v>3.443047200891855E-6</v>
      </c>
      <c r="S50">
        <f>chloroform!J55</f>
        <v>9.9628718875851752E-5</v>
      </c>
      <c r="T50" t="str">
        <f>chloroform!F55</f>
        <v>12C5</v>
      </c>
    </row>
    <row r="51" spans="11:20" x14ac:dyDescent="0.25">
      <c r="K51">
        <f>chloroform!E56</f>
        <v>145</v>
      </c>
      <c r="L51">
        <f>Table3[[#This Row],[weight]]*(0.9155*Table2[[#This Row],[J1,2]]-A$9)^2</f>
        <v>4.4760593438096215E-5</v>
      </c>
      <c r="M51">
        <f>Table3[[#This Row],[weight]]*(0.9155*Table2[[#This Row],[J2,3]]-B$9)^2</f>
        <v>4.2831850805776281E-4</v>
      </c>
      <c r="N51">
        <f>Table3[[#This Row],[weight]]*(0.9155*Table2[[#This Row],[J34]]-C$9)^2</f>
        <v>1.2302331206725454E-4</v>
      </c>
      <c r="O51">
        <f>Table3[[#This Row],[weight]]*(0.9155*Table2[[#This Row],[J45]]-D$9)^2</f>
        <v>4.5229525363027636E-4</v>
      </c>
      <c r="P51">
        <f>Table3[[#This Row],[weight]]*(0.9155*Table2[[#This Row],[J56]]-E$9)^2</f>
        <v>1.1109650417975209E-2</v>
      </c>
      <c r="Q51">
        <f>Table3[[#This Row],[weight]]*(0.9155*Table2[[#This Row],[J67]]-F$9)^2</f>
        <v>2.9938101823626405E-2</v>
      </c>
      <c r="R51">
        <f>Table3[[#This Row],[weight]]*(0.9155*Table2[[#This Row],[J67'']]-G$9)^2</f>
        <v>2.6868004662721149E-7</v>
      </c>
      <c r="S51">
        <f>chloroform!J56</f>
        <v>2.7635755668103923E-4</v>
      </c>
      <c r="T51" t="str">
        <f>chloroform!F56</f>
        <v>5C12</v>
      </c>
    </row>
    <row r="52" spans="11:20" x14ac:dyDescent="0.25">
      <c r="K52">
        <f>chloroform!E57</f>
        <v>166</v>
      </c>
      <c r="L52">
        <f>Table3[[#This Row],[weight]]*(0.9155*Table2[[#This Row],[J1,2]]-A$9)^2</f>
        <v>6.4068769933104666E-4</v>
      </c>
      <c r="M52">
        <f>Table3[[#This Row],[weight]]*(0.9155*Table2[[#This Row],[J2,3]]-B$9)^2</f>
        <v>4.1487504317471231E-2</v>
      </c>
      <c r="N52">
        <f>Table3[[#This Row],[weight]]*(0.9155*Table2[[#This Row],[J34]]-C$9)^2</f>
        <v>4.500183213203595E-2</v>
      </c>
      <c r="O52">
        <f>Table3[[#This Row],[weight]]*(0.9155*Table2[[#This Row],[J45]]-D$9)^2</f>
        <v>3.6760329072756517E-2</v>
      </c>
      <c r="P52">
        <f>Table3[[#This Row],[weight]]*(0.9155*Table2[[#This Row],[J56]]-E$9)^2</f>
        <v>8.7249740588017915E-4</v>
      </c>
      <c r="Q52">
        <f>Table3[[#This Row],[weight]]*(0.9155*Table2[[#This Row],[J67]]-F$9)^2</f>
        <v>1.2580643895896806E-6</v>
      </c>
      <c r="R52">
        <f>Table3[[#This Row],[weight]]*(0.9155*Table2[[#This Row],[J67'']]-G$9)^2</f>
        <v>5.4760412414080029E-2</v>
      </c>
      <c r="S52">
        <f>chloroform!J57</f>
        <v>1.4559203751675592E-3</v>
      </c>
      <c r="T52" t="str">
        <f>chloroform!F57</f>
        <v>5C12</v>
      </c>
    </row>
    <row r="53" spans="11:20" x14ac:dyDescent="0.25">
      <c r="K53">
        <f>chloroform!E58</f>
        <v>173</v>
      </c>
      <c r="L53">
        <f>Table3[[#This Row],[weight]]*(0.9155*Table2[[#This Row],[J1,2]]-A$9)^2</f>
        <v>2.7656964035842288E-5</v>
      </c>
      <c r="M53">
        <f>Table3[[#This Row],[weight]]*(0.9155*Table2[[#This Row],[J2,3]]-B$9)^2</f>
        <v>4.4620695136518204E-4</v>
      </c>
      <c r="N53">
        <f>Table3[[#This Row],[weight]]*(0.9155*Table2[[#This Row],[J34]]-C$9)^2</f>
        <v>4.2017304485790945E-5</v>
      </c>
      <c r="O53">
        <f>Table3[[#This Row],[weight]]*(0.9155*Table2[[#This Row],[J45]]-D$9)^2</f>
        <v>5.3615585528899259E-4</v>
      </c>
      <c r="P53">
        <f>Table3[[#This Row],[weight]]*(0.9155*Table2[[#This Row],[J56]]-E$9)^2</f>
        <v>1.0683341933148065E-2</v>
      </c>
      <c r="Q53">
        <f>Table3[[#This Row],[weight]]*(0.9155*Table2[[#This Row],[J67]]-F$9)^2</f>
        <v>2.5212448595758429E-4</v>
      </c>
      <c r="R53">
        <f>Table3[[#This Row],[weight]]*(0.9155*Table2[[#This Row],[J67'']]-G$9)^2</f>
        <v>8.8493926139331658E-3</v>
      </c>
      <c r="S53">
        <f>chloroform!J58</f>
        <v>3.0747526469437659E-4</v>
      </c>
      <c r="T53" t="str">
        <f>chloroform!F58</f>
        <v>12C5</v>
      </c>
    </row>
    <row r="54" spans="11:20" x14ac:dyDescent="0.25">
      <c r="K54">
        <f>chloroform!E59</f>
        <v>191</v>
      </c>
      <c r="L54">
        <f>Table3[[#This Row],[weight]]*(0.9155*Table2[[#This Row],[J1,2]]-A$9)^2</f>
        <v>5.6185693550104405E-7</v>
      </c>
      <c r="M54">
        <f>Table3[[#This Row],[weight]]*(0.9155*Table2[[#This Row],[J2,3]]-B$9)^2</f>
        <v>5.5137367442269886E-5</v>
      </c>
      <c r="N54">
        <f>Table3[[#This Row],[weight]]*(0.9155*Table2[[#This Row],[J34]]-C$9)^2</f>
        <v>5.564507216799444E-5</v>
      </c>
      <c r="O54">
        <f>Table3[[#This Row],[weight]]*(0.9155*Table2[[#This Row],[J45]]-D$9)^2</f>
        <v>2.3829781657998489E-4</v>
      </c>
      <c r="P54">
        <f>Table3[[#This Row],[weight]]*(0.9155*Table2[[#This Row],[J56]]-E$9)^2</f>
        <v>3.6092751101401417E-3</v>
      </c>
      <c r="Q54">
        <f>Table3[[#This Row],[weight]]*(0.9155*Table2[[#This Row],[J67]]-F$9)^2</f>
        <v>9.3498372118598315E-3</v>
      </c>
      <c r="R54">
        <f>Table3[[#This Row],[weight]]*(0.9155*Table2[[#This Row],[J67'']]-G$9)^2</f>
        <v>5.4059213941122383E-7</v>
      </c>
      <c r="S54">
        <f>chloroform!J59</f>
        <v>8.9394687272523727E-5</v>
      </c>
      <c r="T54" t="str">
        <f>chloroform!F59</f>
        <v>12C5</v>
      </c>
    </row>
    <row r="55" spans="11:20" x14ac:dyDescent="0.25">
      <c r="K55">
        <f>chloroform!E60</f>
        <v>193</v>
      </c>
      <c r="L55">
        <f>Table3[[#This Row],[weight]]*(0.9155*Table2[[#This Row],[J1,2]]-A$9)^2</f>
        <v>1.1507698861219233E-4</v>
      </c>
      <c r="M55">
        <f>Table3[[#This Row],[weight]]*(0.9155*Table2[[#This Row],[J2,3]]-B$9)^2</f>
        <v>1.7668910877536904E-3</v>
      </c>
      <c r="N55">
        <f>Table3[[#This Row],[weight]]*(0.9155*Table2[[#This Row],[J34]]-C$9)^2</f>
        <v>1.4090467282255588E-4</v>
      </c>
      <c r="O55">
        <f>Table3[[#This Row],[weight]]*(0.9155*Table2[[#This Row],[J45]]-D$9)^2</f>
        <v>1.8364800307531732E-3</v>
      </c>
      <c r="P55">
        <f>Table3[[#This Row],[weight]]*(0.9155*Table2[[#This Row],[J56]]-E$9)^2</f>
        <v>3.2537012181602355E-2</v>
      </c>
      <c r="Q55">
        <f>Table3[[#This Row],[weight]]*(0.9155*Table2[[#This Row],[J67]]-F$9)^2</f>
        <v>4.6378706580935141E-4</v>
      </c>
      <c r="R55">
        <f>Table3[[#This Row],[weight]]*(0.9155*Table2[[#This Row],[J67'']]-G$9)^2</f>
        <v>2.2493416210194565E-2</v>
      </c>
      <c r="S55">
        <f>chloroform!J60</f>
        <v>9.1866401191648855E-4</v>
      </c>
      <c r="T55" t="str">
        <f>chloroform!F60</f>
        <v>12C5</v>
      </c>
    </row>
    <row r="56" spans="11:20" x14ac:dyDescent="0.25">
      <c r="K56">
        <f>chloroform!E61</f>
        <v>197</v>
      </c>
      <c r="L56">
        <f>Table3[[#This Row],[weight]]*(0.9155*Table2[[#This Row],[J1,2]]-A$9)^2</f>
        <v>0</v>
      </c>
      <c r="M56">
        <f>Table3[[#This Row],[weight]]*(0.9155*Table2[[#This Row],[J2,3]]-B$9)^2</f>
        <v>0</v>
      </c>
      <c r="N56">
        <f>Table3[[#This Row],[weight]]*(0.9155*Table2[[#This Row],[J34]]-C$9)^2</f>
        <v>0</v>
      </c>
      <c r="O56">
        <f>Table3[[#This Row],[weight]]*(0.9155*Table2[[#This Row],[J45]]-D$9)^2</f>
        <v>0</v>
      </c>
      <c r="P56">
        <f>Table3[[#This Row],[weight]]*(0.9155*Table2[[#This Row],[J56]]-E$9)^2</f>
        <v>0</v>
      </c>
      <c r="Q56">
        <f>Table3[[#This Row],[weight]]*(0.9155*Table2[[#This Row],[J67]]-F$9)^2</f>
        <v>0</v>
      </c>
      <c r="R56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>
        <f>chloroform!E62</f>
        <v>208</v>
      </c>
      <c r="L57">
        <f>Table3[[#This Row],[weight]]*(0.9155*Table2[[#This Row],[J1,2]]-A$9)^2</f>
        <v>1.2060495678322565E-5</v>
      </c>
      <c r="M57">
        <f>Table3[[#This Row],[weight]]*(0.9155*Table2[[#This Row],[J2,3]]-B$9)^2</f>
        <v>1.2358275794782905E-3</v>
      </c>
      <c r="N57">
        <f>Table3[[#This Row],[weight]]*(0.9155*Table2[[#This Row],[J34]]-C$9)^2</f>
        <v>1.606055832903258E-3</v>
      </c>
      <c r="O57">
        <f>Table3[[#This Row],[weight]]*(0.9155*Table2[[#This Row],[J45]]-D$9)^2</f>
        <v>9.1494504850403381E-4</v>
      </c>
      <c r="P57">
        <f>Table3[[#This Row],[weight]]*(0.9155*Table2[[#This Row],[J56]]-E$9)^2</f>
        <v>8.6475305979014622E-6</v>
      </c>
      <c r="Q57">
        <f>Table3[[#This Row],[weight]]*(0.9155*Table2[[#This Row],[J67]]-F$9)^2</f>
        <v>7.2586638078813075E-6</v>
      </c>
      <c r="R57">
        <f>Table3[[#This Row],[weight]]*(0.9155*Table2[[#This Row],[J67'']]-G$9)^2</f>
        <v>1.0415366697091916E-3</v>
      </c>
      <c r="S57">
        <f>chloroform!J62</f>
        <v>3.6649916726386473E-5</v>
      </c>
      <c r="T57" t="str">
        <f>chloroform!F62</f>
        <v>5C12</v>
      </c>
    </row>
    <row r="58" spans="11:20" x14ac:dyDescent="0.25">
      <c r="K58">
        <f>chloroform!E63</f>
        <v>212</v>
      </c>
      <c r="L58">
        <f>Table3[[#This Row],[weight]]*(0.9155*Table2[[#This Row],[J1,2]]-A$9)^2</f>
        <v>1.0693094096662139E-5</v>
      </c>
      <c r="M58">
        <f>Table3[[#This Row],[weight]]*(0.9155*Table2[[#This Row],[J2,3]]-B$9)^2</f>
        <v>3.2727845064246445E-4</v>
      </c>
      <c r="N58">
        <f>Table3[[#This Row],[weight]]*(0.9155*Table2[[#This Row],[J34]]-C$9)^2</f>
        <v>6.4318669041589756E-7</v>
      </c>
      <c r="O58">
        <f>Table3[[#This Row],[weight]]*(0.9155*Table2[[#This Row],[J45]]-D$9)^2</f>
        <v>5.5512953413683016E-4</v>
      </c>
      <c r="P58">
        <f>Table3[[#This Row],[weight]]*(0.9155*Table2[[#This Row],[J56]]-E$9)^2</f>
        <v>6.7211013221742562E-3</v>
      </c>
      <c r="Q58">
        <f>Table3[[#This Row],[weight]]*(0.9155*Table2[[#This Row],[J67]]-F$9)^2</f>
        <v>2.4409615178185326E-5</v>
      </c>
      <c r="R58">
        <f>Table3[[#This Row],[weight]]*(0.9155*Table2[[#This Row],[J67'']]-G$9)^2</f>
        <v>5.6570996572890449E-3</v>
      </c>
      <c r="S58">
        <f>chloroform!J63</f>
        <v>2.0479100043481447E-4</v>
      </c>
      <c r="T58" t="str">
        <f>chloroform!F63</f>
        <v>12C5</v>
      </c>
    </row>
    <row r="59" spans="11:20" x14ac:dyDescent="0.25">
      <c r="K59">
        <f>chloroform!E64</f>
        <v>215</v>
      </c>
      <c r="L59">
        <f>Table3[[#This Row],[weight]]*(0.9155*Table2[[#This Row],[J1,2]]-A$9)^2</f>
        <v>1.3568516633902171E-4</v>
      </c>
      <c r="M59">
        <f>Table3[[#This Row],[weight]]*(0.9155*Table2[[#This Row],[J2,3]]-B$9)^2</f>
        <v>1.6126649291847634E-3</v>
      </c>
      <c r="N59">
        <f>Table3[[#This Row],[weight]]*(0.9155*Table2[[#This Row],[J34]]-C$9)^2</f>
        <v>4.0299137910756414E-4</v>
      </c>
      <c r="O59">
        <f>Table3[[#This Row],[weight]]*(0.9155*Table2[[#This Row],[J45]]-D$9)^2</f>
        <v>2.1620985302020176E-3</v>
      </c>
      <c r="P59">
        <f>Table3[[#This Row],[weight]]*(0.9155*Table2[[#This Row],[J56]]-E$9)^2</f>
        <v>4.4454360174176921E-2</v>
      </c>
      <c r="Q59">
        <f>Table3[[#This Row],[weight]]*(0.9155*Table2[[#This Row],[J67]]-F$9)^2</f>
        <v>7.0074497262663884E-4</v>
      </c>
      <c r="R59">
        <f>Table3[[#This Row],[weight]]*(0.9155*Table2[[#This Row],[J67'']]-G$9)^2</f>
        <v>2.9538002532189023E-2</v>
      </c>
      <c r="S59">
        <f>chloroform!J64</f>
        <v>1.2045916108581406E-3</v>
      </c>
      <c r="T59" t="str">
        <f>chloroform!F64</f>
        <v>12C5</v>
      </c>
    </row>
    <row r="60" spans="11:20" x14ac:dyDescent="0.25">
      <c r="K60">
        <f>chloroform!E65</f>
        <v>219</v>
      </c>
      <c r="L60">
        <f>Table3[[#This Row],[weight]]*(0.9155*Table2[[#This Row],[J1,2]]-A$9)^2</f>
        <v>6.0476906451462835E-5</v>
      </c>
      <c r="M60">
        <f>Table3[[#This Row],[weight]]*(0.9155*Table2[[#This Row],[J2,3]]-B$9)^2</f>
        <v>2.6335440742047142E-4</v>
      </c>
      <c r="N60">
        <f>Table3[[#This Row],[weight]]*(0.9155*Table2[[#This Row],[J34]]-C$9)^2</f>
        <v>7.4434648389760142E-7</v>
      </c>
      <c r="O60">
        <f>Table3[[#This Row],[weight]]*(0.9155*Table2[[#This Row],[J45]]-D$9)^2</f>
        <v>3.9866214813106794E-6</v>
      </c>
      <c r="P60">
        <f>Table3[[#This Row],[weight]]*(0.9155*Table2[[#This Row],[J56]]-E$9)^2</f>
        <v>2.1720868739140858E-3</v>
      </c>
      <c r="Q60">
        <f>Table3[[#This Row],[weight]]*(0.9155*Table2[[#This Row],[J67]]-F$9)^2</f>
        <v>1.1268622512676327E-4</v>
      </c>
      <c r="R60">
        <f>Table3[[#This Row],[weight]]*(0.9155*Table2[[#This Row],[J67'']]-G$9)^2</f>
        <v>1.869388486062423E-3</v>
      </c>
      <c r="S60">
        <f>chloroform!J65</f>
        <v>7.2359087420227486E-5</v>
      </c>
      <c r="T60" t="str">
        <f>chloroform!F65</f>
        <v>12C5</v>
      </c>
    </row>
    <row r="61" spans="11:20" x14ac:dyDescent="0.25">
      <c r="K61">
        <f>chloroform!E66</f>
        <v>220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>
        <f>chloroform!E67</f>
        <v>241</v>
      </c>
      <c r="L62">
        <f>Table3[[#This Row],[weight]]*(0.9155*Table2[[#This Row],[J1,2]]-A$9)^2</f>
        <v>1.4886044428404188E-4</v>
      </c>
      <c r="M62">
        <f>Table3[[#This Row],[weight]]*(0.9155*Table2[[#This Row],[J2,3]]-B$9)^2</f>
        <v>1.9119314239455052E-3</v>
      </c>
      <c r="N62">
        <f>Table3[[#This Row],[weight]]*(0.9155*Table2[[#This Row],[J34]]-C$9)^2</f>
        <v>1.2684247813702173E-4</v>
      </c>
      <c r="O62">
        <f>Table3[[#This Row],[weight]]*(0.9155*Table2[[#This Row],[J45]]-D$9)^2</f>
        <v>1.7088906478503034E-3</v>
      </c>
      <c r="P62">
        <f>Table3[[#This Row],[weight]]*(0.9155*Table2[[#This Row],[J56]]-E$9)^2</f>
        <v>3.3312091760863458E-2</v>
      </c>
      <c r="Q62">
        <f>Table3[[#This Row],[weight]]*(0.9155*Table2[[#This Row],[J67]]-F$9)^2</f>
        <v>8.9686906373448666E-4</v>
      </c>
      <c r="R62">
        <f>Table3[[#This Row],[weight]]*(0.9155*Table2[[#This Row],[J67'']]-G$9)^2</f>
        <v>2.7954669638909954E-2</v>
      </c>
      <c r="S62">
        <f>chloroform!J67</f>
        <v>9.7595257771434173E-4</v>
      </c>
      <c r="T62" t="str">
        <f>chloroform!F67</f>
        <v>12C5</v>
      </c>
    </row>
    <row r="63" spans="11:20" x14ac:dyDescent="0.25">
      <c r="K63">
        <f>chloroform!E68</f>
        <v>272</v>
      </c>
      <c r="L63">
        <f>Table3[[#This Row],[weight]]*(0.9155*Table2[[#This Row],[J1,2]]-A$9)^2</f>
        <v>4.6364068868311078E-4</v>
      </c>
      <c r="M63">
        <f>Table3[[#This Row],[weight]]*(0.9155*Table2[[#This Row],[J2,3]]-B$9)^2</f>
        <v>4.0480896350023167E-3</v>
      </c>
      <c r="N63">
        <f>Table3[[#This Row],[weight]]*(0.9155*Table2[[#This Row],[J34]]-C$9)^2</f>
        <v>1.2828499258602062E-2</v>
      </c>
      <c r="O63">
        <f>Table3[[#This Row],[weight]]*(0.9155*Table2[[#This Row],[J45]]-D$9)^2</f>
        <v>1.9286748681761003E-3</v>
      </c>
      <c r="P63">
        <f>Table3[[#This Row],[weight]]*(0.9155*Table2[[#This Row],[J56]]-E$9)^2</f>
        <v>1.7621261404687067E-4</v>
      </c>
      <c r="Q63">
        <f>Table3[[#This Row],[weight]]*(0.9155*Table2[[#This Row],[J67]]-F$9)^2</f>
        <v>6.2731836863067274E-6</v>
      </c>
      <c r="R63">
        <f>Table3[[#This Row],[weight]]*(0.9155*Table2[[#This Row],[J67'']]-G$9)^2</f>
        <v>2.0914914215499581E-3</v>
      </c>
      <c r="S63">
        <f>chloroform!J68</f>
        <v>1.5479455021711209E-4</v>
      </c>
      <c r="T63" t="str">
        <f>chloroform!F68</f>
        <v>5C12</v>
      </c>
    </row>
    <row r="64" spans="11:20" x14ac:dyDescent="0.25">
      <c r="K64">
        <f>chloroform!E69</f>
        <v>276</v>
      </c>
      <c r="L64">
        <f>Table3[[#This Row],[weight]]*(0.9155*Table2[[#This Row],[J1,2]]-A$9)^2</f>
        <v>2.6284827117604541E-5</v>
      </c>
      <c r="M64">
        <f>Table3[[#This Row],[weight]]*(0.9155*Table2[[#This Row],[J2,3]]-B$9)^2</f>
        <v>1.5979529598817844E-5</v>
      </c>
      <c r="N64">
        <f>Table3[[#This Row],[weight]]*(0.9155*Table2[[#This Row],[J34]]-C$9)^2</f>
        <v>4.8800703076225368E-4</v>
      </c>
      <c r="O64">
        <f>Table3[[#This Row],[weight]]*(0.9155*Table2[[#This Row],[J45]]-D$9)^2</f>
        <v>9.2351360514098273E-4</v>
      </c>
      <c r="P64">
        <f>Table3[[#This Row],[weight]]*(0.9155*Table2[[#This Row],[J56]]-E$9)^2</f>
        <v>2.3043254498531325E-5</v>
      </c>
      <c r="Q64">
        <f>Table3[[#This Row],[weight]]*(0.9155*Table2[[#This Row],[J67]]-F$9)^2</f>
        <v>4.2019814798402138E-7</v>
      </c>
      <c r="R64">
        <f>Table3[[#This Row],[weight]]*(0.9155*Table2[[#This Row],[J67'']]-G$9)^2</f>
        <v>4.7276977244608941E-4</v>
      </c>
      <c r="S64">
        <f>chloroform!J69</f>
        <v>3.7837311696544603E-5</v>
      </c>
      <c r="T64" t="str">
        <f>chloroform!F69</f>
        <v>4H6</v>
      </c>
    </row>
    <row r="65" spans="11:20" x14ac:dyDescent="0.25">
      <c r="K65">
        <f>chloroform!E70</f>
        <v>278</v>
      </c>
      <c r="L65">
        <f>Table3[[#This Row],[weight]]*(0.9155*Table2[[#This Row],[J1,2]]-A$9)^2</f>
        <v>0</v>
      </c>
      <c r="M65">
        <f>Table3[[#This Row],[weight]]*(0.9155*Table2[[#This Row],[J2,3]]-B$9)^2</f>
        <v>0</v>
      </c>
      <c r="N65">
        <f>Table3[[#This Row],[weight]]*(0.9155*Table2[[#This Row],[J34]]-C$9)^2</f>
        <v>0</v>
      </c>
      <c r="O65">
        <f>Table3[[#This Row],[weight]]*(0.9155*Table2[[#This Row],[J45]]-D$9)^2</f>
        <v>0</v>
      </c>
      <c r="P65">
        <f>Table3[[#This Row],[weight]]*(0.9155*Table2[[#This Row],[J56]]-E$9)^2</f>
        <v>0</v>
      </c>
      <c r="Q65">
        <f>Table3[[#This Row],[weight]]*(0.9155*Table2[[#This Row],[J67]]-F$9)^2</f>
        <v>0</v>
      </c>
      <c r="R65">
        <f>Table3[[#This Row],[weight]]*(0.9155*Table2[[#This Row],[J67'']]-G$9)^2</f>
        <v>0</v>
      </c>
      <c r="S65">
        <f>chloroform!J70</f>
        <v>0</v>
      </c>
      <c r="T65" t="str">
        <f>chloroform!F70</f>
        <v>5C12</v>
      </c>
    </row>
    <row r="66" spans="11:20" x14ac:dyDescent="0.25">
      <c r="K66">
        <f>chloroform!E71</f>
        <v>283</v>
      </c>
      <c r="L66">
        <f>Table3[[#This Row],[weight]]*(0.9155*Table2[[#This Row],[J1,2]]-A$9)^2</f>
        <v>1.929236894547716E-4</v>
      </c>
      <c r="M66">
        <f>Table3[[#This Row],[weight]]*(0.9155*Table2[[#This Row],[J2,3]]-B$9)^2</f>
        <v>1.9955041800336503E-3</v>
      </c>
      <c r="N66">
        <f>Table3[[#This Row],[weight]]*(0.9155*Table2[[#This Row],[J34]]-C$9)^2</f>
        <v>4.4626526124546496E-3</v>
      </c>
      <c r="O66">
        <f>Table3[[#This Row],[weight]]*(0.9155*Table2[[#This Row],[J45]]-D$9)^2</f>
        <v>7.8533379373835687E-4</v>
      </c>
      <c r="P66">
        <f>Table3[[#This Row],[weight]]*(0.9155*Table2[[#This Row],[J56]]-E$9)^2</f>
        <v>4.0042165258633601E-5</v>
      </c>
      <c r="Q66">
        <f>Table3[[#This Row],[weight]]*(0.9155*Table2[[#This Row],[J67]]-F$9)^2</f>
        <v>4.7284254796147668E-3</v>
      </c>
      <c r="R66">
        <f>Table3[[#This Row],[weight]]*(0.9155*Table2[[#This Row],[J67'']]-G$9)^2</f>
        <v>6.5569271513952522E-4</v>
      </c>
      <c r="S66">
        <f>chloroform!J71</f>
        <v>7.0462567453029177E-5</v>
      </c>
      <c r="T66" t="str">
        <f>chloroform!F71</f>
        <v>5C12</v>
      </c>
    </row>
    <row r="67" spans="11:20" x14ac:dyDescent="0.25">
      <c r="K67">
        <f>chloroform!E72</f>
        <v>290</v>
      </c>
      <c r="L67">
        <f>Table3[[#This Row],[weight]]*(0.9155*Table2[[#This Row],[J1,2]]-A$9)^2</f>
        <v>0</v>
      </c>
      <c r="M67">
        <f>Table3[[#This Row],[weight]]*(0.9155*Table2[[#This Row],[J2,3]]-B$9)^2</f>
        <v>0</v>
      </c>
      <c r="N67">
        <f>Table3[[#This Row],[weight]]*(0.9155*Table2[[#This Row],[J34]]-C$9)^2</f>
        <v>0</v>
      </c>
      <c r="O67">
        <f>Table3[[#This Row],[weight]]*(0.9155*Table2[[#This Row],[J45]]-D$9)^2</f>
        <v>0</v>
      </c>
      <c r="P67">
        <f>Table3[[#This Row],[weight]]*(0.9155*Table2[[#This Row],[J56]]-E$9)^2</f>
        <v>0</v>
      </c>
      <c r="Q67">
        <f>Table3[[#This Row],[weight]]*(0.9155*Table2[[#This Row],[J67]]-F$9)^2</f>
        <v>0</v>
      </c>
      <c r="R67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>
        <f>chloroform!E73</f>
        <v>333</v>
      </c>
      <c r="L68" s="4">
        <f>Table3[[#This Row],[weight]]*(0.9155*Table2[[#This Row],[J1,2]]-A$9)^2</f>
        <v>0</v>
      </c>
      <c r="M68" s="4">
        <f>Table3[[#This Row],[weight]]*(0.9155*Table2[[#This Row],[J2,3]]-B$9)^2</f>
        <v>0</v>
      </c>
      <c r="N68" s="4">
        <f>Table3[[#This Row],[weight]]*(0.9155*Table2[[#This Row],[J34]]-C$9)^2</f>
        <v>0</v>
      </c>
      <c r="O68" s="4">
        <f>Table3[[#This Row],[weight]]*(0.9155*Table2[[#This Row],[J45]]-D$9)^2</f>
        <v>0</v>
      </c>
      <c r="P68" s="4">
        <f>Table3[[#This Row],[weight]]*(0.9155*Table2[[#This Row],[J56]]-E$9)^2</f>
        <v>0</v>
      </c>
      <c r="Q68" s="4">
        <f>Table3[[#This Row],[weight]]*(0.9155*Table2[[#This Row],[J67]]-F$9)^2</f>
        <v>0</v>
      </c>
      <c r="R68" s="4">
        <f>Table3[[#This Row],[weight]]*(0.9155*Table2[[#This Row],[J67'']]-G$9)^2</f>
        <v>0</v>
      </c>
      <c r="S68">
        <f>chloroform!J73</f>
        <v>0</v>
      </c>
      <c r="T68" t="str">
        <f>chloroform!F73</f>
        <v>56TH</v>
      </c>
    </row>
    <row r="69" spans="11:20" x14ac:dyDescent="0.25">
      <c r="K69">
        <f>chloroform!E74</f>
        <v>373</v>
      </c>
      <c r="L69" s="4">
        <f>Table3[[#This Row],[weight]]*(0.9155*Table2[[#This Row],[J1,2]]-A$9)^2</f>
        <v>2.7844854100125789E-5</v>
      </c>
      <c r="M69" s="4">
        <f>Table3[[#This Row],[weight]]*(0.9155*Table2[[#This Row],[J2,3]]-B$9)^2</f>
        <v>2.4373533602259355E-5</v>
      </c>
      <c r="N69" s="4">
        <f>Table3[[#This Row],[weight]]*(0.9155*Table2[[#This Row],[J34]]-C$9)^2</f>
        <v>4.0594924884940854E-4</v>
      </c>
      <c r="O69" s="4">
        <f>Table3[[#This Row],[weight]]*(0.9155*Table2[[#This Row],[J45]]-D$9)^2</f>
        <v>6.7456495383995732E-4</v>
      </c>
      <c r="P69" s="4">
        <f>Table3[[#This Row],[weight]]*(0.9155*Table2[[#This Row],[J56]]-E$9)^2</f>
        <v>3.6949191747887975E-5</v>
      </c>
      <c r="Q69" s="4">
        <f>Table3[[#This Row],[weight]]*(0.9155*Table2[[#This Row],[J67]]-F$9)^2</f>
        <v>2.3586593587378697E-5</v>
      </c>
      <c r="R69" s="4">
        <f>Table3[[#This Row],[weight]]*(0.9155*Table2[[#This Row],[J67'']]-G$9)^2</f>
        <v>7.9965298112795859E-4</v>
      </c>
      <c r="S69">
        <f>chloroform!J74</f>
        <v>3.1109147732553699E-5</v>
      </c>
      <c r="T69" t="str">
        <f>chloroform!F74</f>
        <v>4H6</v>
      </c>
    </row>
    <row r="70" spans="11:20" x14ac:dyDescent="0.25">
      <c r="K70">
        <f>chloroform!E75</f>
        <v>396</v>
      </c>
      <c r="L70" s="4">
        <f>Table3[[#This Row],[weight]]*(0.9155*Table2[[#This Row],[J1,2]]-A$9)^2</f>
        <v>0</v>
      </c>
      <c r="M70" s="4">
        <f>Table3[[#This Row],[weight]]*(0.9155*Table2[[#This Row],[J2,3]]-B$9)^2</f>
        <v>0</v>
      </c>
      <c r="N70" s="4">
        <f>Table3[[#This Row],[weight]]*(0.9155*Table2[[#This Row],[J34]]-C$9)^2</f>
        <v>0</v>
      </c>
      <c r="O70" s="4">
        <f>Table3[[#This Row],[weight]]*(0.9155*Table2[[#This Row],[J45]]-D$9)^2</f>
        <v>0</v>
      </c>
      <c r="P70" s="4">
        <f>Table3[[#This Row],[weight]]*(0.9155*Table2[[#This Row],[J56]]-E$9)^2</f>
        <v>0</v>
      </c>
      <c r="Q70" s="4">
        <f>Table3[[#This Row],[weight]]*(0.9155*Table2[[#This Row],[J67]]-F$9)^2</f>
        <v>0</v>
      </c>
      <c r="R70" s="4">
        <f>Table3[[#This Row],[weight]]*(0.9155*Table2[[#This Row],[J67'']]-G$9)^2</f>
        <v>0</v>
      </c>
      <c r="S70">
        <f>chloroform!J75</f>
        <v>0</v>
      </c>
      <c r="T70" t="str">
        <f>chloroform!F75</f>
        <v>4H6</v>
      </c>
    </row>
  </sheetData>
  <conditionalFormatting sqref="T1:T1048576">
    <cfRule type="cellIs" dxfId="0" priority="1" operator="equal">
      <formula>$E$1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73AAF-50B6-41FA-9681-242F5669750F}">
  <dimension ref="A5:N22"/>
  <sheetViews>
    <sheetView workbookViewId="0">
      <selection activeCell="G31" sqref="G31"/>
    </sheetView>
  </sheetViews>
  <sheetFormatPr defaultRowHeight="15" x14ac:dyDescent="0.25"/>
  <sheetData>
    <row r="5" spans="1:14" x14ac:dyDescent="0.25">
      <c r="H5">
        <v>8.8838102302465298</v>
      </c>
      <c r="I5">
        <v>3.0039517567231768</v>
      </c>
      <c r="J5">
        <v>10.380233435697541</v>
      </c>
      <c r="K5">
        <v>9.6877655363424058</v>
      </c>
    </row>
    <row r="7" spans="1:14" x14ac:dyDescent="0.25">
      <c r="B7" t="s">
        <v>122</v>
      </c>
      <c r="C7" t="s">
        <v>17</v>
      </c>
      <c r="D7" t="s">
        <v>19</v>
      </c>
    </row>
    <row r="8" spans="1:14" x14ac:dyDescent="0.25">
      <c r="A8" t="s">
        <v>94</v>
      </c>
      <c r="B8">
        <f>'45TH'!B5</f>
        <v>8.4920360716186583</v>
      </c>
      <c r="C8">
        <f>halfchair!B5</f>
        <v>7.8717704870149614</v>
      </c>
      <c r="D8">
        <f>chair!B5</f>
        <v>2.8064429682742595</v>
      </c>
      <c r="F8" t="s">
        <v>94</v>
      </c>
    </row>
    <row r="9" spans="1:14" x14ac:dyDescent="0.25">
      <c r="A9" t="s">
        <v>69</v>
      </c>
      <c r="B9">
        <f>'45TH'!C5</f>
        <v>2.0097189309453594</v>
      </c>
      <c r="C9">
        <f>halfchair!C5</f>
        <v>5.5137128634665258</v>
      </c>
      <c r="D9">
        <f>chair!$C5</f>
        <v>8.4996485312159198</v>
      </c>
      <c r="F9" t="s">
        <v>69</v>
      </c>
      <c r="M9" t="s">
        <v>17</v>
      </c>
      <c r="N9" s="7">
        <v>0.55130000000000001</v>
      </c>
    </row>
    <row r="10" spans="1:14" x14ac:dyDescent="0.25">
      <c r="A10" t="s">
        <v>70</v>
      </c>
      <c r="B10">
        <f>'45TH'!D5</f>
        <v>5.8577241694524682</v>
      </c>
      <c r="C10">
        <f>halfchair!D5</f>
        <v>0.52431245681596228</v>
      </c>
      <c r="D10">
        <f>chair!$D5</f>
        <v>10.439272356503199</v>
      </c>
      <c r="F10" t="s">
        <v>70</v>
      </c>
      <c r="M10" t="s">
        <v>19</v>
      </c>
      <c r="N10" s="8">
        <v>0.25869999999999999</v>
      </c>
    </row>
    <row r="11" spans="1:14" x14ac:dyDescent="0.25">
      <c r="A11" t="s">
        <v>71</v>
      </c>
      <c r="B11">
        <f>'45TH'!E5</f>
        <v>9.0639813630638706</v>
      </c>
      <c r="C11">
        <f>halfchair!E5</f>
        <v>10.928677743969509</v>
      </c>
      <c r="D11">
        <f>chair!$E5</f>
        <v>9.3781575762921783</v>
      </c>
      <c r="F11" t="s">
        <v>71</v>
      </c>
      <c r="M11" t="s">
        <v>122</v>
      </c>
      <c r="N11" s="7">
        <v>0.19</v>
      </c>
    </row>
    <row r="14" spans="1:14" x14ac:dyDescent="0.25">
      <c r="A14" t="s">
        <v>95</v>
      </c>
    </row>
    <row r="15" spans="1:14" x14ac:dyDescent="0.25">
      <c r="B15" t="s">
        <v>122</v>
      </c>
      <c r="C15" t="s">
        <v>17</v>
      </c>
      <c r="D15" t="s">
        <v>19</v>
      </c>
    </row>
    <row r="16" spans="1:14" x14ac:dyDescent="0.25">
      <c r="A16" t="s">
        <v>94</v>
      </c>
      <c r="B16">
        <f>'45TH'!B13</f>
        <v>0.22640628408715202</v>
      </c>
      <c r="C16">
        <f>halfchair!B13</f>
        <v>0.23796967742551497</v>
      </c>
      <c r="D16">
        <f>chair!B13</f>
        <v>0.21716613647264285</v>
      </c>
      <c r="G16">
        <f t="shared" ref="G16:I19" si="0">(B16/B8)^2</f>
        <v>7.108096140936033E-4</v>
      </c>
      <c r="H16">
        <f t="shared" si="0"/>
        <v>9.1389941131783236E-4</v>
      </c>
      <c r="I16">
        <f t="shared" si="0"/>
        <v>5.9878617963290796E-3</v>
      </c>
    </row>
    <row r="17" spans="1:9" x14ac:dyDescent="0.25">
      <c r="A17" t="s">
        <v>69</v>
      </c>
      <c r="B17">
        <f>'45TH'!C13</f>
        <v>0.22381446985090839</v>
      </c>
      <c r="C17">
        <f>halfchair!C13</f>
        <v>0.32771603039877761</v>
      </c>
      <c r="D17">
        <f>chair!$C13</f>
        <v>0.99833121348655318</v>
      </c>
      <c r="G17">
        <f t="shared" si="0"/>
        <v>1.2402398300766325E-2</v>
      </c>
      <c r="H17">
        <f t="shared" si="0"/>
        <v>3.5327026157569059E-3</v>
      </c>
      <c r="I17">
        <f t="shared" si="0"/>
        <v>1.3795815082205154E-2</v>
      </c>
    </row>
    <row r="18" spans="1:9" x14ac:dyDescent="0.25">
      <c r="A18" t="s">
        <v>70</v>
      </c>
      <c r="B18">
        <f>'45TH'!D13</f>
        <v>0.47754034854800126</v>
      </c>
      <c r="C18">
        <f>halfchair!D13</f>
        <v>0.20305999774546651</v>
      </c>
      <c r="D18">
        <f>chair!$D13</f>
        <v>0.51108049178471548</v>
      </c>
      <c r="G18">
        <f t="shared" si="0"/>
        <v>6.6460301769399087E-3</v>
      </c>
      <c r="H18">
        <f t="shared" si="0"/>
        <v>0.14999210569870433</v>
      </c>
      <c r="I18">
        <f t="shared" si="0"/>
        <v>2.39683507471491E-3</v>
      </c>
    </row>
    <row r="19" spans="1:9" x14ac:dyDescent="0.25">
      <c r="A19" t="s">
        <v>71</v>
      </c>
      <c r="B19">
        <f>'45TH'!E13</f>
        <v>0.38218851724412567</v>
      </c>
      <c r="C19">
        <f>halfchair!E13</f>
        <v>0.21522544145243755</v>
      </c>
      <c r="D19">
        <f>chair!$E13</f>
        <v>0.38977365701780575</v>
      </c>
      <c r="G19">
        <f t="shared" si="0"/>
        <v>1.7779406581170736E-3</v>
      </c>
      <c r="H19">
        <f t="shared" si="0"/>
        <v>3.8783944306671988E-4</v>
      </c>
      <c r="I19">
        <f t="shared" si="0"/>
        <v>1.7273880717033657E-3</v>
      </c>
    </row>
    <row r="22" spans="1:9" x14ac:dyDescent="0.25">
      <c r="H22">
        <f>SQRT(SUM(G16:I19))</f>
        <v>0.44751717949562025</v>
      </c>
    </row>
  </sheetData>
  <sortState xmlns:xlrd2="http://schemas.microsoft.com/office/spreadsheetml/2017/richdata2" ref="M9:N11">
    <sortCondition descending="1" ref="N9:N1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chloroform</vt:lpstr>
      <vt:lpstr>js-chloroform</vt:lpstr>
      <vt:lpstr>chair</vt:lpstr>
      <vt:lpstr>halfchair</vt:lpstr>
      <vt:lpstr>45TH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Caleb Griesbach</dc:creator>
  <cp:lastModifiedBy>Caleb Griesbach</cp:lastModifiedBy>
  <dcterms:created xsi:type="dcterms:W3CDTF">2020-06-17T13:36:29Z</dcterms:created>
  <dcterms:modified xsi:type="dcterms:W3CDTF">2021-09-23T12:36:44Z</dcterms:modified>
</cp:coreProperties>
</file>