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eb\Desktop\oxepine-xyzs\glcox\"/>
    </mc:Choice>
  </mc:AlternateContent>
  <xr:revisionPtr revIDLastSave="0" documentId="13_ncr:1_{68527175-CE79-4F5A-AF0A-515D831A1429}" xr6:coauthVersionLast="47" xr6:coauthVersionMax="47" xr10:uidLastSave="{00000000-0000-0000-0000-000000000000}"/>
  <bookViews>
    <workbookView xWindow="-120" yWindow="-120" windowWidth="29040" windowHeight="15840" activeTab="5" xr2:uid="{4259C506-C026-40AB-9C6F-B79AF468AC2E}"/>
  </bookViews>
  <sheets>
    <sheet name="chloroform" sheetId="1" r:id="rId1"/>
    <sheet name="js-chloroform" sheetId="2" r:id="rId2"/>
    <sheet name="chair" sheetId="3" r:id="rId3"/>
    <sheet name="halfchair" sheetId="4" r:id="rId4"/>
    <sheet name="45TH" sheetId="5" r:id="rId5"/>
    <sheet name="Sheet6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8" i="5" l="1"/>
  <c r="S68" i="5"/>
  <c r="T68" i="5"/>
  <c r="K69" i="5"/>
  <c r="S69" i="5"/>
  <c r="T69" i="5"/>
  <c r="K70" i="5"/>
  <c r="S70" i="5"/>
  <c r="T70" i="5"/>
  <c r="K63" i="5"/>
  <c r="S63" i="5"/>
  <c r="T63" i="5"/>
  <c r="K64" i="5"/>
  <c r="S64" i="5"/>
  <c r="T64" i="5"/>
  <c r="K65" i="5"/>
  <c r="S65" i="5"/>
  <c r="T65" i="5"/>
  <c r="K66" i="5"/>
  <c r="S66" i="5"/>
  <c r="T66" i="5"/>
  <c r="K67" i="5"/>
  <c r="S67" i="5"/>
  <c r="T67" i="5"/>
  <c r="K57" i="5"/>
  <c r="S57" i="5"/>
  <c r="T57" i="5"/>
  <c r="K58" i="5"/>
  <c r="S58" i="5"/>
  <c r="T58" i="5"/>
  <c r="K59" i="5"/>
  <c r="S59" i="5"/>
  <c r="T59" i="5"/>
  <c r="K60" i="5"/>
  <c r="S60" i="5"/>
  <c r="T60" i="5"/>
  <c r="K61" i="5"/>
  <c r="S61" i="5"/>
  <c r="T61" i="5"/>
  <c r="K62" i="5"/>
  <c r="S62" i="5"/>
  <c r="T62" i="5"/>
  <c r="K47" i="5"/>
  <c r="S47" i="5"/>
  <c r="T47" i="5"/>
  <c r="K48" i="5"/>
  <c r="S48" i="5"/>
  <c r="T48" i="5"/>
  <c r="K49" i="5"/>
  <c r="S49" i="5"/>
  <c r="T49" i="5"/>
  <c r="K50" i="5"/>
  <c r="S50" i="5"/>
  <c r="T50" i="5"/>
  <c r="K51" i="5"/>
  <c r="S51" i="5"/>
  <c r="T51" i="5"/>
  <c r="K52" i="5"/>
  <c r="S52" i="5"/>
  <c r="T52" i="5"/>
  <c r="K53" i="5"/>
  <c r="S53" i="5"/>
  <c r="T53" i="5"/>
  <c r="K54" i="5"/>
  <c r="S54" i="5"/>
  <c r="T54" i="5"/>
  <c r="K55" i="5"/>
  <c r="S55" i="5"/>
  <c r="T55" i="5"/>
  <c r="K56" i="5"/>
  <c r="S56" i="5"/>
  <c r="T56" i="5"/>
  <c r="S3" i="5"/>
  <c r="T3" i="5"/>
  <c r="S4" i="5"/>
  <c r="T4" i="5"/>
  <c r="S5" i="5"/>
  <c r="T5" i="5"/>
  <c r="S6" i="5"/>
  <c r="T6" i="5"/>
  <c r="S7" i="5"/>
  <c r="T7" i="5"/>
  <c r="S8" i="5"/>
  <c r="T8" i="5"/>
  <c r="S9" i="5"/>
  <c r="T9" i="5"/>
  <c r="S10" i="5"/>
  <c r="T10" i="5"/>
  <c r="S11" i="5"/>
  <c r="T11" i="5"/>
  <c r="S12" i="5"/>
  <c r="T12" i="5"/>
  <c r="S13" i="5"/>
  <c r="T13" i="5"/>
  <c r="S14" i="5"/>
  <c r="T14" i="5"/>
  <c r="S15" i="5"/>
  <c r="T15" i="5"/>
  <c r="S16" i="5"/>
  <c r="T16" i="5"/>
  <c r="S17" i="5"/>
  <c r="T17" i="5"/>
  <c r="S18" i="5"/>
  <c r="T18" i="5"/>
  <c r="S19" i="5"/>
  <c r="T19" i="5"/>
  <c r="S20" i="5"/>
  <c r="T20" i="5"/>
  <c r="S21" i="5"/>
  <c r="T21" i="5"/>
  <c r="S22" i="5"/>
  <c r="T22" i="5"/>
  <c r="S23" i="5"/>
  <c r="T23" i="5"/>
  <c r="S24" i="5"/>
  <c r="T24" i="5"/>
  <c r="S25" i="5"/>
  <c r="T25" i="5"/>
  <c r="S26" i="5"/>
  <c r="T26" i="5"/>
  <c r="S27" i="5"/>
  <c r="T27" i="5"/>
  <c r="S28" i="5"/>
  <c r="T28" i="5"/>
  <c r="S29" i="5"/>
  <c r="T29" i="5"/>
  <c r="S30" i="5"/>
  <c r="T30" i="5"/>
  <c r="S31" i="5"/>
  <c r="T31" i="5"/>
  <c r="S32" i="5"/>
  <c r="T32" i="5"/>
  <c r="S33" i="5"/>
  <c r="T33" i="5"/>
  <c r="S34" i="5"/>
  <c r="T34" i="5"/>
  <c r="S35" i="5"/>
  <c r="T35" i="5"/>
  <c r="S36" i="5"/>
  <c r="T36" i="5"/>
  <c r="S37" i="5"/>
  <c r="T37" i="5"/>
  <c r="S38" i="5"/>
  <c r="T38" i="5"/>
  <c r="S39" i="5"/>
  <c r="T39" i="5"/>
  <c r="S40" i="5"/>
  <c r="T40" i="5"/>
  <c r="S41" i="5"/>
  <c r="T41" i="5"/>
  <c r="S42" i="5"/>
  <c r="T42" i="5"/>
  <c r="S43" i="5"/>
  <c r="T43" i="5"/>
  <c r="S44" i="5"/>
  <c r="T44" i="5"/>
  <c r="S45" i="5"/>
  <c r="T45" i="5"/>
  <c r="S46" i="5"/>
  <c r="T46" i="5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T2" i="5"/>
  <c r="S2" i="5"/>
  <c r="K2" i="5"/>
  <c r="K51" i="4"/>
  <c r="S51" i="4"/>
  <c r="T51" i="4"/>
  <c r="K52" i="4"/>
  <c r="S52" i="4"/>
  <c r="T52" i="4"/>
  <c r="K53" i="4"/>
  <c r="S53" i="4"/>
  <c r="T53" i="4"/>
  <c r="K54" i="4"/>
  <c r="S54" i="4"/>
  <c r="T54" i="4"/>
  <c r="K55" i="4"/>
  <c r="S55" i="4"/>
  <c r="T55" i="4"/>
  <c r="K56" i="4"/>
  <c r="S56" i="4"/>
  <c r="T56" i="4"/>
  <c r="K57" i="4"/>
  <c r="S57" i="4"/>
  <c r="T57" i="4"/>
  <c r="K58" i="4"/>
  <c r="S58" i="4"/>
  <c r="T58" i="4"/>
  <c r="K59" i="4"/>
  <c r="S59" i="4"/>
  <c r="T59" i="4"/>
  <c r="K60" i="4"/>
  <c r="S60" i="4"/>
  <c r="T60" i="4"/>
  <c r="K61" i="4"/>
  <c r="S61" i="4"/>
  <c r="T61" i="4"/>
  <c r="K62" i="4"/>
  <c r="S62" i="4"/>
  <c r="T62" i="4"/>
  <c r="K63" i="4"/>
  <c r="S63" i="4"/>
  <c r="T63" i="4"/>
  <c r="K64" i="4"/>
  <c r="S64" i="4"/>
  <c r="T64" i="4"/>
  <c r="K65" i="4"/>
  <c r="S65" i="4"/>
  <c r="T65" i="4"/>
  <c r="K66" i="4"/>
  <c r="S66" i="4"/>
  <c r="T66" i="4"/>
  <c r="K67" i="4"/>
  <c r="S67" i="4"/>
  <c r="T67" i="4"/>
  <c r="K68" i="4"/>
  <c r="S68" i="4"/>
  <c r="T68" i="4"/>
  <c r="K69" i="4"/>
  <c r="S69" i="4"/>
  <c r="T69" i="4"/>
  <c r="K70" i="4"/>
  <c r="S70" i="4"/>
  <c r="T70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S3" i="4"/>
  <c r="T3" i="4"/>
  <c r="S4" i="4"/>
  <c r="T4" i="4"/>
  <c r="S5" i="4"/>
  <c r="T5" i="4"/>
  <c r="S6" i="4"/>
  <c r="T6" i="4"/>
  <c r="S7" i="4"/>
  <c r="T7" i="4"/>
  <c r="S8" i="4"/>
  <c r="T8" i="4"/>
  <c r="S9" i="4"/>
  <c r="T9" i="4"/>
  <c r="S10" i="4"/>
  <c r="T10" i="4"/>
  <c r="S11" i="4"/>
  <c r="T11" i="4"/>
  <c r="S12" i="4"/>
  <c r="T12" i="4"/>
  <c r="S13" i="4"/>
  <c r="T13" i="4"/>
  <c r="S14" i="4"/>
  <c r="T14" i="4"/>
  <c r="S15" i="4"/>
  <c r="T15" i="4"/>
  <c r="S16" i="4"/>
  <c r="T16" i="4"/>
  <c r="S17" i="4"/>
  <c r="T17" i="4"/>
  <c r="S18" i="4"/>
  <c r="T18" i="4"/>
  <c r="S19" i="4"/>
  <c r="T19" i="4"/>
  <c r="S20" i="4"/>
  <c r="T20" i="4"/>
  <c r="S21" i="4"/>
  <c r="T21" i="4"/>
  <c r="S22" i="4"/>
  <c r="T22" i="4"/>
  <c r="S23" i="4"/>
  <c r="T23" i="4"/>
  <c r="S24" i="4"/>
  <c r="T24" i="4"/>
  <c r="S25" i="4"/>
  <c r="T25" i="4"/>
  <c r="S26" i="4"/>
  <c r="T26" i="4"/>
  <c r="S27" i="4"/>
  <c r="T27" i="4"/>
  <c r="S28" i="4"/>
  <c r="T28" i="4"/>
  <c r="S29" i="4"/>
  <c r="T29" i="4"/>
  <c r="S30" i="4"/>
  <c r="T30" i="4"/>
  <c r="S31" i="4"/>
  <c r="T31" i="4"/>
  <c r="S32" i="4"/>
  <c r="T32" i="4"/>
  <c r="S33" i="4"/>
  <c r="T33" i="4"/>
  <c r="S34" i="4"/>
  <c r="T34" i="4"/>
  <c r="S35" i="4"/>
  <c r="T35" i="4"/>
  <c r="S36" i="4"/>
  <c r="T36" i="4"/>
  <c r="S37" i="4"/>
  <c r="T37" i="4"/>
  <c r="S38" i="4"/>
  <c r="T38" i="4"/>
  <c r="S39" i="4"/>
  <c r="T39" i="4"/>
  <c r="S40" i="4"/>
  <c r="T40" i="4"/>
  <c r="S41" i="4"/>
  <c r="T41" i="4"/>
  <c r="S42" i="4"/>
  <c r="T42" i="4"/>
  <c r="S43" i="4"/>
  <c r="T43" i="4"/>
  <c r="S44" i="4"/>
  <c r="T44" i="4"/>
  <c r="S45" i="4"/>
  <c r="T45" i="4"/>
  <c r="S46" i="4"/>
  <c r="T46" i="4"/>
  <c r="S47" i="4"/>
  <c r="T47" i="4"/>
  <c r="S48" i="4"/>
  <c r="T48" i="4"/>
  <c r="S49" i="4"/>
  <c r="T49" i="4"/>
  <c r="S50" i="4"/>
  <c r="T50" i="4"/>
  <c r="T2" i="4"/>
  <c r="S2" i="4"/>
  <c r="K2" i="4"/>
  <c r="N71" i="2"/>
  <c r="O71" i="2"/>
  <c r="P71" i="2"/>
  <c r="Q71" i="2"/>
  <c r="R71" i="2"/>
  <c r="S71" i="2"/>
  <c r="T71" i="2"/>
  <c r="M71" i="2"/>
  <c r="J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R68" i="2" s="1"/>
  <c r="J69" i="2"/>
  <c r="N69" i="2" s="1"/>
  <c r="J70" i="2"/>
  <c r="P70" i="2" s="1"/>
  <c r="Q68" i="2"/>
  <c r="K68" i="2"/>
  <c r="K69" i="2"/>
  <c r="K70" i="2"/>
  <c r="M70" i="2"/>
  <c r="N68" i="2"/>
  <c r="N70" i="2"/>
  <c r="O70" i="2"/>
  <c r="S68" i="2"/>
  <c r="S69" i="2"/>
  <c r="S70" i="2"/>
  <c r="T70" i="2"/>
  <c r="S61" i="3"/>
  <c r="S62" i="3"/>
  <c r="S63" i="3"/>
  <c r="S64" i="3"/>
  <c r="S65" i="3"/>
  <c r="S66" i="3"/>
  <c r="S67" i="3"/>
  <c r="S68" i="3"/>
  <c r="S69" i="3"/>
  <c r="S70" i="3"/>
  <c r="T61" i="3"/>
  <c r="T62" i="3"/>
  <c r="T63" i="3"/>
  <c r="T64" i="3"/>
  <c r="T65" i="3"/>
  <c r="T66" i="3"/>
  <c r="T67" i="3"/>
  <c r="T68" i="3"/>
  <c r="T69" i="3"/>
  <c r="T70" i="3"/>
  <c r="K61" i="3"/>
  <c r="K62" i="3"/>
  <c r="K63" i="3"/>
  <c r="K64" i="3"/>
  <c r="K65" i="3"/>
  <c r="K66" i="3"/>
  <c r="K67" i="3"/>
  <c r="K68" i="3"/>
  <c r="K69" i="3"/>
  <c r="K70" i="3"/>
  <c r="S58" i="3"/>
  <c r="S59" i="3"/>
  <c r="S60" i="3"/>
  <c r="T58" i="3"/>
  <c r="T59" i="3"/>
  <c r="T60" i="3"/>
  <c r="K58" i="3"/>
  <c r="K59" i="3"/>
  <c r="K60" i="3"/>
  <c r="S50" i="3"/>
  <c r="S51" i="3"/>
  <c r="S52" i="3"/>
  <c r="S53" i="3"/>
  <c r="S54" i="3"/>
  <c r="S55" i="3"/>
  <c r="S56" i="3"/>
  <c r="S57" i="3"/>
  <c r="T50" i="3"/>
  <c r="T51" i="3"/>
  <c r="T52" i="3"/>
  <c r="T53" i="3"/>
  <c r="T54" i="3"/>
  <c r="T55" i="3"/>
  <c r="T56" i="3"/>
  <c r="T57" i="3"/>
  <c r="K50" i="3"/>
  <c r="K51" i="3"/>
  <c r="K52" i="3"/>
  <c r="K53" i="3"/>
  <c r="K54" i="3"/>
  <c r="K55" i="3"/>
  <c r="K56" i="3"/>
  <c r="K57" i="3"/>
  <c r="S48" i="3"/>
  <c r="S49" i="3"/>
  <c r="T48" i="3"/>
  <c r="T49" i="3"/>
  <c r="K48" i="3"/>
  <c r="K49" i="3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2" i="3"/>
  <c r="S47" i="3"/>
  <c r="T47" i="3"/>
  <c r="S3" i="3"/>
  <c r="T3" i="3"/>
  <c r="S4" i="3"/>
  <c r="T4" i="3"/>
  <c r="S5" i="3"/>
  <c r="T5" i="3"/>
  <c r="S6" i="3"/>
  <c r="T6" i="3"/>
  <c r="S7" i="3"/>
  <c r="T7" i="3"/>
  <c r="S8" i="3"/>
  <c r="T8" i="3"/>
  <c r="S9" i="3"/>
  <c r="T9" i="3"/>
  <c r="S10" i="3"/>
  <c r="T10" i="3"/>
  <c r="S11" i="3"/>
  <c r="T11" i="3"/>
  <c r="S12" i="3"/>
  <c r="T12" i="3"/>
  <c r="S13" i="3"/>
  <c r="T13" i="3"/>
  <c r="S14" i="3"/>
  <c r="T14" i="3"/>
  <c r="S15" i="3"/>
  <c r="T15" i="3"/>
  <c r="S16" i="3"/>
  <c r="T16" i="3"/>
  <c r="S17" i="3"/>
  <c r="T17" i="3"/>
  <c r="S18" i="3"/>
  <c r="T18" i="3"/>
  <c r="S19" i="3"/>
  <c r="T19" i="3"/>
  <c r="G1" i="5" s="1"/>
  <c r="S20" i="3"/>
  <c r="T20" i="3"/>
  <c r="S21" i="3"/>
  <c r="T21" i="3"/>
  <c r="S22" i="3"/>
  <c r="T22" i="3"/>
  <c r="S23" i="3"/>
  <c r="T23" i="3"/>
  <c r="S24" i="3"/>
  <c r="T24" i="3"/>
  <c r="S25" i="3"/>
  <c r="T25" i="3"/>
  <c r="S26" i="3"/>
  <c r="T26" i="3"/>
  <c r="S27" i="3"/>
  <c r="T27" i="3"/>
  <c r="S28" i="3"/>
  <c r="T28" i="3"/>
  <c r="S29" i="3"/>
  <c r="T29" i="3"/>
  <c r="S30" i="3"/>
  <c r="T30" i="3"/>
  <c r="S31" i="3"/>
  <c r="T31" i="3"/>
  <c r="S32" i="3"/>
  <c r="T32" i="3"/>
  <c r="S33" i="3"/>
  <c r="T33" i="3"/>
  <c r="S34" i="3"/>
  <c r="T34" i="3"/>
  <c r="S35" i="3"/>
  <c r="T35" i="3"/>
  <c r="S36" i="3"/>
  <c r="T36" i="3"/>
  <c r="S37" i="3"/>
  <c r="T37" i="3"/>
  <c r="S38" i="3"/>
  <c r="T38" i="3"/>
  <c r="S39" i="3"/>
  <c r="T39" i="3"/>
  <c r="S40" i="3"/>
  <c r="T40" i="3"/>
  <c r="S41" i="3"/>
  <c r="T41" i="3"/>
  <c r="S42" i="3"/>
  <c r="T42" i="3"/>
  <c r="S43" i="3"/>
  <c r="T43" i="3"/>
  <c r="S44" i="3"/>
  <c r="T44" i="3"/>
  <c r="S45" i="3"/>
  <c r="T45" i="3"/>
  <c r="S46" i="3"/>
  <c r="T46" i="3"/>
  <c r="T2" i="3"/>
  <c r="S2" i="3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B8" i="1"/>
  <c r="B10" i="1"/>
  <c r="B16" i="1"/>
  <c r="B18" i="1"/>
  <c r="B24" i="1"/>
  <c r="B26" i="1"/>
  <c r="B32" i="1"/>
  <c r="B34" i="1"/>
  <c r="B40" i="1"/>
  <c r="B42" i="1"/>
  <c r="B48" i="1"/>
  <c r="B50" i="1"/>
  <c r="B56" i="1"/>
  <c r="B58" i="1"/>
  <c r="B64" i="1"/>
  <c r="B66" i="1"/>
  <c r="B72" i="1"/>
  <c r="B74" i="1"/>
  <c r="A7" i="1"/>
  <c r="B7" i="1" s="1"/>
  <c r="A8" i="1"/>
  <c r="A9" i="1"/>
  <c r="B9" i="1" s="1"/>
  <c r="A10" i="1"/>
  <c r="A11" i="1"/>
  <c r="B11" i="1" s="1"/>
  <c r="A12" i="1"/>
  <c r="B12" i="1" s="1"/>
  <c r="A13" i="1"/>
  <c r="B13" i="1" s="1"/>
  <c r="A14" i="1"/>
  <c r="B14" i="1" s="1"/>
  <c r="A15" i="1"/>
  <c r="B15" i="1" s="1"/>
  <c r="A16" i="1"/>
  <c r="A17" i="1"/>
  <c r="B17" i="1" s="1"/>
  <c r="A18" i="1"/>
  <c r="A19" i="1"/>
  <c r="B19" i="1" s="1"/>
  <c r="A20" i="1"/>
  <c r="B20" i="1" s="1"/>
  <c r="A21" i="1"/>
  <c r="B21" i="1" s="1"/>
  <c r="A22" i="1"/>
  <c r="B22" i="1" s="1"/>
  <c r="A23" i="1"/>
  <c r="B23" i="1" s="1"/>
  <c r="A24" i="1"/>
  <c r="A25" i="1"/>
  <c r="B25" i="1" s="1"/>
  <c r="A26" i="1"/>
  <c r="A27" i="1"/>
  <c r="B27" i="1" s="1"/>
  <c r="A28" i="1"/>
  <c r="B28" i="1" s="1"/>
  <c r="A29" i="1"/>
  <c r="B29" i="1" s="1"/>
  <c r="A30" i="1"/>
  <c r="B30" i="1" s="1"/>
  <c r="A31" i="1"/>
  <c r="B31" i="1" s="1"/>
  <c r="A32" i="1"/>
  <c r="A33" i="1"/>
  <c r="B33" i="1" s="1"/>
  <c r="A34" i="1"/>
  <c r="A35" i="1"/>
  <c r="B35" i="1" s="1"/>
  <c r="A36" i="1"/>
  <c r="B36" i="1" s="1"/>
  <c r="A37" i="1"/>
  <c r="B37" i="1" s="1"/>
  <c r="A38" i="1"/>
  <c r="B38" i="1" s="1"/>
  <c r="A39" i="1"/>
  <c r="B39" i="1" s="1"/>
  <c r="A40" i="1"/>
  <c r="A41" i="1"/>
  <c r="B41" i="1" s="1"/>
  <c r="A42" i="1"/>
  <c r="A43" i="1"/>
  <c r="B43" i="1" s="1"/>
  <c r="A44" i="1"/>
  <c r="B44" i="1" s="1"/>
  <c r="A45" i="1"/>
  <c r="B45" i="1" s="1"/>
  <c r="A46" i="1"/>
  <c r="B46" i="1" s="1"/>
  <c r="A47" i="1"/>
  <c r="B47" i="1" s="1"/>
  <c r="A48" i="1"/>
  <c r="A49" i="1"/>
  <c r="B49" i="1" s="1"/>
  <c r="A50" i="1"/>
  <c r="A51" i="1"/>
  <c r="B51" i="1" s="1"/>
  <c r="A52" i="1"/>
  <c r="B52" i="1" s="1"/>
  <c r="A53" i="1"/>
  <c r="B53" i="1" s="1"/>
  <c r="A54" i="1"/>
  <c r="B54" i="1" s="1"/>
  <c r="C54" i="1" s="1"/>
  <c r="H54" i="1" s="1"/>
  <c r="A55" i="1"/>
  <c r="B55" i="1" s="1"/>
  <c r="A56" i="1"/>
  <c r="A57" i="1"/>
  <c r="B57" i="1" s="1"/>
  <c r="A58" i="1"/>
  <c r="A59" i="1"/>
  <c r="B59" i="1" s="1"/>
  <c r="A60" i="1"/>
  <c r="B60" i="1" s="1"/>
  <c r="A61" i="1"/>
  <c r="B61" i="1" s="1"/>
  <c r="A62" i="1"/>
  <c r="B62" i="1" s="1"/>
  <c r="C62" i="1" s="1"/>
  <c r="H62" i="1" s="1"/>
  <c r="A63" i="1"/>
  <c r="B63" i="1" s="1"/>
  <c r="A64" i="1"/>
  <c r="A65" i="1"/>
  <c r="B65" i="1" s="1"/>
  <c r="A66" i="1"/>
  <c r="A67" i="1"/>
  <c r="B67" i="1" s="1"/>
  <c r="A68" i="1"/>
  <c r="B68" i="1" s="1"/>
  <c r="A69" i="1"/>
  <c r="B69" i="1" s="1"/>
  <c r="A70" i="1"/>
  <c r="B70" i="1" s="1"/>
  <c r="C70" i="1" s="1"/>
  <c r="H70" i="1" s="1"/>
  <c r="A71" i="1"/>
  <c r="B71" i="1" s="1"/>
  <c r="A72" i="1"/>
  <c r="A73" i="1"/>
  <c r="B73" i="1" s="1"/>
  <c r="A74" i="1"/>
  <c r="A75" i="1"/>
  <c r="B75" i="1" s="1"/>
  <c r="M12" i="1"/>
  <c r="M13" i="1"/>
  <c r="R70" i="2" l="1"/>
  <c r="Q70" i="2"/>
  <c r="P68" i="2"/>
  <c r="M69" i="2"/>
  <c r="P69" i="2"/>
  <c r="R69" i="2"/>
  <c r="M68" i="2"/>
  <c r="O69" i="2"/>
  <c r="T69" i="2"/>
  <c r="T68" i="2"/>
  <c r="Q69" i="2"/>
  <c r="O68" i="2"/>
  <c r="I62" i="1"/>
  <c r="C22" i="1"/>
  <c r="H22" i="1" s="1"/>
  <c r="C60" i="1"/>
  <c r="H60" i="1" s="1"/>
  <c r="C36" i="1"/>
  <c r="H36" i="1" s="1"/>
  <c r="C20" i="1"/>
  <c r="H20" i="1" s="1"/>
  <c r="C66" i="1"/>
  <c r="H66" i="1" s="1"/>
  <c r="C67" i="1"/>
  <c r="H67" i="1" s="1"/>
  <c r="C51" i="1"/>
  <c r="H51" i="1" s="1"/>
  <c r="C35" i="1"/>
  <c r="H35" i="1" s="1"/>
  <c r="C19" i="1"/>
  <c r="H19" i="1" s="1"/>
  <c r="C11" i="1"/>
  <c r="H11" i="1" s="1"/>
  <c r="C64" i="1"/>
  <c r="H64" i="1" s="1"/>
  <c r="C32" i="1"/>
  <c r="H32" i="1" s="1"/>
  <c r="C38" i="1"/>
  <c r="H38" i="1" s="1"/>
  <c r="C68" i="1"/>
  <c r="H68" i="1" s="1"/>
  <c r="C52" i="1"/>
  <c r="H52" i="1" s="1"/>
  <c r="C28" i="1"/>
  <c r="H28" i="1" s="1"/>
  <c r="C12" i="1"/>
  <c r="H12" i="1" s="1"/>
  <c r="C34" i="1"/>
  <c r="H34" i="1" s="1"/>
  <c r="C75" i="1"/>
  <c r="H75" i="1" s="1"/>
  <c r="C59" i="1"/>
  <c r="H59" i="1" s="1"/>
  <c r="C43" i="1"/>
  <c r="H43" i="1" s="1"/>
  <c r="C27" i="1"/>
  <c r="H27" i="1" s="1"/>
  <c r="C58" i="1"/>
  <c r="H58" i="1" s="1"/>
  <c r="C26" i="1"/>
  <c r="H26" i="1" s="1"/>
  <c r="I54" i="1"/>
  <c r="C30" i="1"/>
  <c r="H30" i="1" s="1"/>
  <c r="C44" i="1"/>
  <c r="H44" i="1" s="1"/>
  <c r="C73" i="1"/>
  <c r="H73" i="1" s="1"/>
  <c r="C65" i="1"/>
  <c r="H65" i="1" s="1"/>
  <c r="C57" i="1"/>
  <c r="H57" i="1" s="1"/>
  <c r="C49" i="1"/>
  <c r="H49" i="1" s="1"/>
  <c r="C41" i="1"/>
  <c r="H41" i="1" s="1"/>
  <c r="C33" i="1"/>
  <c r="H33" i="1" s="1"/>
  <c r="C25" i="1"/>
  <c r="H25" i="1" s="1"/>
  <c r="C17" i="1"/>
  <c r="H17" i="1" s="1"/>
  <c r="C9" i="1"/>
  <c r="H9" i="1" s="1"/>
  <c r="C56" i="1"/>
  <c r="H56" i="1" s="1"/>
  <c r="C24" i="1"/>
  <c r="H24" i="1" s="1"/>
  <c r="I70" i="1"/>
  <c r="J70" i="1"/>
  <c r="C50" i="1"/>
  <c r="H50" i="1" s="1"/>
  <c r="C18" i="1"/>
  <c r="H18" i="1" s="1"/>
  <c r="C71" i="1"/>
  <c r="H71" i="1" s="1"/>
  <c r="C63" i="1"/>
  <c r="H63" i="1" s="1"/>
  <c r="C55" i="1"/>
  <c r="H55" i="1" s="1"/>
  <c r="C47" i="1"/>
  <c r="H47" i="1" s="1"/>
  <c r="C39" i="1"/>
  <c r="H39" i="1" s="1"/>
  <c r="C31" i="1"/>
  <c r="H31" i="1" s="1"/>
  <c r="C23" i="1"/>
  <c r="H23" i="1" s="1"/>
  <c r="C15" i="1"/>
  <c r="H15" i="1" s="1"/>
  <c r="C7" i="1"/>
  <c r="H7" i="1" s="1"/>
  <c r="C48" i="1"/>
  <c r="H48" i="1" s="1"/>
  <c r="C16" i="1"/>
  <c r="H16" i="1" s="1"/>
  <c r="C46" i="1"/>
  <c r="H46" i="1" s="1"/>
  <c r="C14" i="1"/>
  <c r="H14" i="1" s="1"/>
  <c r="C74" i="1"/>
  <c r="H74" i="1" s="1"/>
  <c r="C42" i="1"/>
  <c r="H42" i="1" s="1"/>
  <c r="C10" i="1"/>
  <c r="H10" i="1" s="1"/>
  <c r="C69" i="1"/>
  <c r="H69" i="1" s="1"/>
  <c r="C61" i="1"/>
  <c r="H61" i="1" s="1"/>
  <c r="C53" i="1"/>
  <c r="H53" i="1" s="1"/>
  <c r="C45" i="1"/>
  <c r="H45" i="1" s="1"/>
  <c r="C37" i="1"/>
  <c r="H37" i="1" s="1"/>
  <c r="C29" i="1"/>
  <c r="H29" i="1" s="1"/>
  <c r="C21" i="1"/>
  <c r="H21" i="1" s="1"/>
  <c r="C13" i="1"/>
  <c r="H13" i="1" s="1"/>
  <c r="C72" i="1"/>
  <c r="H72" i="1" s="1"/>
  <c r="C40" i="1"/>
  <c r="H40" i="1" s="1"/>
  <c r="C8" i="1"/>
  <c r="H8" i="1" s="1"/>
  <c r="I21" i="1" l="1"/>
  <c r="I14" i="1"/>
  <c r="J14" i="1"/>
  <c r="I53" i="1"/>
  <c r="I56" i="1"/>
  <c r="I67" i="1"/>
  <c r="I40" i="1"/>
  <c r="I61" i="1"/>
  <c r="J61" i="1"/>
  <c r="I48" i="1"/>
  <c r="I63" i="1"/>
  <c r="I9" i="1"/>
  <c r="J73" i="1"/>
  <c r="I73" i="1"/>
  <c r="I43" i="1"/>
  <c r="I38" i="1"/>
  <c r="I66" i="1"/>
  <c r="J66" i="1"/>
  <c r="I23" i="1"/>
  <c r="I39" i="1"/>
  <c r="I16" i="1"/>
  <c r="I65" i="1"/>
  <c r="I68" i="1"/>
  <c r="J72" i="1"/>
  <c r="I72" i="1"/>
  <c r="I69" i="1"/>
  <c r="I7" i="1"/>
  <c r="I71" i="1"/>
  <c r="I17" i="1"/>
  <c r="I44" i="1"/>
  <c r="J44" i="1"/>
  <c r="I59" i="1"/>
  <c r="J32" i="1"/>
  <c r="I32" i="1"/>
  <c r="I20" i="1"/>
  <c r="J20" i="1"/>
  <c r="I37" i="1"/>
  <c r="I8" i="1"/>
  <c r="I55" i="1"/>
  <c r="I27" i="1"/>
  <c r="I13" i="1"/>
  <c r="I10" i="1"/>
  <c r="I15" i="1"/>
  <c r="I18" i="1"/>
  <c r="I25" i="1"/>
  <c r="I30" i="1"/>
  <c r="I75" i="1"/>
  <c r="J75" i="1"/>
  <c r="I64" i="1"/>
  <c r="I36" i="1"/>
  <c r="I50" i="1"/>
  <c r="I33" i="1"/>
  <c r="I34" i="1"/>
  <c r="I11" i="1"/>
  <c r="I60" i="1"/>
  <c r="I29" i="1"/>
  <c r="I74" i="1"/>
  <c r="I31" i="1"/>
  <c r="I41" i="1"/>
  <c r="J41" i="1"/>
  <c r="I12" i="1"/>
  <c r="I19" i="1"/>
  <c r="I22" i="1"/>
  <c r="J22" i="1"/>
  <c r="I42" i="1"/>
  <c r="J42" i="1"/>
  <c r="J49" i="1"/>
  <c r="I49" i="1"/>
  <c r="I26" i="1"/>
  <c r="I28" i="1"/>
  <c r="I35" i="1"/>
  <c r="I45" i="1"/>
  <c r="J45" i="1"/>
  <c r="I46" i="1"/>
  <c r="J46" i="1"/>
  <c r="I47" i="1"/>
  <c r="I24" i="1"/>
  <c r="I57" i="1"/>
  <c r="I58" i="1"/>
  <c r="I52" i="1"/>
  <c r="I51" i="1"/>
  <c r="G1" i="4" l="1"/>
  <c r="G1" i="3"/>
  <c r="M8" i="1" l="1"/>
  <c r="M9" i="1"/>
  <c r="M10" i="1"/>
  <c r="M11" i="1"/>
  <c r="M7" i="1"/>
  <c r="K2" i="2" l="1"/>
  <c r="AB15" i="2" l="1"/>
  <c r="AB14" i="2" l="1"/>
  <c r="AA8" i="2"/>
  <c r="AA9" i="2"/>
  <c r="AA10" i="2"/>
  <c r="AA11" i="2"/>
  <c r="AA12" i="2"/>
  <c r="AA13" i="2"/>
  <c r="AA7" i="2"/>
  <c r="AA15" i="2" l="1"/>
  <c r="AA14" i="2"/>
  <c r="P13" i="1" l="1"/>
  <c r="P11" i="1"/>
  <c r="P10" i="1" l="1"/>
  <c r="P7" i="1"/>
  <c r="P9" i="1"/>
  <c r="P8" i="1"/>
  <c r="P12" i="1"/>
  <c r="P65" i="2" l="1"/>
  <c r="O65" i="2"/>
  <c r="T65" i="2"/>
  <c r="S65" i="2"/>
  <c r="R65" i="2"/>
  <c r="M65" i="2"/>
  <c r="N65" i="2"/>
  <c r="Q65" i="2"/>
  <c r="N67" i="2"/>
  <c r="R67" i="2"/>
  <c r="P67" i="2"/>
  <c r="M67" i="2"/>
  <c r="O67" i="2"/>
  <c r="T67" i="2"/>
  <c r="Q67" i="2"/>
  <c r="S67" i="2"/>
  <c r="S61" i="2"/>
  <c r="Q61" i="2"/>
  <c r="O61" i="2"/>
  <c r="N61" i="2"/>
  <c r="T61" i="2"/>
  <c r="R61" i="2"/>
  <c r="P61" i="2"/>
  <c r="M61" i="2"/>
  <c r="Q27" i="2" l="1"/>
  <c r="M27" i="2"/>
  <c r="N27" i="2"/>
  <c r="R27" i="2"/>
  <c r="P27" i="2"/>
  <c r="S27" i="2"/>
  <c r="T27" i="2"/>
  <c r="O27" i="2"/>
  <c r="S37" i="2" l="1"/>
  <c r="M37" i="2"/>
  <c r="T37" i="2"/>
  <c r="N37" i="2"/>
  <c r="Q37" i="2"/>
  <c r="R37" i="2"/>
  <c r="P37" i="2"/>
  <c r="O37" i="2"/>
  <c r="N41" i="2" l="1"/>
  <c r="Q41" i="2"/>
  <c r="P41" i="2"/>
  <c r="S41" i="2"/>
  <c r="T41" i="2"/>
  <c r="O41" i="2"/>
  <c r="M41" i="2"/>
  <c r="R41" i="2"/>
  <c r="O36" i="2" l="1"/>
  <c r="T36" i="2"/>
  <c r="P36" i="2"/>
  <c r="N36" i="2"/>
  <c r="R36" i="2"/>
  <c r="Q36" i="2"/>
  <c r="S36" i="2"/>
  <c r="M36" i="2"/>
  <c r="P39" i="2"/>
  <c r="O39" i="2"/>
  <c r="M39" i="2"/>
  <c r="Q39" i="2"/>
  <c r="R39" i="2"/>
  <c r="N39" i="2"/>
  <c r="S39" i="2"/>
  <c r="T39" i="2"/>
  <c r="N44" i="2" l="1"/>
  <c r="M44" i="2"/>
  <c r="T44" i="2"/>
  <c r="P44" i="2"/>
  <c r="S44" i="2"/>
  <c r="O44" i="2"/>
  <c r="R44" i="2"/>
  <c r="Q44" i="2"/>
  <c r="P9" i="2"/>
  <c r="R9" i="2"/>
  <c r="T9" i="2"/>
  <c r="O9" i="2"/>
  <c r="S9" i="2"/>
  <c r="Q9" i="2"/>
  <c r="M9" i="2"/>
  <c r="N9" i="2"/>
  <c r="R17" i="2" l="1"/>
  <c r="S17" i="2"/>
  <c r="M17" i="2"/>
  <c r="T17" i="2"/>
  <c r="N17" i="2"/>
  <c r="Q17" i="2"/>
  <c r="O17" i="2"/>
  <c r="P17" i="2"/>
  <c r="Q40" i="2"/>
  <c r="O40" i="2"/>
  <c r="M40" i="2"/>
  <c r="S40" i="2"/>
  <c r="T40" i="2"/>
  <c r="N40" i="2"/>
  <c r="R40" i="2"/>
  <c r="P40" i="2"/>
  <c r="S56" i="2" l="1"/>
  <c r="T56" i="2"/>
  <c r="N56" i="2"/>
  <c r="O56" i="2"/>
  <c r="Q56" i="2"/>
  <c r="M56" i="2"/>
  <c r="P56" i="2"/>
  <c r="R56" i="2"/>
  <c r="F2" i="1" l="1"/>
  <c r="J62" i="1" l="1"/>
  <c r="J54" i="1"/>
  <c r="J13" i="1"/>
  <c r="J11" i="1"/>
  <c r="J27" i="1"/>
  <c r="J21" i="1"/>
  <c r="J67" i="1"/>
  <c r="J38" i="1"/>
  <c r="J69" i="1"/>
  <c r="J37" i="1"/>
  <c r="J36" i="1"/>
  <c r="J28" i="1"/>
  <c r="J52" i="1"/>
  <c r="J26" i="1"/>
  <c r="J30" i="1"/>
  <c r="J35" i="1"/>
  <c r="J51" i="1"/>
  <c r="J18" i="1"/>
  <c r="J58" i="1"/>
  <c r="J65" i="1"/>
  <c r="J59" i="1"/>
  <c r="J10" i="1"/>
  <c r="J50" i="1"/>
  <c r="J60" i="1"/>
  <c r="J19" i="1"/>
  <c r="J43" i="1"/>
  <c r="J53" i="1"/>
  <c r="J68" i="1"/>
  <c r="J29" i="1"/>
  <c r="J12" i="1"/>
  <c r="J34" i="1"/>
  <c r="J74" i="1"/>
  <c r="J55" i="1"/>
  <c r="J56" i="1"/>
  <c r="J15" i="1"/>
  <c r="J40" i="1"/>
  <c r="J47" i="1"/>
  <c r="J31" i="1"/>
  <c r="J71" i="1"/>
  <c r="J9" i="1"/>
  <c r="J57" i="1"/>
  <c r="J33" i="1"/>
  <c r="J48" i="1"/>
  <c r="J8" i="1"/>
  <c r="J7" i="1"/>
  <c r="J24" i="1"/>
  <c r="J39" i="1"/>
  <c r="J64" i="1"/>
  <c r="J63" i="1"/>
  <c r="J25" i="1"/>
  <c r="J17" i="1"/>
  <c r="J23" i="1"/>
  <c r="J16" i="1"/>
  <c r="N52" i="2"/>
  <c r="P52" i="2"/>
  <c r="Q52" i="2"/>
  <c r="S52" i="2"/>
  <c r="R52" i="2"/>
  <c r="T52" i="2"/>
  <c r="M52" i="2"/>
  <c r="O52" i="2"/>
  <c r="P59" i="2" l="1"/>
  <c r="N59" i="2"/>
  <c r="Q59" i="2"/>
  <c r="S59" i="2"/>
  <c r="O59" i="2"/>
  <c r="M59" i="2"/>
  <c r="R59" i="2"/>
  <c r="T59" i="2"/>
  <c r="O13" i="1"/>
  <c r="O11" i="1"/>
  <c r="S14" i="2"/>
  <c r="M14" i="2"/>
  <c r="R14" i="2"/>
  <c r="N14" i="2"/>
  <c r="T14" i="2"/>
  <c r="O14" i="2"/>
  <c r="P14" i="2"/>
  <c r="Q14" i="2"/>
  <c r="T4" i="2"/>
  <c r="N4" i="2"/>
  <c r="S4" i="2"/>
  <c r="Q4" i="2"/>
  <c r="M4" i="2"/>
  <c r="R4" i="2"/>
  <c r="P4" i="2"/>
  <c r="O4" i="2"/>
  <c r="S3" i="2"/>
  <c r="T3" i="2"/>
  <c r="N3" i="2"/>
  <c r="M3" i="2"/>
  <c r="R3" i="2"/>
  <c r="O3" i="2"/>
  <c r="P3" i="2"/>
  <c r="Q3" i="2"/>
  <c r="M55" i="2"/>
  <c r="T55" i="2"/>
  <c r="Q55" i="2"/>
  <c r="O55" i="2"/>
  <c r="S55" i="2"/>
  <c r="R55" i="2"/>
  <c r="P55" i="2"/>
  <c r="N55" i="2"/>
  <c r="T45" i="2"/>
  <c r="M45" i="2"/>
  <c r="O45" i="2"/>
  <c r="S45" i="2"/>
  <c r="R45" i="2"/>
  <c r="Q45" i="2"/>
  <c r="P45" i="2"/>
  <c r="N45" i="2"/>
  <c r="Q20" i="2"/>
  <c r="S20" i="2"/>
  <c r="M20" i="2"/>
  <c r="T20" i="2"/>
  <c r="N20" i="2"/>
  <c r="O20" i="2"/>
  <c r="R20" i="2"/>
  <c r="P20" i="2"/>
  <c r="Q43" i="2"/>
  <c r="P43" i="2"/>
  <c r="T43" i="2"/>
  <c r="R43" i="2"/>
  <c r="M43" i="2"/>
  <c r="S43" i="2"/>
  <c r="N43" i="2"/>
  <c r="O43" i="2"/>
  <c r="N24" i="2"/>
  <c r="Q24" i="2"/>
  <c r="M24" i="2"/>
  <c r="O24" i="2"/>
  <c r="S24" i="2"/>
  <c r="R24" i="2"/>
  <c r="T24" i="2"/>
  <c r="P24" i="2"/>
  <c r="R62" i="2"/>
  <c r="M62" i="2"/>
  <c r="P62" i="2"/>
  <c r="T62" i="2"/>
  <c r="O62" i="2"/>
  <c r="N62" i="2"/>
  <c r="Q62" i="2"/>
  <c r="S62" i="2"/>
  <c r="M50" i="2"/>
  <c r="S50" i="2"/>
  <c r="Q50" i="2"/>
  <c r="N50" i="2"/>
  <c r="O50" i="2"/>
  <c r="P50" i="2"/>
  <c r="R50" i="2"/>
  <c r="T50" i="2"/>
  <c r="N21" i="2"/>
  <c r="M21" i="2"/>
  <c r="O21" i="2"/>
  <c r="S21" i="2"/>
  <c r="P21" i="2"/>
  <c r="T21" i="2"/>
  <c r="Q21" i="2"/>
  <c r="R21" i="2"/>
  <c r="O10" i="1"/>
  <c r="R11" i="2"/>
  <c r="M11" i="2"/>
  <c r="Q11" i="2"/>
  <c r="O11" i="2"/>
  <c r="N11" i="2"/>
  <c r="S11" i="2"/>
  <c r="P11" i="2"/>
  <c r="T11" i="2"/>
  <c r="M33" i="2"/>
  <c r="Q33" i="2"/>
  <c r="S33" i="2"/>
  <c r="O33" i="2"/>
  <c r="T33" i="2"/>
  <c r="R33" i="2"/>
  <c r="N33" i="2"/>
  <c r="P33" i="2"/>
  <c r="O7" i="1"/>
  <c r="B1" i="4"/>
  <c r="B5" i="4" s="1"/>
  <c r="G2" i="1"/>
  <c r="R60" i="2"/>
  <c r="P60" i="2"/>
  <c r="T60" i="2"/>
  <c r="S60" i="2"/>
  <c r="N60" i="2"/>
  <c r="Q60" i="2"/>
  <c r="O60" i="2"/>
  <c r="M60" i="2"/>
  <c r="Q47" i="2"/>
  <c r="R47" i="2"/>
  <c r="M47" i="2"/>
  <c r="N47" i="2"/>
  <c r="S47" i="2"/>
  <c r="O47" i="2"/>
  <c r="P47" i="2"/>
  <c r="T47" i="2"/>
  <c r="S22" i="2"/>
  <c r="Q22" i="2"/>
  <c r="R22" i="2"/>
  <c r="O22" i="2"/>
  <c r="M22" i="2"/>
  <c r="N22" i="2"/>
  <c r="T22" i="2"/>
  <c r="P22" i="2"/>
  <c r="Q5" i="2"/>
  <c r="S5" i="2"/>
  <c r="P5" i="2"/>
  <c r="O5" i="2"/>
  <c r="T5" i="2"/>
  <c r="N5" i="2"/>
  <c r="R5" i="2"/>
  <c r="M5" i="2"/>
  <c r="B1" i="3"/>
  <c r="O9" i="1"/>
  <c r="S18" i="2"/>
  <c r="T18" i="2"/>
  <c r="N18" i="2"/>
  <c r="P18" i="2"/>
  <c r="Q18" i="2"/>
  <c r="R18" i="2"/>
  <c r="O18" i="2"/>
  <c r="M18" i="2"/>
  <c r="M51" i="2"/>
  <c r="O51" i="2"/>
  <c r="T51" i="2"/>
  <c r="N51" i="2"/>
  <c r="R51" i="2"/>
  <c r="P51" i="2"/>
  <c r="Q51" i="2"/>
  <c r="S51" i="2"/>
  <c r="M49" i="2"/>
  <c r="N49" i="2"/>
  <c r="T49" i="2"/>
  <c r="R49" i="2"/>
  <c r="P49" i="2"/>
  <c r="Q49" i="2"/>
  <c r="O49" i="2"/>
  <c r="S49" i="2"/>
  <c r="Q38" i="2"/>
  <c r="R38" i="2"/>
  <c r="S38" i="2"/>
  <c r="M38" i="2"/>
  <c r="N38" i="2"/>
  <c r="O38" i="2"/>
  <c r="P38" i="2"/>
  <c r="T38" i="2"/>
  <c r="O42" i="2"/>
  <c r="S42" i="2"/>
  <c r="T42" i="2"/>
  <c r="R42" i="2"/>
  <c r="P42" i="2"/>
  <c r="M42" i="2"/>
  <c r="N42" i="2"/>
  <c r="Q42" i="2"/>
  <c r="M46" i="2"/>
  <c r="N46" i="2"/>
  <c r="P46" i="2"/>
  <c r="R46" i="2"/>
  <c r="O46" i="2"/>
  <c r="T46" i="2"/>
  <c r="Q46" i="2"/>
  <c r="S46" i="2"/>
  <c r="S30" i="2"/>
  <c r="Q30" i="2"/>
  <c r="T30" i="2"/>
  <c r="R30" i="2"/>
  <c r="N30" i="2"/>
  <c r="O30" i="2"/>
  <c r="P30" i="2"/>
  <c r="M30" i="2"/>
  <c r="N64" i="2"/>
  <c r="M64" i="2"/>
  <c r="P64" i="2"/>
  <c r="R64" i="2"/>
  <c r="Q64" i="2"/>
  <c r="O64" i="2"/>
  <c r="S64" i="2"/>
  <c r="T64" i="2"/>
  <c r="P57" i="2"/>
  <c r="Q57" i="2"/>
  <c r="T57" i="2"/>
  <c r="M57" i="2"/>
  <c r="O57" i="2"/>
  <c r="N57" i="2"/>
  <c r="S57" i="2"/>
  <c r="R57" i="2"/>
  <c r="M29" i="2"/>
  <c r="Q29" i="2"/>
  <c r="R29" i="2"/>
  <c r="N29" i="2"/>
  <c r="O29" i="2"/>
  <c r="S29" i="2"/>
  <c r="P29" i="2"/>
  <c r="T29" i="2"/>
  <c r="N8" i="2"/>
  <c r="Q8" i="2"/>
  <c r="S8" i="2"/>
  <c r="O8" i="2"/>
  <c r="R8" i="2"/>
  <c r="T8" i="2"/>
  <c r="P8" i="2"/>
  <c r="M8" i="2"/>
  <c r="P31" i="2"/>
  <c r="N31" i="2"/>
  <c r="O31" i="2"/>
  <c r="S31" i="2"/>
  <c r="Q31" i="2"/>
  <c r="R31" i="2"/>
  <c r="M31" i="2"/>
  <c r="T31" i="2"/>
  <c r="O34" i="2"/>
  <c r="M34" i="2"/>
  <c r="S34" i="2"/>
  <c r="N34" i="2"/>
  <c r="R34" i="2"/>
  <c r="Q34" i="2"/>
  <c r="P34" i="2"/>
  <c r="T34" i="2"/>
  <c r="R26" i="2"/>
  <c r="O26" i="2"/>
  <c r="N26" i="2"/>
  <c r="S26" i="2"/>
  <c r="Q26" i="2"/>
  <c r="M26" i="2"/>
  <c r="T26" i="2"/>
  <c r="P26" i="2"/>
  <c r="T66" i="2"/>
  <c r="M66" i="2"/>
  <c r="O66" i="2"/>
  <c r="R66" i="2"/>
  <c r="P66" i="2"/>
  <c r="S66" i="2"/>
  <c r="N66" i="2"/>
  <c r="Q66" i="2"/>
  <c r="P54" i="2"/>
  <c r="N54" i="2"/>
  <c r="M54" i="2"/>
  <c r="Q54" i="2"/>
  <c r="R54" i="2"/>
  <c r="O54" i="2"/>
  <c r="S54" i="2"/>
  <c r="T54" i="2"/>
  <c r="M58" i="2"/>
  <c r="N58" i="2"/>
  <c r="P58" i="2"/>
  <c r="S58" i="2"/>
  <c r="T58" i="2"/>
  <c r="O58" i="2"/>
  <c r="Q58" i="2"/>
  <c r="R58" i="2"/>
  <c r="T48" i="2"/>
  <c r="O48" i="2"/>
  <c r="S48" i="2"/>
  <c r="P48" i="2"/>
  <c r="M48" i="2"/>
  <c r="R48" i="2"/>
  <c r="N48" i="2"/>
  <c r="Q48" i="2"/>
  <c r="S12" i="2"/>
  <c r="M12" i="2"/>
  <c r="T12" i="2"/>
  <c r="O12" i="2"/>
  <c r="P12" i="2"/>
  <c r="N12" i="2"/>
  <c r="R12" i="2"/>
  <c r="Q12" i="2"/>
  <c r="R23" i="2"/>
  <c r="M23" i="2"/>
  <c r="T23" i="2"/>
  <c r="P23" i="2"/>
  <c r="S23" i="2"/>
  <c r="O23" i="2"/>
  <c r="Q23" i="2"/>
  <c r="N23" i="2"/>
  <c r="O8" i="1"/>
  <c r="O19" i="2"/>
  <c r="Q19" i="2"/>
  <c r="S19" i="2"/>
  <c r="M19" i="2"/>
  <c r="R19" i="2"/>
  <c r="P19" i="2"/>
  <c r="T19" i="2"/>
  <c r="N19" i="2"/>
  <c r="T63" i="2"/>
  <c r="P63" i="2"/>
  <c r="M63" i="2"/>
  <c r="R63" i="2"/>
  <c r="N63" i="2"/>
  <c r="Q63" i="2"/>
  <c r="S63" i="2"/>
  <c r="O63" i="2"/>
  <c r="P53" i="2"/>
  <c r="T53" i="2"/>
  <c r="M53" i="2"/>
  <c r="S53" i="2"/>
  <c r="Q53" i="2"/>
  <c r="O53" i="2"/>
  <c r="R53" i="2"/>
  <c r="N53" i="2"/>
  <c r="O12" i="1"/>
  <c r="B1" i="5"/>
  <c r="O25" i="2"/>
  <c r="T25" i="2"/>
  <c r="N25" i="2"/>
  <c r="M25" i="2"/>
  <c r="Q25" i="2"/>
  <c r="S25" i="2"/>
  <c r="R25" i="2"/>
  <c r="P25" i="2"/>
  <c r="R10" i="2"/>
  <c r="M10" i="2"/>
  <c r="T10" i="2"/>
  <c r="O10" i="2"/>
  <c r="P10" i="2"/>
  <c r="S10" i="2"/>
  <c r="Q10" i="2"/>
  <c r="N10" i="2"/>
  <c r="N16" i="2"/>
  <c r="S16" i="2"/>
  <c r="T16" i="2"/>
  <c r="R16" i="2"/>
  <c r="P16" i="2"/>
  <c r="Q16" i="2"/>
  <c r="O16" i="2"/>
  <c r="M16" i="2"/>
  <c r="Q7" i="2"/>
  <c r="R7" i="2"/>
  <c r="T7" i="2"/>
  <c r="O7" i="2"/>
  <c r="S7" i="2"/>
  <c r="P7" i="2"/>
  <c r="N7" i="2"/>
  <c r="M7" i="2"/>
  <c r="S2" i="2" l="1"/>
  <c r="O2" i="2"/>
  <c r="R2" i="2"/>
  <c r="T2" i="2"/>
  <c r="P2" i="2"/>
  <c r="M2" i="2"/>
  <c r="N2" i="2"/>
  <c r="Q2" i="2"/>
  <c r="P13" i="2"/>
  <c r="D5" i="5" s="1"/>
  <c r="N13" i="2"/>
  <c r="B5" i="5" s="1"/>
  <c r="M13" i="2"/>
  <c r="A5" i="5" s="1"/>
  <c r="A9" i="5" s="1"/>
  <c r="S13" i="2"/>
  <c r="G5" i="5" s="1"/>
  <c r="G9" i="5" s="1"/>
  <c r="R13" i="2"/>
  <c r="F5" i="5" s="1"/>
  <c r="F9" i="5" s="1"/>
  <c r="Q13" i="2"/>
  <c r="E5" i="5" s="1"/>
  <c r="T13" i="2"/>
  <c r="O13" i="2"/>
  <c r="C5" i="5" s="1"/>
  <c r="R6" i="2"/>
  <c r="P6" i="2"/>
  <c r="O6" i="2"/>
  <c r="T6" i="2"/>
  <c r="S6" i="2"/>
  <c r="Q6" i="2"/>
  <c r="M6" i="2"/>
  <c r="N6" i="2"/>
  <c r="S32" i="2"/>
  <c r="Q32" i="2"/>
  <c r="E5" i="3" s="1"/>
  <c r="M32" i="2"/>
  <c r="A5" i="3" s="1"/>
  <c r="A9" i="3" s="1"/>
  <c r="T32" i="2"/>
  <c r="O32" i="2"/>
  <c r="C5" i="3" s="1"/>
  <c r="P32" i="2"/>
  <c r="D5" i="3" s="1"/>
  <c r="N32" i="2"/>
  <c r="B5" i="3" s="1"/>
  <c r="R32" i="2"/>
  <c r="F5" i="3" s="1"/>
  <c r="F9" i="3" s="1"/>
  <c r="O17" i="1"/>
  <c r="O14" i="1"/>
  <c r="R35" i="2"/>
  <c r="O35" i="2"/>
  <c r="M35" i="2"/>
  <c r="S35" i="2"/>
  <c r="N35" i="2"/>
  <c r="Q35" i="2"/>
  <c r="P35" i="2"/>
  <c r="T35" i="2"/>
  <c r="R28" i="2"/>
  <c r="M28" i="2"/>
  <c r="P28" i="2"/>
  <c r="Q28" i="2"/>
  <c r="T28" i="2"/>
  <c r="O28" i="2"/>
  <c r="N28" i="2"/>
  <c r="S28" i="2"/>
  <c r="T15" i="2"/>
  <c r="S15" i="2"/>
  <c r="O15" i="2"/>
  <c r="M15" i="2"/>
  <c r="R15" i="2"/>
  <c r="N15" i="2"/>
  <c r="Q15" i="2"/>
  <c r="P15" i="2"/>
  <c r="Q69" i="5" l="1"/>
  <c r="Q65" i="5"/>
  <c r="Q58" i="5"/>
  <c r="Q62" i="5"/>
  <c r="Q50" i="5"/>
  <c r="Q54" i="5"/>
  <c r="Q70" i="5"/>
  <c r="Q66" i="5"/>
  <c r="Q59" i="5"/>
  <c r="Q47" i="5"/>
  <c r="Q51" i="5"/>
  <c r="Q55" i="5"/>
  <c r="Q63" i="5"/>
  <c r="Q67" i="5"/>
  <c r="Q60" i="5"/>
  <c r="Q48" i="5"/>
  <c r="Q52" i="5"/>
  <c r="Q56" i="5"/>
  <c r="Q68" i="5"/>
  <c r="Q64" i="5"/>
  <c r="Q57" i="5"/>
  <c r="Q61" i="5"/>
  <c r="Q49" i="5"/>
  <c r="Q53" i="5"/>
  <c r="R69" i="5"/>
  <c r="R65" i="5"/>
  <c r="R58" i="5"/>
  <c r="R62" i="5"/>
  <c r="R50" i="5"/>
  <c r="R54" i="5"/>
  <c r="R70" i="5"/>
  <c r="R66" i="5"/>
  <c r="R59" i="5"/>
  <c r="R47" i="5"/>
  <c r="R51" i="5"/>
  <c r="R55" i="5"/>
  <c r="R63" i="5"/>
  <c r="R67" i="5"/>
  <c r="R60" i="5"/>
  <c r="R48" i="5"/>
  <c r="R52" i="5"/>
  <c r="R56" i="5"/>
  <c r="R68" i="5"/>
  <c r="R64" i="5"/>
  <c r="R57" i="5"/>
  <c r="R61" i="5"/>
  <c r="R49" i="5"/>
  <c r="R53" i="5"/>
  <c r="L68" i="5"/>
  <c r="L64" i="5"/>
  <c r="L57" i="5"/>
  <c r="L61" i="5"/>
  <c r="L49" i="5"/>
  <c r="L53" i="5"/>
  <c r="L69" i="5"/>
  <c r="L65" i="5"/>
  <c r="L58" i="5"/>
  <c r="L62" i="5"/>
  <c r="L50" i="5"/>
  <c r="L54" i="5"/>
  <c r="L70" i="5"/>
  <c r="L66" i="5"/>
  <c r="L59" i="5"/>
  <c r="L47" i="5"/>
  <c r="L51" i="5"/>
  <c r="L55" i="5"/>
  <c r="L63" i="5"/>
  <c r="L67" i="5"/>
  <c r="L60" i="5"/>
  <c r="L48" i="5"/>
  <c r="L52" i="5"/>
  <c r="L56" i="5"/>
  <c r="Q68" i="3"/>
  <c r="Q63" i="3"/>
  <c r="Q61" i="3"/>
  <c r="Q69" i="3"/>
  <c r="Q67" i="3"/>
  <c r="Q62" i="3"/>
  <c r="Q70" i="3"/>
  <c r="Q64" i="3"/>
  <c r="Q65" i="3"/>
  <c r="Q66" i="3"/>
  <c r="L62" i="3"/>
  <c r="L70" i="3"/>
  <c r="L63" i="3"/>
  <c r="L64" i="3"/>
  <c r="L65" i="3"/>
  <c r="L66" i="3"/>
  <c r="L61" i="3"/>
  <c r="L67" i="3"/>
  <c r="L68" i="3"/>
  <c r="L69" i="3"/>
  <c r="Q60" i="3"/>
  <c r="Q58" i="3"/>
  <c r="Q59" i="3"/>
  <c r="L59" i="3"/>
  <c r="L60" i="3"/>
  <c r="L58" i="3"/>
  <c r="Q50" i="3"/>
  <c r="Q56" i="3"/>
  <c r="Q51" i="3"/>
  <c r="Q52" i="3"/>
  <c r="Q53" i="3"/>
  <c r="Q54" i="3"/>
  <c r="Q55" i="3"/>
  <c r="Q57" i="3"/>
  <c r="L50" i="3"/>
  <c r="L51" i="3"/>
  <c r="L52" i="3"/>
  <c r="L53" i="3"/>
  <c r="L54" i="3"/>
  <c r="L55" i="3"/>
  <c r="L56" i="3"/>
  <c r="L57" i="3"/>
  <c r="Q47" i="3"/>
  <c r="Q48" i="3"/>
  <c r="Q49" i="3"/>
  <c r="L47" i="3"/>
  <c r="L48" i="3"/>
  <c r="L49" i="3"/>
  <c r="G5" i="3"/>
  <c r="G9" i="3" s="1"/>
  <c r="L41" i="3"/>
  <c r="L9" i="3"/>
  <c r="L5" i="3"/>
  <c r="L44" i="3"/>
  <c r="L35" i="3"/>
  <c r="L25" i="3"/>
  <c r="L33" i="3"/>
  <c r="L15" i="3"/>
  <c r="L20" i="3"/>
  <c r="L14" i="3"/>
  <c r="L3" i="3"/>
  <c r="L42" i="3"/>
  <c r="L46" i="3"/>
  <c r="L38" i="3"/>
  <c r="L30" i="3"/>
  <c r="L27" i="3"/>
  <c r="L13" i="3"/>
  <c r="L22" i="3"/>
  <c r="L28" i="3"/>
  <c r="L45" i="3"/>
  <c r="L31" i="3"/>
  <c r="L10" i="3"/>
  <c r="L2" i="3"/>
  <c r="L32" i="3"/>
  <c r="L34" i="3"/>
  <c r="L19" i="3"/>
  <c r="L40" i="3"/>
  <c r="L39" i="3"/>
  <c r="L37" i="3"/>
  <c r="L11" i="3"/>
  <c r="L29" i="3"/>
  <c r="L36" i="3"/>
  <c r="L16" i="3"/>
  <c r="L26" i="3"/>
  <c r="L17" i="3"/>
  <c r="L6" i="3"/>
  <c r="L7" i="3"/>
  <c r="L18" i="3"/>
  <c r="L23" i="3"/>
  <c r="L8" i="3"/>
  <c r="L21" i="3"/>
  <c r="L4" i="3"/>
  <c r="L24" i="3"/>
  <c r="L43" i="3"/>
  <c r="L12" i="3"/>
  <c r="Q46" i="5"/>
  <c r="Q38" i="5"/>
  <c r="Q26" i="5"/>
  <c r="Q39" i="5"/>
  <c r="Q11" i="5"/>
  <c r="Q25" i="5"/>
  <c r="Q13" i="5"/>
  <c r="Q36" i="5"/>
  <c r="Q31" i="5"/>
  <c r="Q4" i="5"/>
  <c r="Q16" i="5"/>
  <c r="Q45" i="5"/>
  <c r="Q12" i="5"/>
  <c r="Q19" i="5"/>
  <c r="Q23" i="5"/>
  <c r="Q14" i="5"/>
  <c r="Q2" i="5"/>
  <c r="Q8" i="5"/>
  <c r="Q3" i="5"/>
  <c r="Q24" i="5"/>
  <c r="Q22" i="5"/>
  <c r="Q20" i="5"/>
  <c r="Q21" i="5"/>
  <c r="Q42" i="5"/>
  <c r="Q34" i="5"/>
  <c r="Q7" i="5"/>
  <c r="Q40" i="5"/>
  <c r="Q27" i="5"/>
  <c r="Q17" i="5"/>
  <c r="Q28" i="5"/>
  <c r="Q44" i="5"/>
  <c r="Q32" i="5"/>
  <c r="Q18" i="5"/>
  <c r="Q37" i="5"/>
  <c r="Q35" i="5"/>
  <c r="Q29" i="5"/>
  <c r="Q41" i="5"/>
  <c r="Q10" i="5"/>
  <c r="Q5" i="5"/>
  <c r="Q30" i="5"/>
  <c r="Q15" i="5"/>
  <c r="Q43" i="5"/>
  <c r="Q6" i="5"/>
  <c r="Q9" i="5"/>
  <c r="Q33" i="5"/>
  <c r="D11" i="6"/>
  <c r="E9" i="3"/>
  <c r="R22" i="5"/>
  <c r="R20" i="5"/>
  <c r="R3" i="5"/>
  <c r="R27" i="5"/>
  <c r="R16" i="5"/>
  <c r="R38" i="5"/>
  <c r="R33" i="5"/>
  <c r="R30" i="5"/>
  <c r="R4" i="5"/>
  <c r="R31" i="5"/>
  <c r="R19" i="5"/>
  <c r="R6" i="5"/>
  <c r="R32" i="5"/>
  <c r="R35" i="5"/>
  <c r="R42" i="5"/>
  <c r="R5" i="5"/>
  <c r="R44" i="5"/>
  <c r="R2" i="5"/>
  <c r="R43" i="5"/>
  <c r="R17" i="5"/>
  <c r="R36" i="5"/>
  <c r="R8" i="5"/>
  <c r="R21" i="5"/>
  <c r="R41" i="5"/>
  <c r="R46" i="5"/>
  <c r="R15" i="5"/>
  <c r="R26" i="5"/>
  <c r="R7" i="5"/>
  <c r="R39" i="5"/>
  <c r="R23" i="5"/>
  <c r="R11" i="5"/>
  <c r="R9" i="5"/>
  <c r="R28" i="5"/>
  <c r="R18" i="5"/>
  <c r="R37" i="5"/>
  <c r="R40" i="5"/>
  <c r="R13" i="5"/>
  <c r="R10" i="5"/>
  <c r="R34" i="5"/>
  <c r="R25" i="5"/>
  <c r="R24" i="5"/>
  <c r="R12" i="5"/>
  <c r="R29" i="5"/>
  <c r="R14" i="5"/>
  <c r="R45" i="5"/>
  <c r="A5" i="4"/>
  <c r="A9" i="4" s="1"/>
  <c r="L18" i="5"/>
  <c r="L25" i="5"/>
  <c r="L4" i="5"/>
  <c r="L45" i="5"/>
  <c r="L43" i="5"/>
  <c r="L36" i="5"/>
  <c r="L24" i="5"/>
  <c r="L6" i="5"/>
  <c r="L19" i="5"/>
  <c r="L22" i="5"/>
  <c r="L27" i="5"/>
  <c r="L17" i="5"/>
  <c r="L35" i="5"/>
  <c r="L13" i="5"/>
  <c r="L5" i="5"/>
  <c r="L11" i="5"/>
  <c r="L46" i="5"/>
  <c r="L29" i="5"/>
  <c r="L21" i="5"/>
  <c r="L42" i="5"/>
  <c r="L44" i="5"/>
  <c r="L2" i="5"/>
  <c r="L31" i="5"/>
  <c r="L23" i="5"/>
  <c r="L32" i="5"/>
  <c r="L33" i="5"/>
  <c r="L40" i="5"/>
  <c r="L8" i="5"/>
  <c r="L16" i="5"/>
  <c r="L3" i="5"/>
  <c r="L12" i="5"/>
  <c r="L41" i="5"/>
  <c r="L39" i="5"/>
  <c r="L30" i="5"/>
  <c r="L7" i="5"/>
  <c r="L14" i="5"/>
  <c r="L34" i="5"/>
  <c r="L20" i="5"/>
  <c r="L15" i="5"/>
  <c r="L37" i="5"/>
  <c r="L28" i="5"/>
  <c r="L10" i="5"/>
  <c r="L38" i="5"/>
  <c r="L26" i="5"/>
  <c r="L9" i="5"/>
  <c r="D5" i="4"/>
  <c r="Q33" i="3"/>
  <c r="Q7" i="3"/>
  <c r="Q46" i="3"/>
  <c r="Q31" i="3"/>
  <c r="Q19" i="3"/>
  <c r="Q12" i="3"/>
  <c r="Q22" i="3"/>
  <c r="Q3" i="3"/>
  <c r="Q23" i="3"/>
  <c r="Q35" i="3"/>
  <c r="Q37" i="3"/>
  <c r="Q28" i="3"/>
  <c r="Q34" i="3"/>
  <c r="Q32" i="3"/>
  <c r="Q42" i="3"/>
  <c r="Q44" i="3"/>
  <c r="Q45" i="3"/>
  <c r="Q27" i="3"/>
  <c r="Q14" i="3"/>
  <c r="Q30" i="3"/>
  <c r="Q21" i="3"/>
  <c r="Q36" i="3"/>
  <c r="Q25" i="3"/>
  <c r="Q5" i="3"/>
  <c r="Q15" i="3"/>
  <c r="Q8" i="3"/>
  <c r="Q9" i="3"/>
  <c r="Q17" i="3"/>
  <c r="Q38" i="3"/>
  <c r="Q4" i="3"/>
  <c r="Q10" i="3"/>
  <c r="Q26" i="3"/>
  <c r="Q20" i="3"/>
  <c r="Q41" i="3"/>
  <c r="Q40" i="3"/>
  <c r="Q2" i="3"/>
  <c r="Q6" i="3"/>
  <c r="Q39" i="3"/>
  <c r="Q13" i="3"/>
  <c r="Q24" i="3"/>
  <c r="Q43" i="3"/>
  <c r="Q16" i="3"/>
  <c r="Q11" i="3"/>
  <c r="Q18" i="3"/>
  <c r="Q29" i="3"/>
  <c r="B8" i="6"/>
  <c r="B9" i="5"/>
  <c r="B9" i="3"/>
  <c r="D8" i="6"/>
  <c r="B10" i="6"/>
  <c r="D9" i="5"/>
  <c r="F5" i="4"/>
  <c r="F9" i="4" s="1"/>
  <c r="D9" i="3"/>
  <c r="D10" i="6"/>
  <c r="C9" i="5"/>
  <c r="B9" i="6"/>
  <c r="C5" i="4"/>
  <c r="C9" i="3"/>
  <c r="D9" i="6"/>
  <c r="E9" i="5"/>
  <c r="B11" i="6"/>
  <c r="E5" i="4"/>
  <c r="N63" i="5" l="1"/>
  <c r="N67" i="5"/>
  <c r="N60" i="5"/>
  <c r="N48" i="5"/>
  <c r="N52" i="5"/>
  <c r="N56" i="5"/>
  <c r="N68" i="5"/>
  <c r="N64" i="5"/>
  <c r="N57" i="5"/>
  <c r="N61" i="5"/>
  <c r="N49" i="5"/>
  <c r="N53" i="5"/>
  <c r="N69" i="5"/>
  <c r="N65" i="5"/>
  <c r="N58" i="5"/>
  <c r="N62" i="5"/>
  <c r="N50" i="5"/>
  <c r="N54" i="5"/>
  <c r="N70" i="5"/>
  <c r="N66" i="5"/>
  <c r="N59" i="5"/>
  <c r="N47" i="5"/>
  <c r="N51" i="5"/>
  <c r="N55" i="5"/>
  <c r="M63" i="5"/>
  <c r="M67" i="5"/>
  <c r="M60" i="5"/>
  <c r="M48" i="5"/>
  <c r="M52" i="5"/>
  <c r="M56" i="5"/>
  <c r="M68" i="5"/>
  <c r="M64" i="5"/>
  <c r="M57" i="5"/>
  <c r="M61" i="5"/>
  <c r="M49" i="5"/>
  <c r="M53" i="5"/>
  <c r="M69" i="5"/>
  <c r="M65" i="5"/>
  <c r="M58" i="5"/>
  <c r="M62" i="5"/>
  <c r="M50" i="5"/>
  <c r="M54" i="5"/>
  <c r="M70" i="5"/>
  <c r="M66" i="5"/>
  <c r="M59" i="5"/>
  <c r="M47" i="5"/>
  <c r="M51" i="5"/>
  <c r="M55" i="5"/>
  <c r="Q53" i="4"/>
  <c r="Q61" i="4"/>
  <c r="Q69" i="4"/>
  <c r="Q54" i="4"/>
  <c r="Q62" i="4"/>
  <c r="Q70" i="4"/>
  <c r="Q55" i="4"/>
  <c r="Q63" i="4"/>
  <c r="Q56" i="4"/>
  <c r="Q64" i="4"/>
  <c r="Q57" i="4"/>
  <c r="Q65" i="4"/>
  <c r="Q60" i="4"/>
  <c r="Q68" i="4"/>
  <c r="Q58" i="4"/>
  <c r="Q66" i="4"/>
  <c r="Q51" i="4"/>
  <c r="Q59" i="4"/>
  <c r="Q67" i="4"/>
  <c r="Q52" i="4"/>
  <c r="O70" i="5"/>
  <c r="O66" i="5"/>
  <c r="O59" i="5"/>
  <c r="O47" i="5"/>
  <c r="O51" i="5"/>
  <c r="O55" i="5"/>
  <c r="O63" i="5"/>
  <c r="O67" i="5"/>
  <c r="O60" i="5"/>
  <c r="O48" i="5"/>
  <c r="O52" i="5"/>
  <c r="O56" i="5"/>
  <c r="O65" i="5"/>
  <c r="O68" i="5"/>
  <c r="O64" i="5"/>
  <c r="O57" i="5"/>
  <c r="O61" i="5"/>
  <c r="O49" i="5"/>
  <c r="O53" i="5"/>
  <c r="O69" i="5"/>
  <c r="O58" i="5"/>
  <c r="O62" i="5"/>
  <c r="O50" i="5"/>
  <c r="O54" i="5"/>
  <c r="L57" i="4"/>
  <c r="L65" i="4"/>
  <c r="L58" i="4"/>
  <c r="L66" i="4"/>
  <c r="L51" i="4"/>
  <c r="L59" i="4"/>
  <c r="L67" i="4"/>
  <c r="L52" i="4"/>
  <c r="L60" i="4"/>
  <c r="L68" i="4"/>
  <c r="L63" i="4"/>
  <c r="L53" i="4"/>
  <c r="L61" i="4"/>
  <c r="L69" i="4"/>
  <c r="L56" i="4"/>
  <c r="L54" i="4"/>
  <c r="L62" i="4"/>
  <c r="L70" i="4"/>
  <c r="L55" i="4"/>
  <c r="L64" i="4"/>
  <c r="P70" i="5"/>
  <c r="P66" i="5"/>
  <c r="P59" i="5"/>
  <c r="P47" i="5"/>
  <c r="P51" i="5"/>
  <c r="P55" i="5"/>
  <c r="P63" i="5"/>
  <c r="P67" i="5"/>
  <c r="P60" i="5"/>
  <c r="P48" i="5"/>
  <c r="P52" i="5"/>
  <c r="P56" i="5"/>
  <c r="P68" i="5"/>
  <c r="P64" i="5"/>
  <c r="P57" i="5"/>
  <c r="P61" i="5"/>
  <c r="P49" i="5"/>
  <c r="P53" i="5"/>
  <c r="P69" i="5"/>
  <c r="P65" i="5"/>
  <c r="P58" i="5"/>
  <c r="P62" i="5"/>
  <c r="P50" i="5"/>
  <c r="P54" i="5"/>
  <c r="P62" i="3"/>
  <c r="P70" i="3"/>
  <c r="P69" i="3"/>
  <c r="P63" i="3"/>
  <c r="P65" i="3"/>
  <c r="P64" i="3"/>
  <c r="P61" i="3"/>
  <c r="P66" i="3"/>
  <c r="P68" i="3"/>
  <c r="P67" i="3"/>
  <c r="M68" i="3"/>
  <c r="M67" i="3"/>
  <c r="M61" i="3"/>
  <c r="M69" i="3"/>
  <c r="M63" i="3"/>
  <c r="M62" i="3"/>
  <c r="M70" i="3"/>
  <c r="M64" i="3"/>
  <c r="M66" i="3"/>
  <c r="M65" i="3"/>
  <c r="N65" i="3"/>
  <c r="N66" i="3"/>
  <c r="N61" i="3"/>
  <c r="N67" i="3"/>
  <c r="N69" i="3"/>
  <c r="N68" i="3"/>
  <c r="N62" i="3"/>
  <c r="N70" i="3"/>
  <c r="N63" i="3"/>
  <c r="N64" i="3"/>
  <c r="O64" i="3"/>
  <c r="O67" i="3"/>
  <c r="O65" i="3"/>
  <c r="O63" i="3"/>
  <c r="O66" i="3"/>
  <c r="O68" i="3"/>
  <c r="O62" i="3"/>
  <c r="O61" i="3"/>
  <c r="O69" i="3"/>
  <c r="O70" i="3"/>
  <c r="F13" i="3"/>
  <c r="A13" i="3"/>
  <c r="R31" i="3"/>
  <c r="R66" i="3"/>
  <c r="R69" i="3"/>
  <c r="R67" i="3"/>
  <c r="R61" i="3"/>
  <c r="R68" i="3"/>
  <c r="R62" i="3"/>
  <c r="R70" i="3"/>
  <c r="R64" i="3"/>
  <c r="R65" i="3"/>
  <c r="R63" i="3"/>
  <c r="N60" i="3"/>
  <c r="N58" i="3"/>
  <c r="N59" i="3"/>
  <c r="R29" i="3"/>
  <c r="R59" i="3"/>
  <c r="R58" i="3"/>
  <c r="R60" i="3"/>
  <c r="M58" i="3"/>
  <c r="M59" i="3"/>
  <c r="M60" i="3"/>
  <c r="P58" i="3"/>
  <c r="P59" i="3"/>
  <c r="P60" i="3"/>
  <c r="O58" i="3"/>
  <c r="O60" i="3"/>
  <c r="O59" i="3"/>
  <c r="R26" i="3"/>
  <c r="R9" i="3"/>
  <c r="R7" i="3"/>
  <c r="R13" i="3"/>
  <c r="R44" i="3"/>
  <c r="R6" i="3"/>
  <c r="N50" i="3"/>
  <c r="N51" i="3"/>
  <c r="N52" i="3"/>
  <c r="N53" i="3"/>
  <c r="N56" i="3"/>
  <c r="N54" i="3"/>
  <c r="N55" i="3"/>
  <c r="N57" i="3"/>
  <c r="R50" i="3"/>
  <c r="R51" i="3"/>
  <c r="R52" i="3"/>
  <c r="R53" i="3"/>
  <c r="R54" i="3"/>
  <c r="R55" i="3"/>
  <c r="R57" i="3"/>
  <c r="R56" i="3"/>
  <c r="P50" i="3"/>
  <c r="P51" i="3"/>
  <c r="P52" i="3"/>
  <c r="P56" i="3"/>
  <c r="P53" i="3"/>
  <c r="P54" i="3"/>
  <c r="P55" i="3"/>
  <c r="P57" i="3"/>
  <c r="M50" i="3"/>
  <c r="M51" i="3"/>
  <c r="M52" i="3"/>
  <c r="M53" i="3"/>
  <c r="M54" i="3"/>
  <c r="M56" i="3"/>
  <c r="M55" i="3"/>
  <c r="M57" i="3"/>
  <c r="O50" i="3"/>
  <c r="O51" i="3"/>
  <c r="O56" i="3"/>
  <c r="O52" i="3"/>
  <c r="O53" i="3"/>
  <c r="O54" i="3"/>
  <c r="O55" i="3"/>
  <c r="O57" i="3"/>
  <c r="R17" i="3"/>
  <c r="R48" i="3"/>
  <c r="R49" i="3"/>
  <c r="N47" i="3"/>
  <c r="N48" i="3"/>
  <c r="N49" i="3"/>
  <c r="P47" i="3"/>
  <c r="P49" i="3"/>
  <c r="P48" i="3"/>
  <c r="O47" i="3"/>
  <c r="O48" i="3"/>
  <c r="O49" i="3"/>
  <c r="M47" i="3"/>
  <c r="M48" i="3"/>
  <c r="M49" i="3"/>
  <c r="R45" i="3"/>
  <c r="R46" i="3"/>
  <c r="R35" i="3"/>
  <c r="R41" i="3"/>
  <c r="R15" i="3"/>
  <c r="R2" i="3"/>
  <c r="R43" i="3"/>
  <c r="R36" i="3"/>
  <c r="R10" i="3"/>
  <c r="R25" i="3"/>
  <c r="R11" i="3"/>
  <c r="R28" i="3"/>
  <c r="R47" i="3"/>
  <c r="R27" i="3"/>
  <c r="R18" i="3"/>
  <c r="R21" i="3"/>
  <c r="R23" i="3"/>
  <c r="R42" i="3"/>
  <c r="R34" i="3"/>
  <c r="R22" i="3"/>
  <c r="R16" i="3"/>
  <c r="R4" i="3"/>
  <c r="R3" i="3"/>
  <c r="R33" i="3"/>
  <c r="R14" i="3"/>
  <c r="R24" i="3"/>
  <c r="R12" i="3"/>
  <c r="R30" i="3"/>
  <c r="R20" i="3"/>
  <c r="R8" i="3"/>
  <c r="R5" i="3"/>
  <c r="R40" i="3"/>
  <c r="R37" i="3"/>
  <c r="R38" i="3"/>
  <c r="R32" i="3"/>
  <c r="R39" i="3"/>
  <c r="R19" i="3"/>
  <c r="B9" i="4"/>
  <c r="C8" i="6"/>
  <c r="O41" i="3"/>
  <c r="O30" i="3"/>
  <c r="O14" i="3"/>
  <c r="O21" i="3"/>
  <c r="O18" i="3"/>
  <c r="O26" i="3"/>
  <c r="O32" i="3"/>
  <c r="O13" i="3"/>
  <c r="O11" i="3"/>
  <c r="O3" i="3"/>
  <c r="O45" i="3"/>
  <c r="O20" i="3"/>
  <c r="O4" i="3"/>
  <c r="O22" i="3"/>
  <c r="O42" i="3"/>
  <c r="O2" i="3"/>
  <c r="O24" i="3"/>
  <c r="O19" i="3"/>
  <c r="O40" i="3"/>
  <c r="O23" i="3"/>
  <c r="O12" i="3"/>
  <c r="O37" i="3"/>
  <c r="O10" i="3"/>
  <c r="O33" i="3"/>
  <c r="O7" i="3"/>
  <c r="O43" i="3"/>
  <c r="O27" i="3"/>
  <c r="O31" i="3"/>
  <c r="O5" i="3"/>
  <c r="O35" i="3"/>
  <c r="O25" i="3"/>
  <c r="O36" i="3"/>
  <c r="O6" i="3"/>
  <c r="O15" i="3"/>
  <c r="O34" i="3"/>
  <c r="O44" i="3"/>
  <c r="O28" i="3"/>
  <c r="O17" i="3"/>
  <c r="O29" i="3"/>
  <c r="O39" i="3"/>
  <c r="O46" i="3"/>
  <c r="O16" i="3"/>
  <c r="O8" i="3"/>
  <c r="O9" i="3"/>
  <c r="O38" i="3"/>
  <c r="L7" i="4"/>
  <c r="L10" i="4"/>
  <c r="L34" i="4"/>
  <c r="L19" i="4"/>
  <c r="L13" i="4"/>
  <c r="L31" i="4"/>
  <c r="L39" i="4"/>
  <c r="L38" i="4"/>
  <c r="L36" i="4"/>
  <c r="L29" i="4"/>
  <c r="L45" i="4"/>
  <c r="L4" i="4"/>
  <c r="L43" i="4"/>
  <c r="L35" i="4"/>
  <c r="L15" i="4"/>
  <c r="L30" i="4"/>
  <c r="L18" i="4"/>
  <c r="L6" i="4"/>
  <c r="L11" i="4"/>
  <c r="L47" i="4"/>
  <c r="L32" i="4"/>
  <c r="L14" i="4"/>
  <c r="L42" i="4"/>
  <c r="L17" i="4"/>
  <c r="L48" i="4"/>
  <c r="L22" i="4"/>
  <c r="L2" i="4"/>
  <c r="L49" i="4"/>
  <c r="L44" i="4"/>
  <c r="L46" i="4"/>
  <c r="L24" i="4"/>
  <c r="L40" i="4"/>
  <c r="L16" i="4"/>
  <c r="L33" i="4"/>
  <c r="L3" i="4"/>
  <c r="L28" i="4"/>
  <c r="L50" i="4"/>
  <c r="L12" i="4"/>
  <c r="L9" i="4"/>
  <c r="L21" i="4"/>
  <c r="L25" i="4"/>
  <c r="L41" i="4"/>
  <c r="L27" i="4"/>
  <c r="L23" i="4"/>
  <c r="L8" i="4"/>
  <c r="L20" i="4"/>
  <c r="L5" i="4"/>
  <c r="L26" i="4"/>
  <c r="L37" i="4"/>
  <c r="F13" i="5"/>
  <c r="M26" i="5"/>
  <c r="M19" i="5"/>
  <c r="M7" i="5"/>
  <c r="M45" i="5"/>
  <c r="M42" i="5"/>
  <c r="M16" i="5"/>
  <c r="M39" i="5"/>
  <c r="M14" i="5"/>
  <c r="M29" i="5"/>
  <c r="M28" i="5"/>
  <c r="M43" i="5"/>
  <c r="M12" i="5"/>
  <c r="M27" i="5"/>
  <c r="M23" i="5"/>
  <c r="M21" i="5"/>
  <c r="M18" i="5"/>
  <c r="M41" i="5"/>
  <c r="M6" i="5"/>
  <c r="M2" i="5"/>
  <c r="M10" i="5"/>
  <c r="M22" i="5"/>
  <c r="M9" i="5"/>
  <c r="M17" i="5"/>
  <c r="M3" i="5"/>
  <c r="M33" i="5"/>
  <c r="M40" i="5"/>
  <c r="M13" i="5"/>
  <c r="M32" i="5"/>
  <c r="M38" i="5"/>
  <c r="M15" i="5"/>
  <c r="M20" i="5"/>
  <c r="M5" i="5"/>
  <c r="M34" i="5"/>
  <c r="M30" i="5"/>
  <c r="M36" i="5"/>
  <c r="M11" i="5"/>
  <c r="M4" i="5"/>
  <c r="M31" i="5"/>
  <c r="M35" i="5"/>
  <c r="M8" i="5"/>
  <c r="M25" i="5"/>
  <c r="M44" i="5"/>
  <c r="M46" i="5"/>
  <c r="M24" i="5"/>
  <c r="M37" i="5"/>
  <c r="A13" i="5"/>
  <c r="S73" i="2"/>
  <c r="G5" i="4" s="1"/>
  <c r="G9" i="4" s="1"/>
  <c r="S74" i="2"/>
  <c r="G13" i="5"/>
  <c r="E9" i="4"/>
  <c r="C11" i="6"/>
  <c r="O34" i="5"/>
  <c r="O33" i="5"/>
  <c r="O46" i="5"/>
  <c r="O45" i="5"/>
  <c r="O24" i="5"/>
  <c r="O13" i="5"/>
  <c r="O23" i="5"/>
  <c r="O7" i="5"/>
  <c r="O8" i="5"/>
  <c r="O38" i="5"/>
  <c r="O15" i="5"/>
  <c r="O30" i="5"/>
  <c r="O17" i="5"/>
  <c r="O36" i="5"/>
  <c r="O10" i="5"/>
  <c r="O35" i="5"/>
  <c r="O5" i="5"/>
  <c r="O21" i="5"/>
  <c r="O20" i="5"/>
  <c r="O6" i="5"/>
  <c r="O12" i="5"/>
  <c r="O37" i="5"/>
  <c r="O11" i="5"/>
  <c r="O2" i="5"/>
  <c r="O43" i="5"/>
  <c r="O39" i="5"/>
  <c r="O22" i="5"/>
  <c r="O41" i="5"/>
  <c r="O28" i="5"/>
  <c r="O42" i="5"/>
  <c r="O3" i="5"/>
  <c r="O16" i="5"/>
  <c r="O44" i="5"/>
  <c r="O27" i="5"/>
  <c r="O19" i="5"/>
  <c r="O25" i="5"/>
  <c r="O31" i="5"/>
  <c r="O32" i="5"/>
  <c r="O40" i="5"/>
  <c r="O14" i="5"/>
  <c r="O26" i="5"/>
  <c r="O18" i="5"/>
  <c r="O4" i="5"/>
  <c r="O9" i="5"/>
  <c r="O29" i="5"/>
  <c r="N25" i="3"/>
  <c r="N27" i="3"/>
  <c r="N35" i="3"/>
  <c r="N12" i="3"/>
  <c r="N19" i="3"/>
  <c r="N45" i="3"/>
  <c r="N36" i="3"/>
  <c r="N38" i="3"/>
  <c r="N33" i="3"/>
  <c r="N7" i="3"/>
  <c r="N22" i="3"/>
  <c r="N23" i="3"/>
  <c r="N40" i="3"/>
  <c r="N4" i="3"/>
  <c r="N21" i="3"/>
  <c r="N31" i="3"/>
  <c r="N43" i="3"/>
  <c r="N41" i="3"/>
  <c r="N34" i="3"/>
  <c r="N46" i="3"/>
  <c r="N9" i="3"/>
  <c r="N24" i="3"/>
  <c r="N8" i="3"/>
  <c r="N13" i="3"/>
  <c r="N14" i="3"/>
  <c r="N28" i="3"/>
  <c r="N2" i="3"/>
  <c r="N20" i="3"/>
  <c r="N18" i="3"/>
  <c r="N29" i="3"/>
  <c r="N42" i="3"/>
  <c r="N15" i="3"/>
  <c r="N3" i="3"/>
  <c r="N5" i="3"/>
  <c r="N26" i="3"/>
  <c r="N10" i="3"/>
  <c r="N39" i="3"/>
  <c r="N11" i="3"/>
  <c r="N30" i="3"/>
  <c r="N16" i="3"/>
  <c r="N17" i="3"/>
  <c r="N32" i="3"/>
  <c r="N37" i="3"/>
  <c r="N44" i="3"/>
  <c r="N6" i="3"/>
  <c r="C10" i="6"/>
  <c r="D9" i="4"/>
  <c r="P20" i="3"/>
  <c r="P44" i="3"/>
  <c r="P12" i="3"/>
  <c r="P32" i="3"/>
  <c r="P23" i="3"/>
  <c r="P34" i="3"/>
  <c r="P22" i="3"/>
  <c r="P26" i="3"/>
  <c r="P36" i="3"/>
  <c r="P33" i="3"/>
  <c r="P3" i="3"/>
  <c r="P13" i="3"/>
  <c r="P39" i="3"/>
  <c r="P15" i="3"/>
  <c r="P14" i="3"/>
  <c r="P35" i="3"/>
  <c r="P9" i="3"/>
  <c r="P43" i="3"/>
  <c r="P7" i="3"/>
  <c r="P16" i="3"/>
  <c r="P25" i="3"/>
  <c r="P40" i="3"/>
  <c r="P29" i="3"/>
  <c r="P31" i="3"/>
  <c r="P38" i="3"/>
  <c r="P41" i="3"/>
  <c r="P46" i="3"/>
  <c r="P37" i="3"/>
  <c r="P2" i="3"/>
  <c r="P8" i="3"/>
  <c r="P17" i="3"/>
  <c r="P5" i="3"/>
  <c r="P42" i="3"/>
  <c r="P28" i="3"/>
  <c r="P30" i="3"/>
  <c r="P45" i="3"/>
  <c r="P19" i="3"/>
  <c r="P6" i="3"/>
  <c r="P11" i="3"/>
  <c r="P10" i="3"/>
  <c r="P4" i="3"/>
  <c r="P24" i="3"/>
  <c r="P18" i="3"/>
  <c r="P27" i="3"/>
  <c r="P21" i="3"/>
  <c r="C9" i="4"/>
  <c r="C9" i="6"/>
  <c r="Q10" i="4"/>
  <c r="Q23" i="4"/>
  <c r="Q6" i="4"/>
  <c r="Q21" i="4"/>
  <c r="Q15" i="4"/>
  <c r="Q13" i="4"/>
  <c r="Q44" i="4"/>
  <c r="Q4" i="4"/>
  <c r="Q29" i="4"/>
  <c r="Q37" i="4"/>
  <c r="Q32" i="4"/>
  <c r="Q14" i="4"/>
  <c r="Q39" i="4"/>
  <c r="Q16" i="4"/>
  <c r="Q24" i="4"/>
  <c r="Q3" i="4"/>
  <c r="Q26" i="4"/>
  <c r="Q48" i="4"/>
  <c r="Q41" i="4"/>
  <c r="Q38" i="4"/>
  <c r="Q31" i="4"/>
  <c r="Q46" i="4"/>
  <c r="Q8" i="4"/>
  <c r="Q50" i="4"/>
  <c r="Q40" i="4"/>
  <c r="Q49" i="4"/>
  <c r="Q19" i="4"/>
  <c r="Q28" i="4"/>
  <c r="Q18" i="4"/>
  <c r="Q20" i="4"/>
  <c r="Q5" i="4"/>
  <c r="Q42" i="4"/>
  <c r="Q47" i="4"/>
  <c r="Q30" i="4"/>
  <c r="Q22" i="4"/>
  <c r="Q33" i="4"/>
  <c r="Q9" i="4"/>
  <c r="Q12" i="4"/>
  <c r="Q36" i="4"/>
  <c r="Q25" i="4"/>
  <c r="Q27" i="4"/>
  <c r="Q11" i="4"/>
  <c r="Q2" i="4"/>
  <c r="Q34" i="4"/>
  <c r="Q35" i="4"/>
  <c r="Q17" i="4"/>
  <c r="Q43" i="4"/>
  <c r="Q7" i="4"/>
  <c r="Q45" i="4"/>
  <c r="M7" i="3"/>
  <c r="M33" i="3"/>
  <c r="M38" i="3"/>
  <c r="M46" i="3"/>
  <c r="M30" i="3"/>
  <c r="M31" i="3"/>
  <c r="M8" i="3"/>
  <c r="M37" i="3"/>
  <c r="M2" i="3"/>
  <c r="M35" i="3"/>
  <c r="M42" i="3"/>
  <c r="M16" i="3"/>
  <c r="M20" i="3"/>
  <c r="M32" i="3"/>
  <c r="M25" i="3"/>
  <c r="M12" i="3"/>
  <c r="M34" i="3"/>
  <c r="M36" i="3"/>
  <c r="M24" i="3"/>
  <c r="M11" i="3"/>
  <c r="M29" i="3"/>
  <c r="M4" i="3"/>
  <c r="M13" i="3"/>
  <c r="M28" i="3"/>
  <c r="M43" i="3"/>
  <c r="M40" i="3"/>
  <c r="M22" i="3"/>
  <c r="M18" i="3"/>
  <c r="M14" i="3"/>
  <c r="M17" i="3"/>
  <c r="M9" i="3"/>
  <c r="M26" i="3"/>
  <c r="M19" i="3"/>
  <c r="M5" i="3"/>
  <c r="M27" i="3"/>
  <c r="M3" i="3"/>
  <c r="M41" i="3"/>
  <c r="M21" i="3"/>
  <c r="M44" i="3"/>
  <c r="M23" i="3"/>
  <c r="M10" i="3"/>
  <c r="M15" i="3"/>
  <c r="M45" i="3"/>
  <c r="M39" i="3"/>
  <c r="M6" i="3"/>
  <c r="P42" i="5"/>
  <c r="P19" i="5"/>
  <c r="P8" i="5"/>
  <c r="P45" i="5"/>
  <c r="P28" i="5"/>
  <c r="P18" i="5"/>
  <c r="P23" i="5"/>
  <c r="P25" i="5"/>
  <c r="P2" i="5"/>
  <c r="P35" i="5"/>
  <c r="P24" i="5"/>
  <c r="P38" i="5"/>
  <c r="P15" i="5"/>
  <c r="P26" i="5"/>
  <c r="P41" i="5"/>
  <c r="P20" i="5"/>
  <c r="P30" i="5"/>
  <c r="P9" i="5"/>
  <c r="P29" i="5"/>
  <c r="P13" i="5"/>
  <c r="P46" i="5"/>
  <c r="P5" i="5"/>
  <c r="P36" i="5"/>
  <c r="P10" i="5"/>
  <c r="P12" i="5"/>
  <c r="P11" i="5"/>
  <c r="P31" i="5"/>
  <c r="P40" i="5"/>
  <c r="P27" i="5"/>
  <c r="P6" i="5"/>
  <c r="P43" i="5"/>
  <c r="P37" i="5"/>
  <c r="P7" i="5"/>
  <c r="P3" i="5"/>
  <c r="P17" i="5"/>
  <c r="P4" i="5"/>
  <c r="P16" i="5"/>
  <c r="P33" i="5"/>
  <c r="P14" i="5"/>
  <c r="P44" i="5"/>
  <c r="P39" i="5"/>
  <c r="P34" i="5"/>
  <c r="P22" i="5"/>
  <c r="P21" i="5"/>
  <c r="P32" i="5"/>
  <c r="N41" i="5"/>
  <c r="N35" i="5"/>
  <c r="N27" i="5"/>
  <c r="N6" i="5"/>
  <c r="N18" i="5"/>
  <c r="N13" i="5"/>
  <c r="N33" i="5"/>
  <c r="N9" i="5"/>
  <c r="N28" i="5"/>
  <c r="N44" i="5"/>
  <c r="N45" i="5"/>
  <c r="N7" i="5"/>
  <c r="N22" i="5"/>
  <c r="N24" i="5"/>
  <c r="N5" i="5"/>
  <c r="N34" i="5"/>
  <c r="N26" i="5"/>
  <c r="N21" i="5"/>
  <c r="N8" i="5"/>
  <c r="N31" i="5"/>
  <c r="N40" i="5"/>
  <c r="N30" i="5"/>
  <c r="N17" i="5"/>
  <c r="N29" i="5"/>
  <c r="N14" i="5"/>
  <c r="N46" i="5"/>
  <c r="N3" i="5"/>
  <c r="N39" i="5"/>
  <c r="N2" i="5"/>
  <c r="N11" i="5"/>
  <c r="N23" i="5"/>
  <c r="N36" i="5"/>
  <c r="N42" i="5"/>
  <c r="N4" i="5"/>
  <c r="N43" i="5"/>
  <c r="N15" i="5"/>
  <c r="N19" i="5"/>
  <c r="N12" i="5"/>
  <c r="N10" i="5"/>
  <c r="N20" i="5"/>
  <c r="N16" i="5"/>
  <c r="N38" i="5"/>
  <c r="N25" i="5"/>
  <c r="N37" i="5"/>
  <c r="N32" i="5"/>
  <c r="R52" i="4" l="1"/>
  <c r="R60" i="4"/>
  <c r="R68" i="4"/>
  <c r="R53" i="4"/>
  <c r="R61" i="4"/>
  <c r="R69" i="4"/>
  <c r="R54" i="4"/>
  <c r="R62" i="4"/>
  <c r="R70" i="4"/>
  <c r="R55" i="4"/>
  <c r="R63" i="4"/>
  <c r="R59" i="4"/>
  <c r="R56" i="4"/>
  <c r="R64" i="4"/>
  <c r="R66" i="4"/>
  <c r="R51" i="4"/>
  <c r="R57" i="4"/>
  <c r="R65" i="4"/>
  <c r="R58" i="4"/>
  <c r="R67" i="4"/>
  <c r="O55" i="4"/>
  <c r="O63" i="4"/>
  <c r="O56" i="4"/>
  <c r="O64" i="4"/>
  <c r="O57" i="4"/>
  <c r="O65" i="4"/>
  <c r="O58" i="4"/>
  <c r="O66" i="4"/>
  <c r="O69" i="4"/>
  <c r="O51" i="4"/>
  <c r="O59" i="4"/>
  <c r="O67" i="4"/>
  <c r="O53" i="4"/>
  <c r="O61" i="4"/>
  <c r="O54" i="4"/>
  <c r="O62" i="4"/>
  <c r="O52" i="4"/>
  <c r="O60" i="4"/>
  <c r="O68" i="4"/>
  <c r="O70" i="4"/>
  <c r="N56" i="4"/>
  <c r="N64" i="4"/>
  <c r="N57" i="4"/>
  <c r="N65" i="4"/>
  <c r="N58" i="4"/>
  <c r="N66" i="4"/>
  <c r="N63" i="4"/>
  <c r="N51" i="4"/>
  <c r="N59" i="4"/>
  <c r="N67" i="4"/>
  <c r="N54" i="4"/>
  <c r="N52" i="4"/>
  <c r="N60" i="4"/>
  <c r="N68" i="4"/>
  <c r="N53" i="4"/>
  <c r="N61" i="4"/>
  <c r="N69" i="4"/>
  <c r="N62" i="4"/>
  <c r="N70" i="4"/>
  <c r="N55" i="4"/>
  <c r="P54" i="4"/>
  <c r="P62" i="4"/>
  <c r="P70" i="4"/>
  <c r="P55" i="4"/>
  <c r="P63" i="4"/>
  <c r="P56" i="4"/>
  <c r="P64" i="4"/>
  <c r="P60" i="4"/>
  <c r="P68" i="4"/>
  <c r="P57" i="4"/>
  <c r="P65" i="4"/>
  <c r="P53" i="4"/>
  <c r="P69" i="4"/>
  <c r="P58" i="4"/>
  <c r="P66" i="4"/>
  <c r="P51" i="4"/>
  <c r="P59" i="4"/>
  <c r="P67" i="4"/>
  <c r="P52" i="4"/>
  <c r="P61" i="4"/>
  <c r="M54" i="4"/>
  <c r="M51" i="4"/>
  <c r="M55" i="4"/>
  <c r="M59" i="4"/>
  <c r="M63" i="4"/>
  <c r="M67" i="4"/>
  <c r="M58" i="4"/>
  <c r="M66" i="4"/>
  <c r="M52" i="4"/>
  <c r="M56" i="4"/>
  <c r="M60" i="4"/>
  <c r="M64" i="4"/>
  <c r="M68" i="4"/>
  <c r="M70" i="4"/>
  <c r="M53" i="4"/>
  <c r="M57" i="4"/>
  <c r="M61" i="4"/>
  <c r="M65" i="4"/>
  <c r="M69" i="4"/>
  <c r="M62" i="4"/>
  <c r="E13" i="3"/>
  <c r="D19" i="6" s="1"/>
  <c r="I19" i="6" s="1"/>
  <c r="G13" i="3"/>
  <c r="E13" i="5"/>
  <c r="B19" i="6" s="1"/>
  <c r="G19" i="6" s="1"/>
  <c r="A13" i="4"/>
  <c r="M8" i="4"/>
  <c r="M31" i="4"/>
  <c r="M25" i="4"/>
  <c r="M36" i="4"/>
  <c r="M9" i="4"/>
  <c r="M41" i="4"/>
  <c r="M45" i="4"/>
  <c r="M14" i="4"/>
  <c r="M27" i="4"/>
  <c r="M43" i="4"/>
  <c r="M22" i="4"/>
  <c r="M29" i="4"/>
  <c r="M12" i="4"/>
  <c r="M16" i="4"/>
  <c r="M32" i="4"/>
  <c r="M39" i="4"/>
  <c r="M4" i="4"/>
  <c r="M34" i="4"/>
  <c r="M46" i="4"/>
  <c r="M42" i="4"/>
  <c r="M5" i="4"/>
  <c r="M35" i="4"/>
  <c r="M48" i="4"/>
  <c r="M6" i="4"/>
  <c r="M26" i="4"/>
  <c r="M19" i="4"/>
  <c r="M20" i="4"/>
  <c r="M7" i="4"/>
  <c r="M15" i="4"/>
  <c r="M13" i="4"/>
  <c r="M28" i="4"/>
  <c r="M2" i="4"/>
  <c r="M17" i="4"/>
  <c r="M10" i="4"/>
  <c r="M30" i="4"/>
  <c r="M38" i="4"/>
  <c r="M50" i="4"/>
  <c r="M23" i="4"/>
  <c r="M11" i="4"/>
  <c r="M24" i="4"/>
  <c r="M3" i="4"/>
  <c r="M18" i="4"/>
  <c r="M47" i="4"/>
  <c r="M49" i="4"/>
  <c r="M44" i="4"/>
  <c r="M33" i="4"/>
  <c r="M37" i="4"/>
  <c r="M40" i="4"/>
  <c r="M21" i="4"/>
  <c r="F13" i="4"/>
  <c r="N41" i="4"/>
  <c r="N44" i="4"/>
  <c r="N26" i="4"/>
  <c r="N38" i="4"/>
  <c r="N42" i="4"/>
  <c r="N4" i="4"/>
  <c r="N14" i="4"/>
  <c r="N40" i="4"/>
  <c r="N22" i="4"/>
  <c r="N2" i="4"/>
  <c r="N16" i="4"/>
  <c r="N37" i="4"/>
  <c r="N23" i="4"/>
  <c r="N7" i="4"/>
  <c r="N48" i="4"/>
  <c r="N43" i="4"/>
  <c r="N28" i="4"/>
  <c r="N36" i="4"/>
  <c r="N21" i="4"/>
  <c r="N8" i="4"/>
  <c r="N25" i="4"/>
  <c r="N10" i="4"/>
  <c r="N18" i="4"/>
  <c r="N27" i="4"/>
  <c r="N31" i="4"/>
  <c r="N15" i="4"/>
  <c r="N49" i="4"/>
  <c r="N32" i="4"/>
  <c r="N5" i="4"/>
  <c r="N35" i="4"/>
  <c r="N9" i="4"/>
  <c r="N13" i="4"/>
  <c r="N3" i="4"/>
  <c r="N24" i="4"/>
  <c r="N39" i="4"/>
  <c r="N33" i="4"/>
  <c r="N34" i="4"/>
  <c r="N6" i="4"/>
  <c r="N17" i="4"/>
  <c r="N11" i="4"/>
  <c r="N12" i="4"/>
  <c r="N45" i="4"/>
  <c r="N47" i="4"/>
  <c r="N20" i="4"/>
  <c r="N29" i="4"/>
  <c r="N30" i="4"/>
  <c r="N50" i="4"/>
  <c r="N19" i="4"/>
  <c r="N46" i="4"/>
  <c r="B13" i="5"/>
  <c r="B16" i="6" s="1"/>
  <c r="G16" i="6" s="1"/>
  <c r="D13" i="3"/>
  <c r="D18" i="6" s="1"/>
  <c r="I18" i="6" s="1"/>
  <c r="O38" i="4"/>
  <c r="O45" i="4"/>
  <c r="O34" i="4"/>
  <c r="O23" i="4"/>
  <c r="O9" i="4"/>
  <c r="O43" i="4"/>
  <c r="O37" i="4"/>
  <c r="O17" i="4"/>
  <c r="O21" i="4"/>
  <c r="O2" i="4"/>
  <c r="O35" i="4"/>
  <c r="O39" i="4"/>
  <c r="O7" i="4"/>
  <c r="O14" i="4"/>
  <c r="O20" i="4"/>
  <c r="O10" i="4"/>
  <c r="O41" i="4"/>
  <c r="O42" i="4"/>
  <c r="O25" i="4"/>
  <c r="O46" i="4"/>
  <c r="O15" i="4"/>
  <c r="O30" i="4"/>
  <c r="O44" i="4"/>
  <c r="O11" i="4"/>
  <c r="O49" i="4"/>
  <c r="O28" i="4"/>
  <c r="O29" i="4"/>
  <c r="O5" i="4"/>
  <c r="O33" i="4"/>
  <c r="O26" i="4"/>
  <c r="O8" i="4"/>
  <c r="O32" i="4"/>
  <c r="O18" i="4"/>
  <c r="O6" i="4"/>
  <c r="O16" i="4"/>
  <c r="O3" i="4"/>
  <c r="O47" i="4"/>
  <c r="O24" i="4"/>
  <c r="O31" i="4"/>
  <c r="O48" i="4"/>
  <c r="O13" i="4"/>
  <c r="O27" i="4"/>
  <c r="O12" i="4"/>
  <c r="O40" i="4"/>
  <c r="O22" i="4"/>
  <c r="O4" i="4"/>
  <c r="O50" i="4"/>
  <c r="O36" i="4"/>
  <c r="O19" i="4"/>
  <c r="R14" i="4"/>
  <c r="R25" i="4"/>
  <c r="R23" i="4"/>
  <c r="R13" i="4"/>
  <c r="R12" i="4"/>
  <c r="R15" i="4"/>
  <c r="R7" i="4"/>
  <c r="R34" i="4"/>
  <c r="R47" i="4"/>
  <c r="R48" i="4"/>
  <c r="R5" i="4"/>
  <c r="R27" i="4"/>
  <c r="R11" i="4"/>
  <c r="R33" i="4"/>
  <c r="R28" i="4"/>
  <c r="R22" i="4"/>
  <c r="R41" i="4"/>
  <c r="R45" i="4"/>
  <c r="R29" i="4"/>
  <c r="R46" i="4"/>
  <c r="R36" i="4"/>
  <c r="R18" i="4"/>
  <c r="R9" i="4"/>
  <c r="R38" i="4"/>
  <c r="R21" i="4"/>
  <c r="R24" i="4"/>
  <c r="R31" i="4"/>
  <c r="R49" i="4"/>
  <c r="R44" i="4"/>
  <c r="R35" i="4"/>
  <c r="R4" i="4"/>
  <c r="R26" i="4"/>
  <c r="R17" i="4"/>
  <c r="R43" i="4"/>
  <c r="R32" i="4"/>
  <c r="R19" i="4"/>
  <c r="R2" i="4"/>
  <c r="R37" i="4"/>
  <c r="R3" i="4"/>
  <c r="R16" i="4"/>
  <c r="R40" i="4"/>
  <c r="R42" i="4"/>
  <c r="R39" i="4"/>
  <c r="R20" i="4"/>
  <c r="R10" i="4"/>
  <c r="R6" i="4"/>
  <c r="R30" i="4"/>
  <c r="R50" i="4"/>
  <c r="R8" i="4"/>
  <c r="C13" i="5"/>
  <c r="B17" i="6" s="1"/>
  <c r="G17" i="6" s="1"/>
  <c r="D13" i="5"/>
  <c r="B18" i="6" s="1"/>
  <c r="G18" i="6" s="1"/>
  <c r="B13" i="3"/>
  <c r="D16" i="6" s="1"/>
  <c r="I16" i="6" s="1"/>
  <c r="C13" i="3"/>
  <c r="D17" i="6" s="1"/>
  <c r="I17" i="6" s="1"/>
  <c r="P36" i="4"/>
  <c r="P17" i="4"/>
  <c r="P6" i="4"/>
  <c r="P41" i="4"/>
  <c r="P48" i="4"/>
  <c r="P38" i="4"/>
  <c r="P49" i="4"/>
  <c r="P3" i="4"/>
  <c r="P26" i="4"/>
  <c r="P39" i="4"/>
  <c r="P44" i="4"/>
  <c r="P29" i="4"/>
  <c r="P40" i="4"/>
  <c r="P23" i="4"/>
  <c r="P11" i="4"/>
  <c r="P27" i="4"/>
  <c r="P10" i="4"/>
  <c r="P20" i="4"/>
  <c r="P33" i="4"/>
  <c r="P16" i="4"/>
  <c r="P37" i="4"/>
  <c r="P4" i="4"/>
  <c r="P43" i="4"/>
  <c r="P35" i="4"/>
  <c r="P5" i="4"/>
  <c r="P2" i="4"/>
  <c r="P18" i="4"/>
  <c r="P28" i="4"/>
  <c r="P19" i="4"/>
  <c r="P15" i="4"/>
  <c r="P8" i="4"/>
  <c r="P25" i="4"/>
  <c r="P50" i="4"/>
  <c r="P34" i="4"/>
  <c r="P22" i="4"/>
  <c r="P32" i="4"/>
  <c r="P47" i="4"/>
  <c r="P24" i="4"/>
  <c r="P9" i="4"/>
  <c r="P12" i="4"/>
  <c r="P21" i="4"/>
  <c r="P31" i="4"/>
  <c r="P30" i="4"/>
  <c r="P45" i="4"/>
  <c r="P14" i="4"/>
  <c r="P46" i="4"/>
  <c r="P7" i="4"/>
  <c r="P13" i="4"/>
  <c r="P42" i="4"/>
  <c r="B13" i="4" l="1"/>
  <c r="C16" i="6" s="1"/>
  <c r="H16" i="6" s="1"/>
  <c r="E13" i="4"/>
  <c r="C19" i="6" s="1"/>
  <c r="H19" i="6" s="1"/>
  <c r="G13" i="4"/>
  <c r="D13" i="4"/>
  <c r="C18" i="6" s="1"/>
  <c r="H18" i="6" s="1"/>
  <c r="C13" i="4"/>
  <c r="C17" i="6" s="1"/>
  <c r="H17" i="6" s="1"/>
  <c r="H22" i="6" l="1"/>
</calcChain>
</file>

<file path=xl/sharedStrings.xml><?xml version="1.0" encoding="utf-8"?>
<sst xmlns="http://schemas.openxmlformats.org/spreadsheetml/2006/main" count="419" uniqueCount="128">
  <si>
    <t>Conformer Relative Populations</t>
  </si>
  <si>
    <t>Conv. Hartree to kcal/mol</t>
  </si>
  <si>
    <t>r (in kcal/(K*mol))</t>
  </si>
  <si>
    <t>Temp (K)</t>
  </si>
  <si>
    <t>Sum of Rel Pop</t>
  </si>
  <si>
    <t>Sum of Weights</t>
  </si>
  <si>
    <t>Energy (hartrees)</t>
  </si>
  <si>
    <t>Energy (kcal)</t>
  </si>
  <si>
    <t>Rel E</t>
  </si>
  <si>
    <t>Gibbs Energy (hartree)</t>
  </si>
  <si>
    <t>Conformer</t>
  </si>
  <si>
    <t>Classification</t>
  </si>
  <si>
    <t>Rotamer</t>
  </si>
  <si>
    <t>rel G</t>
  </si>
  <si>
    <t>rel Pop</t>
  </si>
  <si>
    <t>weight</t>
  </si>
  <si>
    <t>Notes</t>
  </si>
  <si>
    <t>4H6</t>
  </si>
  <si>
    <t>6H4</t>
  </si>
  <si>
    <t>5C12</t>
  </si>
  <si>
    <t>12C5</t>
  </si>
  <si>
    <t>Boltzmann Contribution</t>
  </si>
  <si>
    <t>Average E</t>
  </si>
  <si>
    <t xml:space="preserve">Conf2   </t>
  </si>
  <si>
    <t xml:space="preserve">Conf3   </t>
  </si>
  <si>
    <t xml:space="preserve">Conf4   </t>
  </si>
  <si>
    <t xml:space="preserve">Conf6   </t>
  </si>
  <si>
    <t xml:space="preserve">Conf7   </t>
  </si>
  <si>
    <t xml:space="preserve">Conf8   </t>
  </si>
  <si>
    <t xml:space="preserve">Conf9   </t>
  </si>
  <si>
    <t xml:space="preserve">Conf15   </t>
  </si>
  <si>
    <t xml:space="preserve">Conf16   </t>
  </si>
  <si>
    <t xml:space="preserve">Conf17   </t>
  </si>
  <si>
    <t xml:space="preserve">Conf19   </t>
  </si>
  <si>
    <t xml:space="preserve">Conf20   </t>
  </si>
  <si>
    <t xml:space="preserve">Conf21   </t>
  </si>
  <si>
    <t xml:space="preserve">Conf24   </t>
  </si>
  <si>
    <t xml:space="preserve">Conf26   </t>
  </si>
  <si>
    <t xml:space="preserve">Conf27   </t>
  </si>
  <si>
    <t xml:space="preserve">Conf30   </t>
  </si>
  <si>
    <t xml:space="preserve">Conf34   </t>
  </si>
  <si>
    <t xml:space="preserve">Conf38   </t>
  </si>
  <si>
    <t xml:space="preserve">Conf39   </t>
  </si>
  <si>
    <t xml:space="preserve">Conf41   </t>
  </si>
  <si>
    <t xml:space="preserve">Conf48   </t>
  </si>
  <si>
    <t xml:space="preserve">Conf57   </t>
  </si>
  <si>
    <t xml:space="preserve">Conf59   </t>
  </si>
  <si>
    <t xml:space="preserve">Conf72   </t>
  </si>
  <si>
    <t xml:space="preserve">Conf73   </t>
  </si>
  <si>
    <t xml:space="preserve">Conf76   </t>
  </si>
  <si>
    <t xml:space="preserve">Conf78   </t>
  </si>
  <si>
    <t xml:space="preserve">Conf86   </t>
  </si>
  <si>
    <t xml:space="preserve">Conf103   </t>
  </si>
  <si>
    <t xml:space="preserve">Conf109   </t>
  </si>
  <si>
    <t xml:space="preserve">Conf123   </t>
  </si>
  <si>
    <t xml:space="preserve">Conf128   </t>
  </si>
  <si>
    <t xml:space="preserve">Conf135   </t>
  </si>
  <si>
    <t xml:space="preserve">Conf142   </t>
  </si>
  <si>
    <t xml:space="preserve">Conf143   </t>
  </si>
  <si>
    <t xml:space="preserve">Conf144   </t>
  </si>
  <si>
    <t xml:space="preserve">Conf145   </t>
  </si>
  <si>
    <t xml:space="preserve">Conf166   </t>
  </si>
  <si>
    <t xml:space="preserve">Conf173   </t>
  </si>
  <si>
    <t xml:space="preserve">Conf193   </t>
  </si>
  <si>
    <t xml:space="preserve">Conf215   </t>
  </si>
  <si>
    <t xml:space="preserve">Conf241   </t>
  </si>
  <si>
    <t xml:space="preserve">Conf278   </t>
  </si>
  <si>
    <t>J1,2</t>
  </si>
  <si>
    <t>J2,3</t>
  </si>
  <si>
    <t>J34</t>
  </si>
  <si>
    <t>J45</t>
  </si>
  <si>
    <t>J56</t>
  </si>
  <si>
    <t>J67</t>
  </si>
  <si>
    <t>J77'</t>
  </si>
  <si>
    <t>J67'</t>
  </si>
  <si>
    <t>classification</t>
  </si>
  <si>
    <t>Column1</t>
  </si>
  <si>
    <t>Sum of Chair Weights</t>
  </si>
  <si>
    <t>Column2</t>
  </si>
  <si>
    <t>J1,23</t>
  </si>
  <si>
    <t>J2,34</t>
  </si>
  <si>
    <t>J345</t>
  </si>
  <si>
    <t>J456</t>
  </si>
  <si>
    <t>J567</t>
  </si>
  <si>
    <t>J678</t>
  </si>
  <si>
    <t>J67'9</t>
  </si>
  <si>
    <t>J77'10</t>
  </si>
  <si>
    <t>RMSD</t>
  </si>
  <si>
    <t>Exp (Hz)</t>
  </si>
  <si>
    <t>DFT (Hz)</t>
  </si>
  <si>
    <t>Scaled DFT (Hz)</t>
  </si>
  <si>
    <t>weighted</t>
  </si>
  <si>
    <t>Average</t>
  </si>
  <si>
    <t>SdDev</t>
  </si>
  <si>
    <t>J23</t>
  </si>
  <si>
    <t>SD</t>
  </si>
  <si>
    <t>V1</t>
  </si>
  <si>
    <t>V2</t>
  </si>
  <si>
    <t xml:space="preserve">Conf14   </t>
  </si>
  <si>
    <t xml:space="preserve">null   </t>
  </si>
  <si>
    <t xml:space="preserve">Conf125   </t>
  </si>
  <si>
    <t xml:space="preserve">Conf23   </t>
  </si>
  <si>
    <t xml:space="preserve">Conf45   </t>
  </si>
  <si>
    <t xml:space="preserve">Conf104   </t>
  </si>
  <si>
    <t xml:space="preserve">Conf106   </t>
  </si>
  <si>
    <t xml:space="preserve">Conf107   </t>
  </si>
  <si>
    <t xml:space="preserve">Conf197   </t>
  </si>
  <si>
    <t xml:space="preserve">Conf208   </t>
  </si>
  <si>
    <t xml:space="preserve">Conf212   </t>
  </si>
  <si>
    <t xml:space="preserve">Conf219   </t>
  </si>
  <si>
    <t xml:space="preserve">Conf220   </t>
  </si>
  <si>
    <t xml:space="preserve">Conf272   </t>
  </si>
  <si>
    <t xml:space="preserve">Conf276   </t>
  </si>
  <si>
    <t xml:space="preserve">Conf283   </t>
  </si>
  <si>
    <t xml:space="preserve">Conf290   </t>
  </si>
  <si>
    <t xml:space="preserve">Conf333   </t>
  </si>
  <si>
    <t xml:space="preserve">Conf373   </t>
  </si>
  <si>
    <t>125B</t>
  </si>
  <si>
    <t xml:space="preserve">Conf22   </t>
  </si>
  <si>
    <t xml:space="preserve">Conf33   </t>
  </si>
  <si>
    <t xml:space="preserve">Conf94   </t>
  </si>
  <si>
    <t xml:space="preserve">Conf101   </t>
  </si>
  <si>
    <t xml:space="preserve">Conf136   </t>
  </si>
  <si>
    <t xml:space="preserve">Conf191   </t>
  </si>
  <si>
    <t xml:space="preserve">Conf396   </t>
  </si>
  <si>
    <t>45TH</t>
  </si>
  <si>
    <t>56TH</t>
  </si>
  <si>
    <t>TH45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</si>
</sst>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B0F0"/>
      <name val="Arial"/>
      <family val="2"/>
    </font>
    <font>
      <sz val="8"/>
      <name val="Calibri"/>
      <family val="2"/>
      <scheme val="minor"/>
    </font>
    <font>
      <sz val="10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NumberFormat="1"/>
    <xf numFmtId="0" fontId="0" fillId="0" borderId="1" xfId="0" applyBorder="1"/>
    <xf numFmtId="2" fontId="0" fillId="0" borderId="0" xfId="0" applyNumberFormat="1"/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0" fillId="0" borderId="0" xfId="0" applyFont="1"/>
    <xf numFmtId="164" fontId="0" fillId="0" borderId="0" xfId="0" applyNumberFormat="1"/>
    <xf numFmtId="0" fontId="0" fillId="0" borderId="1" xfId="0" applyFont="1" applyBorder="1"/>
    <xf numFmtId="0" fontId="0" fillId="0" borderId="2" xfId="0" applyFont="1" applyBorder="1"/>
  </cellXfs>
  <cellStyles count="1">
    <cellStyle name="Normal" xfId="0" builtinId="0"/>
  </cellStyles>
  <dxfs count="3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006100"/>
      </font>
      <fill>
        <patternFill>
          <bgColor rgb="FFC6EFCE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000"/>
    </dxf>
    <dxf>
      <numFmt numFmtId="164" formatCode="0.0000"/>
    </dxf>
    <dxf>
      <numFmt numFmtId="164" formatCode="0.00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Boltzmann</a:t>
            </a:r>
            <a:r>
              <a:rPr lang="en-US" baseline="0"/>
              <a:t> Distribution of Mannose-based Oxepine in Chloroform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ED-4924-AC9A-58265F8E505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DED-4924-AC9A-58265F8E505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DED-4924-AC9A-58265F8E505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DED-4924-AC9A-58265F8E505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DED-4924-AC9A-58265F8E505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1A6-4A9B-B179-78A0283EF33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1A6-4A9B-B179-78A0283EF333}"/>
              </c:ext>
            </c:extLst>
          </c:dPt>
          <c:dLbls>
            <c:dLbl>
              <c:idx val="3"/>
              <c:layout>
                <c:manualLayout>
                  <c:x val="2.2405074365704287E-2"/>
                  <c:y val="5.50621172353455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DED-4924-AC9A-58265F8E50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chloroform!$N$7:$N$13</c:f>
              <c:strCache>
                <c:ptCount val="7"/>
                <c:pt idx="0">
                  <c:v>4H6</c:v>
                </c:pt>
                <c:pt idx="1">
                  <c:v>45TH</c:v>
                </c:pt>
                <c:pt idx="2">
                  <c:v>5C12</c:v>
                </c:pt>
                <c:pt idx="3">
                  <c:v>56TH</c:v>
                </c:pt>
                <c:pt idx="4">
                  <c:v>12C5</c:v>
                </c:pt>
                <c:pt idx="5">
                  <c:v>6H4</c:v>
                </c:pt>
                <c:pt idx="6">
                  <c:v>TH45</c:v>
                </c:pt>
              </c:strCache>
            </c:strRef>
          </c:cat>
          <c:val>
            <c:numRef>
              <c:f>chloroform!$O$7:$O$13</c:f>
              <c:numCache>
                <c:formatCode>General</c:formatCode>
                <c:ptCount val="7"/>
                <c:pt idx="0">
                  <c:v>0.77916258284268636</c:v>
                </c:pt>
                <c:pt idx="1">
                  <c:v>0.12152207579370763</c:v>
                </c:pt>
                <c:pt idx="2">
                  <c:v>7.4052338742941315E-2</c:v>
                </c:pt>
                <c:pt idx="3">
                  <c:v>1.611712703066704E-2</c:v>
                </c:pt>
                <c:pt idx="4">
                  <c:v>4.7425047093327954E-3</c:v>
                </c:pt>
                <c:pt idx="5">
                  <c:v>4.3268276469207246E-3</c:v>
                </c:pt>
                <c:pt idx="6">
                  <c:v>7.6543233743887095E-5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87-4FFD-BFD3-5EBF4F45B71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344203849518811"/>
          <c:y val="0.15804357904496988"/>
          <c:w val="0.89655796150481193"/>
          <c:h val="0.7204994542580647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chloroform!$N$7:$N$12</c:f>
              <c:strCache>
                <c:ptCount val="6"/>
                <c:pt idx="0">
                  <c:v>4H6</c:v>
                </c:pt>
                <c:pt idx="1">
                  <c:v>45TH</c:v>
                </c:pt>
                <c:pt idx="2">
                  <c:v>5C12</c:v>
                </c:pt>
                <c:pt idx="3">
                  <c:v>56TH</c:v>
                </c:pt>
                <c:pt idx="4">
                  <c:v>12C5</c:v>
                </c:pt>
                <c:pt idx="5">
                  <c:v>6H4</c:v>
                </c:pt>
              </c:strCache>
            </c:strRef>
          </c:cat>
          <c:val>
            <c:numRef>
              <c:f>chloroform!$P$7:$P$12</c:f>
              <c:numCache>
                <c:formatCode>General</c:formatCode>
                <c:ptCount val="6"/>
                <c:pt idx="0">
                  <c:v>2.021976325660944</c:v>
                </c:pt>
                <c:pt idx="1">
                  <c:v>3.2671442147965233</c:v>
                </c:pt>
                <c:pt idx="2">
                  <c:v>3.0663981858894904</c:v>
                </c:pt>
                <c:pt idx="3">
                  <c:v>2.8898370577953756</c:v>
                </c:pt>
                <c:pt idx="4">
                  <c:v>4.0159936921845656</c:v>
                </c:pt>
                <c:pt idx="5">
                  <c:v>3.9444860991012924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20-4F27-8A67-3CE97FF56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927360"/>
        <c:axId val="159401408"/>
      </c:lineChart>
      <c:catAx>
        <c:axId val="17092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01408"/>
        <c:crosses val="autoZero"/>
        <c:auto val="1"/>
        <c:lblAlgn val="ctr"/>
        <c:lblOffset val="100"/>
        <c:noMultiLvlLbl val="0"/>
      </c:catAx>
      <c:valAx>
        <c:axId val="15940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92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Populations</a:t>
            </a:r>
            <a:r>
              <a:rPr lang="en-US" baseline="0"/>
              <a:t> in Solution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C-4E7D-BC79-5900030166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C-4E7D-BC79-5900030166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C-4E7D-BC79-5900030166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Sheet6!$M$9:$M$11</c:f>
              <c:strCache>
                <c:ptCount val="3"/>
                <c:pt idx="0">
                  <c:v>4H6</c:v>
                </c:pt>
                <c:pt idx="1">
                  <c:v>5C12</c:v>
                </c:pt>
                <c:pt idx="2">
                  <c:v>45TH</c:v>
                </c:pt>
              </c:strCache>
            </c:strRef>
          </c:cat>
          <c:val>
            <c:numRef>
              <c:f>Sheet6!$N$9:$N$11</c:f>
              <c:numCache>
                <c:formatCode>General</c:formatCode>
                <c:ptCount val="3"/>
                <c:pt idx="0">
                  <c:v>0.5504</c:v>
                </c:pt>
                <c:pt idx="1">
                  <c:v>0.32850000000000001</c:v>
                </c:pt>
                <c:pt idx="2">
                  <c:v>0.1211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4-4B7E-84DF-1A0D32F9891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205740</xdr:colOff>
      <xdr:row>19</xdr:row>
      <xdr:rowOff>0</xdr:rowOff>
    </xdr:from>
    <xdr:to>
      <xdr:col>19</xdr:col>
      <xdr:colOff>510540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D88416-F6C6-4E8B-BF60-08E01D1EC4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361950</xdr:colOff>
      <xdr:row>0</xdr:row>
      <xdr:rowOff>181927</xdr:rowOff>
    </xdr:from>
    <xdr:to>
      <xdr:col>24</xdr:col>
      <xdr:colOff>57150</xdr:colOff>
      <xdr:row>16</xdr:row>
      <xdr:rowOff>20002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62B5B3-B473-4A4D-BD21-F0490023D8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280987</xdr:colOff>
      <xdr:row>14</xdr:row>
      <xdr:rowOff>98107</xdr:rowOff>
    </xdr:from>
    <xdr:to>
      <xdr:col>21</xdr:col>
      <xdr:colOff>585787</xdr:colOff>
      <xdr:row>28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9369B8-BB4E-49C6-825A-729EE5C9D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0F378A-7FF5-477E-9F58-AA57ACA0A4EA}" name="Table1" displayName="Table1" ref="A6:K75" totalsRowShown="0">
  <autoFilter ref="A6:K75" xr:uid="{D2222DA1-7940-4CAF-B639-69BE9EB6EC23}"/>
  <sortState xmlns:xlrd2="http://schemas.microsoft.com/office/spreadsheetml/2017/richdata2" ref="A7:K72">
    <sortCondition ref="E6:E72"/>
  </sortState>
  <tableColumns count="11">
    <tableColumn id="1" xr3:uid="{FEE07942-27E5-496C-9CE0-57C74379E5FA}" name="Energy (hartrees)" dataDxfId="29">
      <calculatedColumnFormula>Table1[[#This Row],[Gibbs Energy (hartree)]]</calculatedColumnFormula>
    </tableColumn>
    <tableColumn id="2" xr3:uid="{63BAC07D-9EEB-4F2C-8811-E61BDC1C21EA}" name="Energy (kcal)" dataDxfId="28">
      <calculatedColumnFormula>Table1[[#This Row],[Energy (hartrees)]]*$C$2</calculatedColumnFormula>
    </tableColumn>
    <tableColumn id="3" xr3:uid="{12894FA1-734B-45A6-9EF2-5148A247DA7B}" name="Rel E" dataDxfId="27">
      <calculatedColumnFormula>Table1[[#This Row],[Energy (kcal)]]-MIN(Table1[Energy (kcal)])</calculatedColumnFormula>
    </tableColumn>
    <tableColumn id="4" xr3:uid="{54C0F622-FA42-47B1-9E9E-743875831B4F}" name="Gibbs Energy (hartree)" dataDxfId="26"/>
    <tableColumn id="5" xr3:uid="{BDB0ECDE-37A8-4A43-A3CD-DD9087669A2C}" name="Conformer" dataCellStyle="Normal"/>
    <tableColumn id="6" xr3:uid="{21628E59-03EB-4814-A6DC-64A3C143958C}" name="Classification"/>
    <tableColumn id="7" xr3:uid="{AA0E77B5-E211-487E-B49A-CB97CCF7EB4C}" name="Rotamer"/>
    <tableColumn id="8" xr3:uid="{C8505BC0-77EE-412B-881D-63638FDCF736}" name="rel G" dataDxfId="25">
      <calculatedColumnFormula>Table1[[#This Row],[Rel E]]</calculatedColumnFormula>
    </tableColumn>
    <tableColumn id="9" xr3:uid="{EBC562E8-B9B1-406E-97BC-1FF976A70B16}" name="rel Pop" dataDxfId="24">
      <calculatedColumnFormula>IF(Table1[[#This Row],[rel G]]&lt;5,EXP(-H7/(D$2*E$2)),0)</calculatedColumnFormula>
    </tableColumn>
    <tableColumn id="10" xr3:uid="{7DDF65B3-2008-4EF1-B471-33FC09D4BF35}" name="weight" dataDxfId="23">
      <calculatedColumnFormula>IF(Table1[[#This Row],[rel G]]&lt;5,I7/$F$2,0)</calculatedColumnFormula>
    </tableColumn>
    <tableColumn id="11" xr3:uid="{89EB24DF-08B1-411D-9901-685CD4A89140}" name="Notes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620E235-C4B7-40BE-BA2F-32B5A8BAB326}" name="Table2" displayName="Table2" ref="A1:T70" totalsRowShown="0">
  <autoFilter ref="A1:T70" xr:uid="{80F3E59D-79C5-4B7B-9568-C30BCF944036}"/>
  <tableColumns count="20">
    <tableColumn id="1" xr3:uid="{2198BB88-6605-48FF-B11D-ABBAC4DF32C9}" name="Column1"/>
    <tableColumn id="2" xr3:uid="{ECA138EF-DFE0-4FA2-8395-F326AA2F3EC0}" name="J1,2"/>
    <tableColumn id="3" xr3:uid="{B9719F06-DA97-4A47-A1D7-7DB788F1468E}" name="J2,3"/>
    <tableColumn id="4" xr3:uid="{433F98E4-42A0-4622-9B85-6ED7E3978782}" name="J34"/>
    <tableColumn id="5" xr3:uid="{0D07CCDF-37DB-4EE9-8CAB-117F3F1CC3F9}" name="J45"/>
    <tableColumn id="6" xr3:uid="{35492A16-3276-4B47-BBDF-0FEDEEFEA748}" name="J56"/>
    <tableColumn id="7" xr3:uid="{CAAE7FE1-3744-44F8-AF5E-3389DFAB73C4}" name="J67"/>
    <tableColumn id="8" xr3:uid="{9D491360-065E-4CBB-9EB5-7812C352DDD6}" name="J77'"/>
    <tableColumn id="9" xr3:uid="{16E42B76-E02F-4E7A-B038-1A1894011742}" name="J67'"/>
    <tableColumn id="10" xr3:uid="{A5ABFF3F-34FD-4AA6-A6B0-B78B399F171C}" name="weight" dataDxfId="22">
      <calculatedColumnFormula>chloroform!J7</calculatedColumnFormula>
    </tableColumn>
    <tableColumn id="11" xr3:uid="{F5D86611-FEEF-4B78-86A2-EDD564E6E521}" name="classification">
      <calculatedColumnFormula>chloroform!F7</calculatedColumnFormula>
    </tableColumn>
    <tableColumn id="12" xr3:uid="{BA3D2A2B-257F-4BF1-8E9D-90AD4EBF46A9}" name="Column2"/>
    <tableColumn id="13" xr3:uid="{5F435E63-4F32-4514-99E6-0CED455594F8}" name="J1,23">
      <calculatedColumnFormula>0.9155*Table2[[#This Row],[J1,2]]*Table2[[#This Row],[weight]]</calculatedColumnFormula>
    </tableColumn>
    <tableColumn id="14" xr3:uid="{D5A178FE-CB99-47E9-8362-119DC69FD52C}" name="J2,34">
      <calculatedColumnFormula>0.9155*Table2[[#This Row],[J2,3]]*Table2[[#This Row],[weight]]</calculatedColumnFormula>
    </tableColumn>
    <tableColumn id="15" xr3:uid="{8DCD0B45-C5C6-4C5E-B29A-BB6B1BB901BE}" name="J345">
      <calculatedColumnFormula>0.9155*Table2[[#This Row],[J34]]*Table2[[#This Row],[weight]]</calculatedColumnFormula>
    </tableColumn>
    <tableColumn id="16" xr3:uid="{38299B99-8E91-4F27-81EB-5940CBE11CD5}" name="J456">
      <calculatedColumnFormula>0.9155*Table2[[#This Row],[J45]]*Table2[[#This Row],[weight]]</calculatedColumnFormula>
    </tableColumn>
    <tableColumn id="17" xr3:uid="{ABCC17F3-244D-4473-80F1-D83E9E5DB0D9}" name="J567">
      <calculatedColumnFormula>0.9155*Table2[[#This Row],[J56]]*Table2[[#This Row],[weight]]</calculatedColumnFormula>
    </tableColumn>
    <tableColumn id="18" xr3:uid="{31B4933A-A11E-45C2-895C-F766E90CEA50}" name="J678">
      <calculatedColumnFormula>0.9155*Table2[[#This Row],[J67]]*Table2[[#This Row],[weight]]</calculatedColumnFormula>
    </tableColumn>
    <tableColumn id="19" xr3:uid="{91FA6AC6-01C4-442E-910F-0358D29D2E39}" name="J67'9">
      <calculatedColumnFormula>0.9155*Table2[[#This Row],[J67'']]*Table2[[#This Row],[weight]]</calculatedColumnFormula>
    </tableColumn>
    <tableColumn id="20" xr3:uid="{5A98559C-FB8A-42AD-8563-88BCBF6953A2}" name="J77'10">
      <calculatedColumnFormula>0.9155*Table2[[#This Row],[J77'']]*Table2[[#This Row],[weight]]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C9683B3-1EAE-460D-8A60-9BB936A5D5B7}" name="Table3" displayName="Table3" ref="K1:T70" totalsRowShown="0">
  <autoFilter ref="K1:T70" xr:uid="{D8941E95-9795-4A93-81A8-7906E931066E}"/>
  <tableColumns count="10">
    <tableColumn id="1" xr3:uid="{502316A8-00C9-483C-A55E-042B44DAC480}" name="Column1">
      <calculatedColumnFormula>chloroform!E7</calculatedColumnFormula>
    </tableColumn>
    <tableColumn id="2" xr3:uid="{0E2E6069-2A77-412C-ADA4-C97F3F31DD5A}" name="J1,2" dataDxfId="21">
      <calculatedColumnFormula>Table3[[#This Row],[weight]]*(0.9155*Table2[[#This Row],[J1,2]]-A$9)^2</calculatedColumnFormula>
    </tableColumn>
    <tableColumn id="3" xr3:uid="{99C8AE46-1D36-4558-BECE-2A9182B49057}" name="J2,3" dataDxfId="20">
      <calculatedColumnFormula>Table3[[#This Row],[weight]]*(0.9155*Table2[[#This Row],[J2,3]]-B$9)^2</calculatedColumnFormula>
    </tableColumn>
    <tableColumn id="4" xr3:uid="{803275AF-CFEE-4850-AA59-B7DB234A210B}" name="J34" dataDxfId="19">
      <calculatedColumnFormula>Table3[[#This Row],[weight]]*(0.9155*Table2[[#This Row],[J34]]-C$9)^2</calculatedColumnFormula>
    </tableColumn>
    <tableColumn id="5" xr3:uid="{AD807DCB-A3B0-4EB1-BD30-22361475CD38}" name="J45" dataDxfId="18">
      <calculatedColumnFormula>Table3[[#This Row],[weight]]*(0.9155*Table2[[#This Row],[J45]]-D$9)^2</calculatedColumnFormula>
    </tableColumn>
    <tableColumn id="6" xr3:uid="{37B27F45-4581-4973-9AE8-D34D9029691D}" name="J56" dataDxfId="17">
      <calculatedColumnFormula>Table3[[#This Row],[weight]]*(0.9155*Table2[[#This Row],[J56]]-E$9)^2</calculatedColumnFormula>
    </tableColumn>
    <tableColumn id="7" xr3:uid="{BF4C5F4D-3601-4174-8A18-5C730E7E580B}" name="J67" dataDxfId="16">
      <calculatedColumnFormula>Table3[[#This Row],[weight]]*(0.9155*Table2[[#This Row],[J67]]-F$9)^2</calculatedColumnFormula>
    </tableColumn>
    <tableColumn id="8" xr3:uid="{8B48EF87-E5AD-478B-B6EE-9EF474E2BF1E}" name="J67'" dataDxfId="15">
      <calculatedColumnFormula>Table3[[#This Row],[weight]]*(0.9155*Table2[[#This Row],[J67'']]-G$9)^2</calculatedColumnFormula>
    </tableColumn>
    <tableColumn id="9" xr3:uid="{23ACD263-BA0B-4F2B-A70A-089C885DE580}" name="weight">
      <calculatedColumnFormula>chloroform!J7</calculatedColumnFormula>
    </tableColumn>
    <tableColumn id="10" xr3:uid="{B8477986-80BC-40E3-A47B-C498CC76E9FD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9990A7D-F08D-45EC-8330-F088888D87E7}" name="Table4" displayName="Table4" ref="K1:T70" totalsRowShown="0">
  <autoFilter ref="K1:T70" xr:uid="{4F6235A9-2023-4B62-B342-F82B4F81652B}"/>
  <tableColumns count="10">
    <tableColumn id="1" xr3:uid="{5B9CA255-F4EB-4BA1-9F23-B3010FB265F8}" name="Column1">
      <calculatedColumnFormula>chloroform!E7</calculatedColumnFormula>
    </tableColumn>
    <tableColumn id="2" xr3:uid="{AFCE0D9A-0221-486C-9779-B132188E694D}" name="J1,2" dataDxfId="14">
      <calculatedColumnFormula>Table3[[#This Row],[weight]]*(0.9155*Table2[[#This Row],[J1,2]]-A$9)^2</calculatedColumnFormula>
    </tableColumn>
    <tableColumn id="3" xr3:uid="{BC0FF307-497E-4FCE-8FED-D07A264094F7}" name="J2,3" dataDxfId="13">
      <calculatedColumnFormula>Table3[[#This Row],[weight]]*(0.9155*Table2[[#This Row],[J2,3]]-B$9)^2</calculatedColumnFormula>
    </tableColumn>
    <tableColumn id="4" xr3:uid="{42A112DC-DE7A-4ED7-BE47-C9179C10D485}" name="J34" dataDxfId="12">
      <calculatedColumnFormula>Table3[[#This Row],[weight]]*(0.9155*Table2[[#This Row],[J34]]-C$9)^2</calculatedColumnFormula>
    </tableColumn>
    <tableColumn id="5" xr3:uid="{E539553D-57EB-4732-A8E5-359F42069025}" name="J45" dataDxfId="11">
      <calculatedColumnFormula>Table3[[#This Row],[weight]]*(0.9155*Table2[[#This Row],[J45]]-D$9)^2</calculatedColumnFormula>
    </tableColumn>
    <tableColumn id="6" xr3:uid="{37B63D85-DB86-4579-B791-957465BF93B6}" name="J56" dataDxfId="10">
      <calculatedColumnFormula>Table3[[#This Row],[weight]]*(0.9155*Table2[[#This Row],[J56]]-E$9)^2</calculatedColumnFormula>
    </tableColumn>
    <tableColumn id="7" xr3:uid="{8F331390-F594-461F-984E-59C28C29DB64}" name="J67" dataDxfId="9">
      <calculatedColumnFormula>Table3[[#This Row],[weight]]*(0.9155*Table2[[#This Row],[J67]]-F$9)^2</calculatedColumnFormula>
    </tableColumn>
    <tableColumn id="8" xr3:uid="{10E7EDE2-9C64-4F79-A89A-2F9F4A7441CB}" name="J67'" dataDxfId="8">
      <calculatedColumnFormula>Table3[[#This Row],[weight]]*(0.9155*Table2[[#This Row],[J67'']]-G$9)^2</calculatedColumnFormula>
    </tableColumn>
    <tableColumn id="9" xr3:uid="{5DC7A02F-F6F6-40A5-AF33-C35C8FA56DBB}" name="weight">
      <calculatedColumnFormula>chloroform!J7</calculatedColumnFormula>
    </tableColumn>
    <tableColumn id="10" xr3:uid="{98B8F559-A649-4983-8224-F55C307297F5}" name="classification">
      <calculatedColumnFormula>chloroform!F7</calculatedColumnFormula>
    </tableColumn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41CADD4-BC5A-4C62-A1DD-8B2ACB42A230}" name="Table412" displayName="Table412" ref="K1:T70" totalsRowShown="0">
  <autoFilter ref="K1:T70" xr:uid="{1806F2C9-8FD9-4610-A72B-2F8BDF927ED4}"/>
  <tableColumns count="10">
    <tableColumn id="1" xr3:uid="{89A33290-2469-4E8E-BD7B-5BA4CA99D366}" name="Column1">
      <calculatedColumnFormula>chloroform!E7</calculatedColumnFormula>
    </tableColumn>
    <tableColumn id="2" xr3:uid="{94F061F3-AB05-4D67-AA4A-2028D7B5CD10}" name="J1,2" dataDxfId="6">
      <calculatedColumnFormula>Table3[[#This Row],[weight]]*(0.9155*Table2[[#This Row],[J1,2]]-A$9)^2</calculatedColumnFormula>
    </tableColumn>
    <tableColumn id="3" xr3:uid="{2D7C7D69-3E91-4640-AF04-B9CC191C2A07}" name="J2,3" dataDxfId="5">
      <calculatedColumnFormula>Table3[[#This Row],[weight]]*(0.9155*Table2[[#This Row],[J2,3]]-B$9)^2</calculatedColumnFormula>
    </tableColumn>
    <tableColumn id="4" xr3:uid="{A97DBE92-A35B-4666-BF5E-6AEC54E9B882}" name="J34" dataDxfId="4">
      <calculatedColumnFormula>Table3[[#This Row],[weight]]*(0.9155*Table2[[#This Row],[J34]]-C$9)^2</calculatedColumnFormula>
    </tableColumn>
    <tableColumn id="5" xr3:uid="{9A2341B3-24AE-4078-8254-F52F4524C242}" name="J45" dataDxfId="3">
      <calculatedColumnFormula>Table3[[#This Row],[weight]]*(0.9155*Table2[[#This Row],[J45]]-D$9)^2</calculatedColumnFormula>
    </tableColumn>
    <tableColumn id="6" xr3:uid="{5A4E9992-292D-49F5-9013-B8D2F5B01F8A}" name="J56" dataDxfId="2">
      <calculatedColumnFormula>Table3[[#This Row],[weight]]*(0.9155*Table2[[#This Row],[J56]]-E$9)^2</calculatedColumnFormula>
    </tableColumn>
    <tableColumn id="7" xr3:uid="{40297247-3FCF-4DDF-BF44-7D824AE90E7B}" name="J67" dataDxfId="1">
      <calculatedColumnFormula>Table3[[#This Row],[weight]]*(0.9155*Table2[[#This Row],[J67]]-F$9)^2</calculatedColumnFormula>
    </tableColumn>
    <tableColumn id="8" xr3:uid="{046CDBAF-0325-4EAD-AE5F-9E1CD7E09D19}" name="J67'" dataDxfId="0">
      <calculatedColumnFormula>Table3[[#This Row],[weight]]*(0.9155*Table2[[#This Row],[J67'']]-G$9)^2</calculatedColumnFormula>
    </tableColumn>
    <tableColumn id="9" xr3:uid="{C84FDD17-032C-4844-A1EB-FAC55434AC5E}" name="weight">
      <calculatedColumnFormula>chloroform!J7</calculatedColumnFormula>
    </tableColumn>
    <tableColumn id="10" xr3:uid="{39377053-392F-4CFC-B2C6-4E63FCAA601D}" name="classification">
      <calculatedColumnFormula>chloroform!F8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78BB-2BC0-4325-8544-70B963963355}">
  <dimension ref="A1:AA104"/>
  <sheetViews>
    <sheetView topLeftCell="C2" zoomScaleNormal="100" workbookViewId="0">
      <selection activeCell="U18" sqref="U18"/>
    </sheetView>
  </sheetViews>
  <sheetFormatPr defaultRowHeight="15" x14ac:dyDescent="0.25"/>
  <cols>
    <col min="1" max="1" width="16.7109375" customWidth="1"/>
    <col min="2" max="2" width="13.140625" customWidth="1"/>
    <col min="4" max="4" width="20.7109375" customWidth="1"/>
    <col min="5" max="5" width="11.7109375" customWidth="1"/>
    <col min="6" max="6" width="13.7109375" customWidth="1"/>
    <col min="7" max="7" width="10" customWidth="1"/>
    <col min="8" max="8" width="11.140625" bestFit="1" customWidth="1"/>
    <col min="9" max="10" width="9.7109375" bestFit="1" customWidth="1"/>
    <col min="15" max="15" width="24.28515625" customWidth="1"/>
    <col min="24" max="24" width="11" bestFit="1" customWidth="1"/>
  </cols>
  <sheetData>
    <row r="1" spans="1:26" x14ac:dyDescent="0.25">
      <c r="A1" s="1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Z1">
        <v>-1260.02581780845</v>
      </c>
    </row>
    <row r="2" spans="1:26" x14ac:dyDescent="0.25">
      <c r="A2" s="3"/>
      <c r="B2" s="2"/>
      <c r="C2" s="2">
        <v>627.51</v>
      </c>
      <c r="D2" s="2">
        <v>1.9858800000000002E-3</v>
      </c>
      <c r="E2" s="2">
        <v>298.2</v>
      </c>
      <c r="F2">
        <f>SUMIF(Table1[rel G],"&lt;5",Table1[rel Pop])</f>
        <v>8.1393256049816198</v>
      </c>
      <c r="G2">
        <f>SUM(J7:J109)</f>
        <v>0.99999999999999978</v>
      </c>
      <c r="Z2">
        <v>-1260.0259146165699</v>
      </c>
    </row>
    <row r="3" spans="1:26" x14ac:dyDescent="0.25">
      <c r="Z3">
        <v>-1260.0261169744199</v>
      </c>
    </row>
    <row r="4" spans="1:26" x14ac:dyDescent="0.25">
      <c r="Z4">
        <v>-1260.02675840853</v>
      </c>
    </row>
    <row r="5" spans="1:26" x14ac:dyDescent="0.25">
      <c r="Z5">
        <v>-1260.0271541965899</v>
      </c>
    </row>
    <row r="6" spans="1:26" x14ac:dyDescent="0.25">
      <c r="A6" t="s">
        <v>6</v>
      </c>
      <c r="B6" t="s">
        <v>7</v>
      </c>
      <c r="C6" t="s">
        <v>8</v>
      </c>
      <c r="D6" t="s">
        <v>9</v>
      </c>
      <c r="E6" t="s">
        <v>10</v>
      </c>
      <c r="F6" t="s">
        <v>11</v>
      </c>
      <c r="G6" t="s">
        <v>12</v>
      </c>
      <c r="H6" t="s">
        <v>13</v>
      </c>
      <c r="I6" t="s">
        <v>14</v>
      </c>
      <c r="J6" t="s">
        <v>15</v>
      </c>
      <c r="K6" t="s">
        <v>16</v>
      </c>
      <c r="O6" t="s">
        <v>21</v>
      </c>
      <c r="P6" t="s">
        <v>22</v>
      </c>
      <c r="Z6">
        <v>-1260.02414022827</v>
      </c>
    </row>
    <row r="7" spans="1:26" x14ac:dyDescent="0.25">
      <c r="A7">
        <f>Table1[[#This Row],[Gibbs Energy (hartree)]]</f>
        <v>-1260.0295408735899</v>
      </c>
      <c r="B7">
        <f>Table1[[#This Row],[Energy (hartrees)]]*$C$2</f>
        <v>-790681.13719358633</v>
      </c>
      <c r="C7">
        <f>Table1[[#This Row],[Energy (kcal)]]-MIN(Table1[Energy (kcal)])</f>
        <v>1.1036044287029654</v>
      </c>
      <c r="D7">
        <v>-1260.0295408735899</v>
      </c>
      <c r="E7">
        <v>2</v>
      </c>
      <c r="F7" t="s">
        <v>17</v>
      </c>
      <c r="H7" s="10">
        <f>Table1[[#This Row],[Rel E]]</f>
        <v>1.1036044287029654</v>
      </c>
      <c r="I7" s="10">
        <f>IF(Table1[[#This Row],[rel G]]&lt;5,EXP(-H7/(D$2*E$2)),0)</f>
        <v>0.15511315540592477</v>
      </c>
      <c r="J7" s="10">
        <f>IF(Table1[[#This Row],[rel G]]&lt;5,I7/$F$2,0)</f>
        <v>1.9057249081052711E-2</v>
      </c>
      <c r="M7">
        <f>COUNTIF(Table1[Classification],N7)</f>
        <v>17</v>
      </c>
      <c r="N7" t="s">
        <v>17</v>
      </c>
      <c r="O7">
        <f>SUMIF(Table1[Classification],N7,Table1[weight])</f>
        <v>0.77916258284268636</v>
      </c>
      <c r="P7">
        <f>AVERAGEIF(Table1[Classification],N7,Table1[rel G])</f>
        <v>2.021976325660944</v>
      </c>
      <c r="Z7">
        <v>-1260.0266743550501</v>
      </c>
    </row>
    <row r="8" spans="1:26" x14ac:dyDescent="0.25">
      <c r="A8">
        <f>Table1[[#This Row],[Gibbs Energy (hartree)]]</f>
        <v>-1260.0297209294499</v>
      </c>
      <c r="B8">
        <f>Table1[[#This Row],[Energy (hartrees)]]*$C$2</f>
        <v>-790681.25018043909</v>
      </c>
      <c r="C8">
        <f>Table1[[#This Row],[Energy (kcal)]]-MIN(Table1[Energy (kcal)])</f>
        <v>0.99061757593881339</v>
      </c>
      <c r="D8">
        <v>-1260.0297209294499</v>
      </c>
      <c r="E8">
        <v>3</v>
      </c>
      <c r="F8" t="s">
        <v>17</v>
      </c>
      <c r="H8" s="10">
        <f>Table1[[#This Row],[Rel E]]</f>
        <v>0.99061757593881339</v>
      </c>
      <c r="I8" s="10">
        <f>IF(Table1[[#This Row],[rel G]]&lt;5,EXP(-H8/(D$2*E$2)),0)</f>
        <v>0.18771972180465785</v>
      </c>
      <c r="J8" s="10">
        <f>IF(Table1[[#This Row],[rel G]]&lt;5,I8/$F$2,0)</f>
        <v>2.3063301668355084E-2</v>
      </c>
      <c r="M8">
        <f>COUNTIF(Table1[Classification],N8)</f>
        <v>15</v>
      </c>
      <c r="N8" t="s">
        <v>125</v>
      </c>
      <c r="O8">
        <f>SUMIF(Table1[Classification],N8,Table1[weight])</f>
        <v>0.12152207579370763</v>
      </c>
      <c r="P8">
        <f>AVERAGEIF(Table1[Classification],N8,Table1[rel G])</f>
        <v>3.2671442147965233</v>
      </c>
      <c r="Z8">
        <v>-1260.02614573506</v>
      </c>
    </row>
    <row r="9" spans="1:26" x14ac:dyDescent="0.25">
      <c r="A9">
        <f>Table1[[#This Row],[Gibbs Energy (hartree)]]</f>
        <v>-1260.0307901654401</v>
      </c>
      <c r="B9">
        <f>Table1[[#This Row],[Energy (hartrees)]]*$C$2</f>
        <v>-790681.92113671533</v>
      </c>
      <c r="C9">
        <f>Table1[[#This Row],[Energy (kcal)]]-MIN(Table1[Energy (kcal)])</f>
        <v>0.31966129969805479</v>
      </c>
      <c r="D9">
        <v>-1260.0307901654401</v>
      </c>
      <c r="E9">
        <v>4</v>
      </c>
      <c r="F9" t="s">
        <v>17</v>
      </c>
      <c r="H9" s="10">
        <f>Table1[[#This Row],[Rel E]]</f>
        <v>0.31966129969805479</v>
      </c>
      <c r="I9" s="10">
        <f>IF(Table1[[#This Row],[rel G]]&lt;5,EXP(-H9/(D$2*E$2)),0)</f>
        <v>0.58286732063840874</v>
      </c>
      <c r="J9" s="10">
        <f>IF(Table1[[#This Row],[rel G]]&lt;5,I9/$F$2,0)</f>
        <v>7.1611254903191077E-2</v>
      </c>
      <c r="M9">
        <f>COUNTIF(Table1[Classification],N9)</f>
        <v>11</v>
      </c>
      <c r="N9" t="s">
        <v>19</v>
      </c>
      <c r="O9">
        <f>SUMIF(Table1[Classification],N9,Table1[weight])</f>
        <v>7.4052338742941315E-2</v>
      </c>
      <c r="P9">
        <f>AVERAGEIF(Table1[Classification],N9,Table1[rel G])</f>
        <v>3.0663981858894904</v>
      </c>
      <c r="Z9">
        <v>-1260.02532964908</v>
      </c>
    </row>
    <row r="10" spans="1:26" x14ac:dyDescent="0.25">
      <c r="A10">
        <f>Table1[[#This Row],[Gibbs Energy (hartree)]]</f>
        <v>-1260.0310629227499</v>
      </c>
      <c r="B10">
        <f>Table1[[#This Row],[Energy (hartrees)]]*$C$2</f>
        <v>-790682.09229465481</v>
      </c>
      <c r="C10">
        <f>Table1[[#This Row],[Energy (kcal)]]-MIN(Table1[Energy (kcal)])</f>
        <v>0.14850336022209376</v>
      </c>
      <c r="D10">
        <v>-1260.0310629227499</v>
      </c>
      <c r="E10">
        <v>6</v>
      </c>
      <c r="F10" t="s">
        <v>17</v>
      </c>
      <c r="H10" s="10">
        <f>Table1[[#This Row],[Rel E]]</f>
        <v>0.14850336022209376</v>
      </c>
      <c r="I10" s="10">
        <f>IF(Table1[[#This Row],[rel G]]&lt;5,EXP(-H10/(D$2*E$2)),0)</f>
        <v>0.77820131051395824</v>
      </c>
      <c r="J10" s="10">
        <f>IF(Table1[[#This Row],[rel G]]&lt;5,I10/$F$2,0)</f>
        <v>9.561004784446335E-2</v>
      </c>
      <c r="M10">
        <f>COUNTIF(Table1[Classification],N10)</f>
        <v>3</v>
      </c>
      <c r="N10" t="s">
        <v>126</v>
      </c>
      <c r="O10">
        <f>SUMIF(Table1[Classification],N10,Table1[weight])</f>
        <v>1.611712703066704E-2</v>
      </c>
      <c r="P10">
        <f>AVERAGEIF(Table1[Classification],N10,Table1[rel G])</f>
        <v>2.8898370577953756</v>
      </c>
      <c r="Z10">
        <v>-1260.02642086232</v>
      </c>
    </row>
    <row r="11" spans="1:26" x14ac:dyDescent="0.25">
      <c r="A11">
        <f>Table1[[#This Row],[Gibbs Energy (hartree)]]</f>
        <v>-1260.02762273434</v>
      </c>
      <c r="B11">
        <f>Table1[[#This Row],[Energy (hartrees)]]*$C$2</f>
        <v>-790679.93354202562</v>
      </c>
      <c r="C11">
        <f>Table1[[#This Row],[Energy (kcal)]]-MIN(Table1[Energy (kcal)])</f>
        <v>2.3072559894062579</v>
      </c>
      <c r="D11">
        <v>-1260.02762273434</v>
      </c>
      <c r="E11">
        <v>7</v>
      </c>
      <c r="F11" t="s">
        <v>125</v>
      </c>
      <c r="H11" s="10">
        <f>Table1[[#This Row],[Rel E]]</f>
        <v>2.3072559894062579</v>
      </c>
      <c r="I11" s="10">
        <f>IF(Table1[[#This Row],[rel G]]&lt;5,EXP(-H11/(D$2*E$2)),0)</f>
        <v>2.0320089221412659E-2</v>
      </c>
      <c r="J11" s="10">
        <f>IF(Table1[[#This Row],[rel G]]&lt;5,I11/$F$2,0)</f>
        <v>2.4965322936553718E-3</v>
      </c>
      <c r="M11">
        <f>COUNTIF(Table1[Classification],N11)</f>
        <v>12</v>
      </c>
      <c r="N11" t="s">
        <v>20</v>
      </c>
      <c r="O11">
        <f>SUMIF(Table1[Classification],N11,Table1[weight])</f>
        <v>4.7425047093327954E-3</v>
      </c>
      <c r="P11">
        <f>AVERAGEIF(Table1[Classification],N11,Table1[rel G])</f>
        <v>4.0159936921845656</v>
      </c>
      <c r="Z11">
        <v>-1260.01689277942</v>
      </c>
    </row>
    <row r="12" spans="1:26" x14ac:dyDescent="0.25">
      <c r="A12">
        <f>Table1[[#This Row],[Gibbs Energy (hartree)]]</f>
        <v>-1260.0305274356999</v>
      </c>
      <c r="B12">
        <f>Table1[[#This Row],[Energy (hartrees)]]*$C$2</f>
        <v>-790681.75627117604</v>
      </c>
      <c r="C12">
        <f>Table1[[#This Row],[Energy (kcal)]]-MIN(Table1[Energy (kcal)])</f>
        <v>0.48452683899085969</v>
      </c>
      <c r="D12">
        <v>-1260.0305274356999</v>
      </c>
      <c r="E12">
        <v>8</v>
      </c>
      <c r="F12" t="s">
        <v>17</v>
      </c>
      <c r="H12" s="10">
        <f>Table1[[#This Row],[Rel E]]</f>
        <v>0.48452683899085969</v>
      </c>
      <c r="I12" s="10">
        <f>IF(Table1[[#This Row],[rel G]]&lt;5,EXP(-H12/(D$2*E$2)),0)</f>
        <v>0.44122703878404057</v>
      </c>
      <c r="J12" s="10">
        <f>IF(Table1[[#This Row],[rel G]]&lt;5,I12/$F$2,0)</f>
        <v>5.4209287132338149E-2</v>
      </c>
      <c r="M12">
        <f>COUNTIF(Table1[Classification],N12)</f>
        <v>6</v>
      </c>
      <c r="N12" t="s">
        <v>18</v>
      </c>
      <c r="O12">
        <f>SUMIF(Table1[Classification],N12,Table1[weight])</f>
        <v>4.3268276469207246E-3</v>
      </c>
      <c r="P12">
        <f>AVERAGEIF(Table1[Classification],N12,Table1[rel G])</f>
        <v>3.9444860991012924</v>
      </c>
      <c r="Z12">
        <v>-1260.0233344199301</v>
      </c>
    </row>
    <row r="13" spans="1:26" x14ac:dyDescent="0.25">
      <c r="A13">
        <f>Table1[[#This Row],[Gibbs Energy (hartree)]]</f>
        <v>-1260.0304030278201</v>
      </c>
      <c r="B13">
        <f>Table1[[#This Row],[Energy (hartrees)]]*$C$2</f>
        <v>-790681.67820398731</v>
      </c>
      <c r="C13">
        <f>Table1[[#This Row],[Energy (kcal)]]-MIN(Table1[Energy (kcal)])</f>
        <v>0.56259402772411704</v>
      </c>
      <c r="D13">
        <v>-1260.0304030278201</v>
      </c>
      <c r="E13">
        <v>9</v>
      </c>
      <c r="F13" t="s">
        <v>17</v>
      </c>
      <c r="H13" s="10">
        <f>Table1[[#This Row],[Rel E]]</f>
        <v>0.56259402772411704</v>
      </c>
      <c r="I13" s="10">
        <f>IF(Table1[[#This Row],[rel G]]&lt;5,EXP(-H13/(D$2*E$2)),0)</f>
        <v>0.38673182669264494</v>
      </c>
      <c r="J13" s="10">
        <f>IF(Table1[[#This Row],[rel G]]&lt;5,I13/$F$2,0)</f>
        <v>4.7513988929985589E-2</v>
      </c>
      <c r="M13">
        <f>COUNTIF(Table1[Classification],N13)</f>
        <v>4</v>
      </c>
      <c r="N13" t="s">
        <v>127</v>
      </c>
      <c r="O13">
        <f>SUMIF(Table1[Classification],N13,Table1[weight])</f>
        <v>7.6543233743887095E-5</v>
      </c>
      <c r="P13">
        <f>AVERAGEIF(Table1[Classification],N13,Table1[rel G])</f>
        <v>5.1131655644276179</v>
      </c>
      <c r="Z13">
        <v>-1260.0267438800799</v>
      </c>
    </row>
    <row r="14" spans="1:26" x14ac:dyDescent="0.25">
      <c r="A14">
        <f>Table1[[#This Row],[Gibbs Energy (hartree)]]</f>
        <v>-1260.02015012125</v>
      </c>
      <c r="B14">
        <f>Table1[[#This Row],[Energy (hartrees)]]*$C$2</f>
        <v>-790675.24440258555</v>
      </c>
      <c r="C14">
        <f>Table1[[#This Row],[Energy (kcal)]]-MIN(Table1[Energy (kcal)])</f>
        <v>6.9963954294798896</v>
      </c>
      <c r="D14">
        <v>-1260.02015012125</v>
      </c>
      <c r="E14">
        <v>14</v>
      </c>
      <c r="F14" t="s">
        <v>125</v>
      </c>
      <c r="H14" s="10">
        <f>Table1[[#This Row],[Rel E]]</f>
        <v>6.9963954294798896</v>
      </c>
      <c r="I14" s="10">
        <f>IF(Table1[[#This Row],[rel G]]&lt;5,EXP(-H14/(D$2*E$2)),0)</f>
        <v>0</v>
      </c>
      <c r="J14" s="10">
        <f>IF(Table1[[#This Row],[rel G]]&lt;5,I14/$F$2,0)</f>
        <v>0</v>
      </c>
      <c r="O14">
        <f>SUM(O7:O13)</f>
        <v>0.99999999999999978</v>
      </c>
      <c r="Z14">
        <v>-1260.0196300456701</v>
      </c>
    </row>
    <row r="15" spans="1:26" x14ac:dyDescent="0.25">
      <c r="A15">
        <f>Table1[[#This Row],[Gibbs Energy (hartree)]]</f>
        <v>-1260.02916950238</v>
      </c>
      <c r="B15">
        <f>Table1[[#This Row],[Energy (hartrees)]]*$C$2</f>
        <v>-790680.90415443841</v>
      </c>
      <c r="C15">
        <f>Table1[[#This Row],[Energy (kcal)]]-MIN(Table1[Energy (kcal)])</f>
        <v>1.3366435766220093</v>
      </c>
      <c r="D15">
        <v>-1260.02916950238</v>
      </c>
      <c r="E15">
        <v>15</v>
      </c>
      <c r="F15" t="s">
        <v>125</v>
      </c>
      <c r="H15" s="10">
        <f>Table1[[#This Row],[Rel E]]</f>
        <v>1.3366435766220093</v>
      </c>
      <c r="I15" s="10">
        <f>IF(Table1[[#This Row],[rel G]]&lt;5,EXP(-H15/(D$2*E$2)),0)</f>
        <v>0.10465127025961923</v>
      </c>
      <c r="J15" s="10">
        <f>IF(Table1[[#This Row],[rel G]]&lt;5,I15/$F$2,0)</f>
        <v>1.2857486644294968E-2</v>
      </c>
      <c r="Z15">
        <v>-1260.02186508768</v>
      </c>
    </row>
    <row r="16" spans="1:26" x14ac:dyDescent="0.25">
      <c r="A16">
        <f>Table1[[#This Row],[Gibbs Energy (hartree)]]</f>
        <v>-1260.03108340175</v>
      </c>
      <c r="B16">
        <f>Table1[[#This Row],[Energy (hartrees)]]*$C$2</f>
        <v>-790682.10514543217</v>
      </c>
      <c r="C16">
        <f>Table1[[#This Row],[Energy (kcal)]]-MIN(Table1[Energy (kcal)])</f>
        <v>0.13565258285962045</v>
      </c>
      <c r="D16">
        <v>-1260.03108340175</v>
      </c>
      <c r="E16">
        <v>16</v>
      </c>
      <c r="F16" t="s">
        <v>17</v>
      </c>
      <c r="H16" s="10">
        <f>Table1[[#This Row],[Rel E]]</f>
        <v>0.13565258285962045</v>
      </c>
      <c r="I16" s="10">
        <f>IF(Table1[[#This Row],[rel G]]&lt;5,EXP(-H16/(D$2*E$2)),0)</f>
        <v>0.79527319370977745</v>
      </c>
      <c r="J16" s="10">
        <f>IF(Table1[[#This Row],[rel G]]&lt;5,I16/$F$2,0)</f>
        <v>9.7707504565616082E-2</v>
      </c>
      <c r="Z16">
        <v>-1260.0241615009299</v>
      </c>
    </row>
    <row r="17" spans="1:27" x14ac:dyDescent="0.25">
      <c r="A17">
        <f>Table1[[#This Row],[Gibbs Energy (hartree)]]</f>
        <v>-1260.0302630122801</v>
      </c>
      <c r="B17">
        <f>Table1[[#This Row],[Energy (hartrees)]]*$C$2</f>
        <v>-790681.59034283587</v>
      </c>
      <c r="C17">
        <f>Table1[[#This Row],[Energy (kcal)]]-MIN(Table1[Energy (kcal)])</f>
        <v>0.65045517915859818</v>
      </c>
      <c r="D17">
        <v>-1260.0302630122801</v>
      </c>
      <c r="E17">
        <v>17</v>
      </c>
      <c r="F17" t="s">
        <v>125</v>
      </c>
      <c r="H17" s="10">
        <f>Table1[[#This Row],[Rel E]]</f>
        <v>0.65045517915859818</v>
      </c>
      <c r="I17" s="10">
        <f>IF(Table1[[#This Row],[rel G]]&lt;5,EXP(-H17/(D$2*E$2)),0)</f>
        <v>0.33340729900021865</v>
      </c>
      <c r="J17" s="10">
        <f>IF(Table1[[#This Row],[rel G]]&lt;5,I17/$F$2,0)</f>
        <v>4.0962521366163178E-2</v>
      </c>
      <c r="O17">
        <f>SUM(O7:O9)</f>
        <v>0.97473699737933539</v>
      </c>
      <c r="Z17">
        <v>-1260.02648803533</v>
      </c>
    </row>
    <row r="18" spans="1:27" x14ac:dyDescent="0.25">
      <c r="A18">
        <f>Table1[[#This Row],[Gibbs Energy (hartree)]]</f>
        <v>-1260.0276089919</v>
      </c>
      <c r="B18">
        <f>Table1[[#This Row],[Energy (hartrees)]]*$C$2</f>
        <v>-790679.92491850723</v>
      </c>
      <c r="C18">
        <f>Table1[[#This Row],[Energy (kcal)]]-MIN(Table1[Energy (kcal)])</f>
        <v>2.3158795078052208</v>
      </c>
      <c r="D18">
        <v>-1260.0276089919</v>
      </c>
      <c r="E18">
        <v>19</v>
      </c>
      <c r="F18" t="s">
        <v>18</v>
      </c>
      <c r="H18" s="10">
        <f>Table1[[#This Row],[Rel E]]</f>
        <v>2.3158795078052208</v>
      </c>
      <c r="I18" s="10">
        <f>IF(Table1[[#This Row],[rel G]]&lt;5,EXP(-H18/(D$2*E$2)),0)</f>
        <v>2.0026330220653588E-2</v>
      </c>
      <c r="J18" s="10">
        <f>IF(Table1[[#This Row],[rel G]]&lt;5,I18/$F$2,0)</f>
        <v>2.4604409741756255E-3</v>
      </c>
      <c r="Z18">
        <v>-1260.0221767632099</v>
      </c>
    </row>
    <row r="19" spans="1:27" x14ac:dyDescent="0.25">
      <c r="A19">
        <f>Table1[[#This Row],[Gibbs Energy (hartree)]]</f>
        <v>-1260.0310119127</v>
      </c>
      <c r="B19">
        <f>Table1[[#This Row],[Energy (hartrees)]]*$C$2</f>
        <v>-790682.06028533843</v>
      </c>
      <c r="C19">
        <f>Table1[[#This Row],[Energy (kcal)]]-MIN(Table1[Energy (kcal)])</f>
        <v>0.18051267659757286</v>
      </c>
      <c r="D19">
        <v>-1260.0310119127</v>
      </c>
      <c r="E19">
        <v>20</v>
      </c>
      <c r="F19" t="s">
        <v>17</v>
      </c>
      <c r="H19" s="10">
        <f>Table1[[#This Row],[Rel E]]</f>
        <v>0.18051267659757286</v>
      </c>
      <c r="I19" s="10">
        <f>IF(Table1[[#This Row],[rel G]]&lt;5,EXP(-H19/(D$2*E$2)),0)</f>
        <v>0.7372542025719887</v>
      </c>
      <c r="J19" s="10">
        <f>IF(Table1[[#This Row],[rel G]]&lt;5,I19/$F$2,0)</f>
        <v>9.0579273806266847E-2</v>
      </c>
      <c r="Z19">
        <v>-1260.0218439801099</v>
      </c>
    </row>
    <row r="20" spans="1:27" x14ac:dyDescent="0.25">
      <c r="A20">
        <f>Table1[[#This Row],[Gibbs Energy (hartree)]]</f>
        <v>-1260.02315725463</v>
      </c>
      <c r="B20">
        <f>Table1[[#This Row],[Energy (hartrees)]]*$C$2</f>
        <v>-790677.13140885287</v>
      </c>
      <c r="C20">
        <f>Table1[[#This Row],[Energy (kcal)]]-MIN(Table1[Energy (kcal)])</f>
        <v>5.1093891621567309</v>
      </c>
      <c r="D20">
        <v>-1260.02315725463</v>
      </c>
      <c r="E20">
        <v>21</v>
      </c>
      <c r="F20" t="s">
        <v>127</v>
      </c>
      <c r="H20" s="10">
        <f>Table1[[#This Row],[Rel E]]</f>
        <v>5.1093891621567309</v>
      </c>
      <c r="I20" s="10">
        <f>IF(Table1[[#This Row],[rel G]]&lt;5,EXP(-H20/(D$2*E$2)),0)</f>
        <v>0</v>
      </c>
      <c r="J20" s="10">
        <f>IF(Table1[[#This Row],[rel G]]&lt;5,I20/$F$2,0)</f>
        <v>0</v>
      </c>
      <c r="Z20">
        <v>-1260.02578853671</v>
      </c>
    </row>
    <row r="21" spans="1:27" x14ac:dyDescent="0.25">
      <c r="A21">
        <f>Table1[[#This Row],[Gibbs Energy (hartree)]]</f>
        <v>-1260.02536016675</v>
      </c>
      <c r="B21">
        <f>Table1[[#This Row],[Energy (hartrees)]]*$C$2</f>
        <v>-790678.51375823736</v>
      </c>
      <c r="C21">
        <f>Table1[[#This Row],[Energy (kcal)]]-MIN(Table1[Energy (kcal)])</f>
        <v>3.7270397776737809</v>
      </c>
      <c r="D21">
        <v>-1260.02536016675</v>
      </c>
      <c r="E21">
        <v>22</v>
      </c>
      <c r="F21" t="s">
        <v>125</v>
      </c>
      <c r="H21" s="10">
        <f>Table1[[#This Row],[Rel E]]</f>
        <v>3.7270397776737809</v>
      </c>
      <c r="I21" s="10">
        <f>IF(Table1[[#This Row],[rel G]]&lt;5,EXP(-H21/(D$2*E$2)),0)</f>
        <v>1.8479810067163931E-3</v>
      </c>
      <c r="J21" s="10">
        <f>IF(Table1[[#This Row],[rel G]]&lt;5,I21/$F$2,0)</f>
        <v>2.2704350414306422E-4</v>
      </c>
      <c r="Z21">
        <v>-1260.02662407966</v>
      </c>
    </row>
    <row r="22" spans="1:27" x14ac:dyDescent="0.25">
      <c r="A22">
        <f>Table1[[#This Row],[Gibbs Energy (hartree)]]</f>
        <v>-1260.0225844276499</v>
      </c>
      <c r="B22">
        <f>Table1[[#This Row],[Energy (hartrees)]]*$C$2</f>
        <v>-790676.77195419464</v>
      </c>
      <c r="C22">
        <f>Table1[[#This Row],[Energy (kcal)]]-MIN(Table1[Energy (kcal)])</f>
        <v>5.4688438203884289</v>
      </c>
      <c r="D22">
        <v>-1260.0225844276499</v>
      </c>
      <c r="E22">
        <v>23</v>
      </c>
      <c r="F22" t="s">
        <v>127</v>
      </c>
      <c r="H22" s="10">
        <f>Table1[[#This Row],[Rel E]]</f>
        <v>5.4688438203884289</v>
      </c>
      <c r="I22" s="10">
        <f>IF(Table1[[#This Row],[rel G]]&lt;5,EXP(-H22/(D$2*E$2)),0)</f>
        <v>0</v>
      </c>
      <c r="J22" s="10">
        <f>IF(Table1[[#This Row],[rel G]]&lt;5,I22/$F$2,0)</f>
        <v>0</v>
      </c>
      <c r="V22" t="s">
        <v>96</v>
      </c>
      <c r="W22" t="s">
        <v>97</v>
      </c>
      <c r="Z22">
        <v>-1260.0225180753</v>
      </c>
    </row>
    <row r="23" spans="1:27" x14ac:dyDescent="0.25">
      <c r="A23">
        <f>Table1[[#This Row],[Gibbs Energy (hartree)]]</f>
        <v>-1260.0254501541201</v>
      </c>
      <c r="B23">
        <f>Table1[[#This Row],[Energy (hartrees)]]*$C$2</f>
        <v>-790678.57022621192</v>
      </c>
      <c r="C23">
        <f>Table1[[#This Row],[Energy (kcal)]]-MIN(Table1[Energy (kcal)])</f>
        <v>3.6705718031153083</v>
      </c>
      <c r="D23">
        <v>-1260.0254501541201</v>
      </c>
      <c r="E23">
        <v>24</v>
      </c>
      <c r="F23" t="s">
        <v>125</v>
      </c>
      <c r="H23" s="10">
        <f>Table1[[#This Row],[Rel E]]</f>
        <v>3.6705718031153083</v>
      </c>
      <c r="I23" s="10">
        <f>IF(Table1[[#This Row],[rel G]]&lt;5,EXP(-H23/(D$2*E$2)),0)</f>
        <v>2.0328693703837702E-3</v>
      </c>
      <c r="J23" s="10">
        <f>IF(Table1[[#This Row],[rel G]]&lt;5,I23/$F$2,0)</f>
        <v>2.497589442962653E-4</v>
      </c>
      <c r="V23">
        <v>1</v>
      </c>
      <c r="W23">
        <v>-790678.89914107695</v>
      </c>
      <c r="X23">
        <v>1</v>
      </c>
      <c r="Z23">
        <v>-1260.0261358057401</v>
      </c>
    </row>
    <row r="24" spans="1:27" x14ac:dyDescent="0.25">
      <c r="A24">
        <f>Table1[[#This Row],[Gibbs Energy (hartree)]]</f>
        <v>-1260.0280155312901</v>
      </c>
      <c r="B24">
        <f>Table1[[#This Row],[Energy (hartrees)]]*$C$2</f>
        <v>-790680.18002603983</v>
      </c>
      <c r="C24">
        <f>Table1[[#This Row],[Energy (kcal)]]-MIN(Table1[Energy (kcal)])</f>
        <v>2.0607719752006233</v>
      </c>
      <c r="D24">
        <v>-1260.0280155312901</v>
      </c>
      <c r="E24">
        <v>26</v>
      </c>
      <c r="F24" t="s">
        <v>125</v>
      </c>
      <c r="H24" s="10">
        <f>Table1[[#This Row],[Rel E]]</f>
        <v>2.0607719752006233</v>
      </c>
      <c r="I24" s="10">
        <f>IF(Table1[[#This Row],[rel G]]&lt;5,EXP(-H24/(D$2*E$2)),0)</f>
        <v>3.0809866220234954E-2</v>
      </c>
      <c r="J24" s="10">
        <f>IF(Table1[[#This Row],[rel G]]&lt;5,I24/$F$2,0)</f>
        <v>3.7853094611890181E-3</v>
      </c>
      <c r="V24">
        <v>3</v>
      </c>
      <c r="W24">
        <v>-790680.15349804505</v>
      </c>
      <c r="X24">
        <v>4</v>
      </c>
      <c r="Z24">
        <v>-1260.0236023153</v>
      </c>
    </row>
    <row r="25" spans="1:27" x14ac:dyDescent="0.25">
      <c r="A25">
        <f>Table1[[#This Row],[Gibbs Energy (hartree)]]</f>
        <v>-1260.0308620324899</v>
      </c>
      <c r="B25">
        <f>Table1[[#This Row],[Energy (hartrees)]]*$C$2</f>
        <v>-790681.96623400773</v>
      </c>
      <c r="C25">
        <f>Table1[[#This Row],[Energy (kcal)]]-MIN(Table1[Energy (kcal)])</f>
        <v>0.27456400729715824</v>
      </c>
      <c r="D25">
        <v>-1260.0308620324899</v>
      </c>
      <c r="E25">
        <v>27</v>
      </c>
      <c r="F25" t="s">
        <v>17</v>
      </c>
      <c r="H25" s="10">
        <f>Table1[[#This Row],[Rel E]]</f>
        <v>0.27456400729715824</v>
      </c>
      <c r="I25" s="10">
        <f>IF(Table1[[#This Row],[rel G]]&lt;5,EXP(-H25/(D$2*E$2)),0)</f>
        <v>0.62898856244632539</v>
      </c>
      <c r="J25" s="10">
        <f>IF(Table1[[#This Row],[rel G]]&lt;5,I25/$F$2,0)</f>
        <v>7.7277724589535662E-2</v>
      </c>
      <c r="V25">
        <v>6</v>
      </c>
      <c r="W25">
        <v>-790678.842351428</v>
      </c>
      <c r="X25">
        <v>9</v>
      </c>
    </row>
    <row r="26" spans="1:27" x14ac:dyDescent="0.25">
      <c r="A26">
        <f>Table1[[#This Row],[Gibbs Energy (hartree)]]</f>
        <v>-1260.0262403828001</v>
      </c>
      <c r="B26">
        <f>Table1[[#This Row],[Energy (hartrees)]]*$C$2</f>
        <v>-790679.0661026109</v>
      </c>
      <c r="C26">
        <f>Table1[[#This Row],[Energy (kcal)]]-MIN(Table1[Energy (kcal)])</f>
        <v>3.1746954041300341</v>
      </c>
      <c r="D26">
        <v>-1260.0262403828001</v>
      </c>
      <c r="E26">
        <v>30</v>
      </c>
      <c r="F26" t="s">
        <v>18</v>
      </c>
      <c r="H26" s="10">
        <f>Table1[[#This Row],[Rel E]]</f>
        <v>3.1746954041300341</v>
      </c>
      <c r="I26" s="10">
        <f>IF(Table1[[#This Row],[rel G]]&lt;5,EXP(-H26/(D$2*E$2)),0)</f>
        <v>4.6964617624150164E-3</v>
      </c>
      <c r="J26" s="10">
        <f>IF(Table1[[#This Row],[rel G]]&lt;5,I26/$F$2,0)</f>
        <v>5.7700870936292046E-4</v>
      </c>
      <c r="V26">
        <v>7</v>
      </c>
      <c r="W26">
        <v>-790677.34666576295</v>
      </c>
      <c r="X26">
        <v>14</v>
      </c>
    </row>
    <row r="27" spans="1:27" x14ac:dyDescent="0.25">
      <c r="A27">
        <f>Table1[[#This Row],[Gibbs Energy (hartree)]]</f>
        <v>-1260.0267298536401</v>
      </c>
      <c r="B27">
        <f>Table1[[#This Row],[Energy (hartrees)]]*$C$2</f>
        <v>-790679.37325045769</v>
      </c>
      <c r="C27">
        <f>Table1[[#This Row],[Energy (kcal)]]-MIN(Table1[Energy (kcal)])</f>
        <v>2.8675475573400036</v>
      </c>
      <c r="D27">
        <v>-1260.0267298536401</v>
      </c>
      <c r="E27">
        <v>33</v>
      </c>
      <c r="F27" t="s">
        <v>125</v>
      </c>
      <c r="H27" s="10">
        <f>Table1[[#This Row],[Rel E]]</f>
        <v>2.8675475573400036</v>
      </c>
      <c r="I27" s="10">
        <f>IF(Table1[[#This Row],[rel G]]&lt;5,EXP(-H27/(D$2*E$2)),0)</f>
        <v>7.8890386178209291E-3</v>
      </c>
      <c r="J27" s="10">
        <f>IF(Table1[[#This Row],[rel G]]&lt;5,I27/$F$2,0)</f>
        <v>9.6924966522932761E-4</v>
      </c>
      <c r="V27">
        <v>8</v>
      </c>
      <c r="W27">
        <v>-790679.07558346202</v>
      </c>
      <c r="X27">
        <v>20</v>
      </c>
      <c r="Z27">
        <v>2</v>
      </c>
      <c r="AA27">
        <v>-1260.0295408735899</v>
      </c>
    </row>
    <row r="28" spans="1:27" x14ac:dyDescent="0.25">
      <c r="A28">
        <f>Table1[[#This Row],[Gibbs Energy (hartree)]]</f>
        <v>-1260.0259999866801</v>
      </c>
      <c r="B28">
        <f>Table1[[#This Row],[Energy (hartrees)]]*$C$2</f>
        <v>-790678.91525164165</v>
      </c>
      <c r="C28">
        <f>Table1[[#This Row],[Energy (kcal)]]-MIN(Table1[Energy (kcal)])</f>
        <v>3.3255463733803481</v>
      </c>
      <c r="D28">
        <v>-1260.0259999866801</v>
      </c>
      <c r="E28">
        <v>34</v>
      </c>
      <c r="F28" t="s">
        <v>18</v>
      </c>
      <c r="H28" s="10">
        <f>Table1[[#This Row],[Rel E]]</f>
        <v>3.3255463733803481</v>
      </c>
      <c r="I28" s="10">
        <f>IF(Table1[[#This Row],[rel G]]&lt;5,EXP(-H28/(D$2*E$2)),0)</f>
        <v>3.6403327303922784E-3</v>
      </c>
      <c r="J28" s="10">
        <f>IF(Table1[[#This Row],[rel G]]&lt;5,I28/$F$2,0)</f>
        <v>4.4725237778474384E-4</v>
      </c>
      <c r="V28">
        <v>9</v>
      </c>
      <c r="W28">
        <v>-790680.00378859497</v>
      </c>
      <c r="X28">
        <v>21</v>
      </c>
      <c r="Z28">
        <v>3</v>
      </c>
      <c r="AA28">
        <v>-1260.0297209294499</v>
      </c>
    </row>
    <row r="29" spans="1:27" x14ac:dyDescent="0.25">
      <c r="A29">
        <f>Table1[[#This Row],[Gibbs Energy (hartree)]]</f>
        <v>-1260.0299045363399</v>
      </c>
      <c r="B29">
        <f>Table1[[#This Row],[Energy (hartrees)]]*$C$2</f>
        <v>-790681.3653955987</v>
      </c>
      <c r="C29">
        <f>Table1[[#This Row],[Energy (kcal)]]-MIN(Table1[Energy (kcal)])</f>
        <v>0.87540241633541882</v>
      </c>
      <c r="D29">
        <v>-1260.0299045363399</v>
      </c>
      <c r="E29">
        <v>38</v>
      </c>
      <c r="F29" t="s">
        <v>125</v>
      </c>
      <c r="H29" s="10">
        <f>Table1[[#This Row],[Rel E]]</f>
        <v>0.87540241633541882</v>
      </c>
      <c r="I29" s="10">
        <f>IF(Table1[[#This Row],[rel G]]&lt;5,EXP(-H29/(D$2*E$2)),0)</f>
        <v>0.22803701455814948</v>
      </c>
      <c r="J29" s="10">
        <f>IF(Table1[[#This Row],[rel G]]&lt;5,I29/$F$2,0)</f>
        <v>2.8016696422438359E-2</v>
      </c>
      <c r="V29">
        <v>10</v>
      </c>
      <c r="W29">
        <v>-790676.97722792695</v>
      </c>
      <c r="X29">
        <v>25</v>
      </c>
      <c r="Z29">
        <v>4</v>
      </c>
      <c r="AA29">
        <v>-1260.0307901654401</v>
      </c>
    </row>
    <row r="30" spans="1:27" x14ac:dyDescent="0.25">
      <c r="A30">
        <f>Table1[[#This Row],[Gibbs Energy (hartree)]]</f>
        <v>-1260.0312995777199</v>
      </c>
      <c r="B30">
        <f>Table1[[#This Row],[Energy (hartrees)]]*$C$2</f>
        <v>-790682.24079801503</v>
      </c>
      <c r="C30">
        <f>Table1[[#This Row],[Energy (kcal)]]-MIN(Table1[Energy (kcal)])</f>
        <v>0</v>
      </c>
      <c r="D30">
        <v>-1260.0312995777199</v>
      </c>
      <c r="E30">
        <v>39</v>
      </c>
      <c r="F30" t="s">
        <v>17</v>
      </c>
      <c r="H30" s="10">
        <f>Table1[[#This Row],[Rel E]]</f>
        <v>0</v>
      </c>
      <c r="I30" s="10">
        <f>IF(Table1[[#This Row],[rel G]]&lt;5,EXP(-H30/(D$2*E$2)),0)</f>
        <v>1</v>
      </c>
      <c r="J30" s="10">
        <f>IF(Table1[[#This Row],[rel G]]&lt;5,I30/$F$2,0)</f>
        <v>0.12286030176602797</v>
      </c>
      <c r="V30">
        <v>11</v>
      </c>
      <c r="W30">
        <v>-790676.37638384802</v>
      </c>
      <c r="X30">
        <v>27</v>
      </c>
      <c r="Z30">
        <v>6</v>
      </c>
      <c r="AA30">
        <v>-1260.0310629227499</v>
      </c>
    </row>
    <row r="31" spans="1:27" x14ac:dyDescent="0.25">
      <c r="A31">
        <f>Table1[[#This Row],[Gibbs Energy (hartree)]]</f>
        <v>-1260.0308592051299</v>
      </c>
      <c r="B31">
        <f>Table1[[#This Row],[Energy (hartrees)]]*$C$2</f>
        <v>-790681.9644598111</v>
      </c>
      <c r="C31">
        <f>Table1[[#This Row],[Energy (kcal)]]-MIN(Table1[Energy (kcal)])</f>
        <v>0.27633820392657071</v>
      </c>
      <c r="D31">
        <v>-1260.0308592051299</v>
      </c>
      <c r="E31">
        <v>41</v>
      </c>
      <c r="F31" t="s">
        <v>17</v>
      </c>
      <c r="H31" s="10">
        <f>Table1[[#This Row],[Rel E]]</f>
        <v>0.27633820392657071</v>
      </c>
      <c r="I31" s="10">
        <f>IF(Table1[[#This Row],[rel G]]&lt;5,EXP(-H31/(D$2*E$2)),0)</f>
        <v>0.62710693583151822</v>
      </c>
      <c r="J31" s="10">
        <f>IF(Table1[[#This Row],[rel G]]&lt;5,I31/$F$2,0)</f>
        <v>7.7046547375829472E-2</v>
      </c>
      <c r="V31">
        <v>12</v>
      </c>
      <c r="W31">
        <v>-790678.84117616597</v>
      </c>
      <c r="X31">
        <v>29</v>
      </c>
      <c r="Z31">
        <v>7</v>
      </c>
      <c r="AA31">
        <v>-1260.02762273434</v>
      </c>
    </row>
    <row r="32" spans="1:27" x14ac:dyDescent="0.25">
      <c r="A32">
        <f>Table1[[#This Row],[Gibbs Energy (hartree)]]</f>
        <v>-1260.02211030374</v>
      </c>
      <c r="B32">
        <f>Table1[[#This Row],[Energy (hartrees)]]*$C$2</f>
        <v>-790676.47443669988</v>
      </c>
      <c r="C32">
        <f>Table1[[#This Row],[Energy (kcal)]]-MIN(Table1[Energy (kcal)])</f>
        <v>5.7663613151526079</v>
      </c>
      <c r="D32">
        <v>-1260.02211030374</v>
      </c>
      <c r="E32">
        <v>45</v>
      </c>
      <c r="F32" t="s">
        <v>125</v>
      </c>
      <c r="H32" s="10">
        <f>Table1[[#This Row],[Rel E]]</f>
        <v>5.7663613151526079</v>
      </c>
      <c r="I32" s="10">
        <f>IF(Table1[[#This Row],[rel G]]&lt;5,EXP(-H32/(D$2*E$2)),0)</f>
        <v>0</v>
      </c>
      <c r="J32" s="10">
        <f>IF(Table1[[#This Row],[rel G]]&lt;5,I32/$F$2,0)</f>
        <v>0</v>
      </c>
      <c r="V32">
        <v>13</v>
      </c>
      <c r="W32">
        <v>-790678.78000602301</v>
      </c>
      <c r="X32">
        <v>30</v>
      </c>
      <c r="Z32">
        <v>8</v>
      </c>
      <c r="AA32">
        <v>-1260.0305274356999</v>
      </c>
    </row>
    <row r="33" spans="1:27" x14ac:dyDescent="0.25">
      <c r="A33">
        <f>Table1[[#This Row],[Gibbs Energy (hartree)]]</f>
        <v>-1260.02916622256</v>
      </c>
      <c r="B33">
        <f>Table1[[#This Row],[Energy (hartrees)]]*$C$2</f>
        <v>-790680.90209631855</v>
      </c>
      <c r="C33">
        <f>Table1[[#This Row],[Energy (kcal)]]-MIN(Table1[Energy (kcal)])</f>
        <v>1.3387016964843497</v>
      </c>
      <c r="D33">
        <v>-1260.02916622256</v>
      </c>
      <c r="E33">
        <v>48</v>
      </c>
      <c r="F33" t="s">
        <v>126</v>
      </c>
      <c r="H33" s="10">
        <f>Table1[[#This Row],[Rel E]]</f>
        <v>1.3387016964843497</v>
      </c>
      <c r="I33" s="10">
        <f>IF(Table1[[#This Row],[rel G]]&lt;5,EXP(-H33/(D$2*E$2)),0)</f>
        <v>0.10428819215221302</v>
      </c>
      <c r="J33" s="10">
        <f>IF(Table1[[#This Row],[rel G]]&lt;5,I33/$F$2,0)</f>
        <v>1.2812878758454401E-2</v>
      </c>
      <c r="V33">
        <v>14</v>
      </c>
      <c r="W33">
        <v>-790677.20662513503</v>
      </c>
      <c r="X33">
        <v>32</v>
      </c>
      <c r="Z33">
        <v>9</v>
      </c>
      <c r="AA33">
        <v>-1260.0304030278201</v>
      </c>
    </row>
    <row r="34" spans="1:27" x14ac:dyDescent="0.25">
      <c r="A34">
        <f>Table1[[#This Row],[Gibbs Energy (hartree)]]</f>
        <v>-1260.0265971741101</v>
      </c>
      <c r="B34">
        <f>Table1[[#This Row],[Energy (hartrees)]]*$C$2</f>
        <v>-790679.28999272583</v>
      </c>
      <c r="C34">
        <f>Table1[[#This Row],[Energy (kcal)]]-MIN(Table1[Energy (kcal)])</f>
        <v>2.9508052892051637</v>
      </c>
      <c r="D34">
        <v>-1260.0265971741101</v>
      </c>
      <c r="E34">
        <v>57</v>
      </c>
      <c r="F34" t="s">
        <v>18</v>
      </c>
      <c r="H34" s="10">
        <f>Table1[[#This Row],[Rel E]]</f>
        <v>2.9508052892051637</v>
      </c>
      <c r="I34" s="10">
        <f>IF(Table1[[#This Row],[rel G]]&lt;5,EXP(-H34/(D$2*E$2)),0)</f>
        <v>6.8543343414633386E-3</v>
      </c>
      <c r="J34" s="10">
        <f>IF(Table1[[#This Row],[rel G]]&lt;5,I34/$F$2,0)</f>
        <v>8.4212558559743436E-4</v>
      </c>
      <c r="V34">
        <v>15</v>
      </c>
      <c r="W34">
        <v>-790675.92308782204</v>
      </c>
      <c r="X34">
        <v>35</v>
      </c>
      <c r="Z34">
        <v>14</v>
      </c>
      <c r="AA34">
        <v>-1260.02015012125</v>
      </c>
    </row>
    <row r="35" spans="1:27" x14ac:dyDescent="0.25">
      <c r="A35">
        <f>Table1[[#This Row],[Gibbs Energy (hartree)]]</f>
        <v>-1260.0239886767099</v>
      </c>
      <c r="B35">
        <f>Table1[[#This Row],[Energy (hartrees)]]*$C$2</f>
        <v>-790677.65313452226</v>
      </c>
      <c r="C35">
        <f>Table1[[#This Row],[Energy (kcal)]]-MIN(Table1[Energy (kcal)])</f>
        <v>4.5876634927699342</v>
      </c>
      <c r="D35">
        <v>-1260.0239886767099</v>
      </c>
      <c r="E35">
        <v>59</v>
      </c>
      <c r="F35" t="s">
        <v>125</v>
      </c>
      <c r="H35" s="10">
        <f>Table1[[#This Row],[Rel E]]</f>
        <v>4.5876634927699342</v>
      </c>
      <c r="I35" s="10">
        <f>IF(Table1[[#This Row],[rel G]]&lt;5,EXP(-H35/(D$2*E$2)),0)</f>
        <v>4.3205707310655853E-4</v>
      </c>
      <c r="J35" s="10">
        <f>IF(Table1[[#This Row],[rel G]]&lt;5,I35/$F$2,0)</f>
        <v>5.308266238201859E-5</v>
      </c>
      <c r="V35">
        <v>16</v>
      </c>
      <c r="W35">
        <v>-790677.93098481605</v>
      </c>
      <c r="X35">
        <v>36</v>
      </c>
      <c r="Z35">
        <v>15</v>
      </c>
      <c r="AA35">
        <v>-1260.02916950238</v>
      </c>
    </row>
    <row r="36" spans="1:27" x14ac:dyDescent="0.25">
      <c r="A36">
        <f>Table1[[#This Row],[Gibbs Energy (hartree)]]</f>
        <v>-1260.02764466339</v>
      </c>
      <c r="B36">
        <f>Table1[[#This Row],[Energy (hartrees)]]*$C$2</f>
        <v>-790679.94730272389</v>
      </c>
      <c r="C36">
        <f>Table1[[#This Row],[Energy (kcal)]]-MIN(Table1[Energy (kcal)])</f>
        <v>2.2934952911455184</v>
      </c>
      <c r="D36">
        <v>-1260.02764466339</v>
      </c>
      <c r="E36">
        <v>72</v>
      </c>
      <c r="F36" t="s">
        <v>17</v>
      </c>
      <c r="H36" s="10">
        <f>Table1[[#This Row],[Rel E]]</f>
        <v>2.2934952911455184</v>
      </c>
      <c r="I36" s="10">
        <f>IF(Table1[[#This Row],[rel G]]&lt;5,EXP(-H36/(D$2*E$2)),0)</f>
        <v>2.0797795621633378E-2</v>
      </c>
      <c r="J36" s="10">
        <f>IF(Table1[[#This Row],[rel G]]&lt;5,I36/$F$2,0)</f>
        <v>2.5552234461420523E-3</v>
      </c>
      <c r="V36">
        <v>17</v>
      </c>
      <c r="W36">
        <v>-790676.36348976195</v>
      </c>
      <c r="X36">
        <v>40</v>
      </c>
      <c r="Z36">
        <v>16</v>
      </c>
      <c r="AA36">
        <v>-1260.03108340175</v>
      </c>
    </row>
    <row r="37" spans="1:27" x14ac:dyDescent="0.25">
      <c r="A37">
        <f>Table1[[#This Row],[Gibbs Energy (hartree)]]</f>
        <v>-1260.0301538598201</v>
      </c>
      <c r="B37">
        <f>Table1[[#This Row],[Energy (hartrees)]]*$C$2</f>
        <v>-790681.52184857568</v>
      </c>
      <c r="C37">
        <f>Table1[[#This Row],[Energy (kcal)]]-MIN(Table1[Energy (kcal)])</f>
        <v>0.71894943935330957</v>
      </c>
      <c r="D37">
        <v>-1260.0301538598201</v>
      </c>
      <c r="E37">
        <v>73</v>
      </c>
      <c r="F37" t="s">
        <v>19</v>
      </c>
      <c r="H37" s="10">
        <f>Table1[[#This Row],[Rel E]]</f>
        <v>0.71894943935330957</v>
      </c>
      <c r="I37" s="10">
        <f>IF(Table1[[#This Row],[rel G]]&lt;5,EXP(-H37/(D$2*E$2)),0)</f>
        <v>0.29699108046572786</v>
      </c>
      <c r="J37" s="10">
        <f>IF(Table1[[#This Row],[rel G]]&lt;5,I37/$F$2,0)</f>
        <v>3.648841376783802E-2</v>
      </c>
      <c r="V37">
        <v>20</v>
      </c>
      <c r="W37">
        <v>-790679.98919482797</v>
      </c>
      <c r="X37">
        <v>44</v>
      </c>
      <c r="Z37">
        <v>17</v>
      </c>
      <c r="AA37">
        <v>-1260.0302630122801</v>
      </c>
    </row>
    <row r="38" spans="1:27" x14ac:dyDescent="0.25">
      <c r="A38">
        <f>Table1[[#This Row],[Gibbs Energy (hartree)]]</f>
        <v>-1260.0243340807699</v>
      </c>
      <c r="B38">
        <f>Table1[[#This Row],[Energy (hartrees)]]*$C$2</f>
        <v>-790677.86987902387</v>
      </c>
      <c r="C38">
        <f>Table1[[#This Row],[Energy (kcal)]]-MIN(Table1[Energy (kcal)])</f>
        <v>4.370918991160579</v>
      </c>
      <c r="D38">
        <v>-1260.0243340807699</v>
      </c>
      <c r="E38">
        <v>76</v>
      </c>
      <c r="F38" t="s">
        <v>127</v>
      </c>
      <c r="H38" s="10">
        <f>Table1[[#This Row],[Rel E]]</f>
        <v>4.370918991160579</v>
      </c>
      <c r="I38" s="10">
        <f>IF(Table1[[#This Row],[rel G]]&lt;5,EXP(-H38/(D$2*E$2)),0)</f>
        <v>6.2301030229971338E-4</v>
      </c>
      <c r="J38" s="10">
        <f>IF(Table1[[#This Row],[rel G]]&lt;5,I38/$F$2,0)</f>
        <v>7.6543233743887095E-5</v>
      </c>
      <c r="V38">
        <v>21</v>
      </c>
      <c r="W38">
        <v>-790675.65115440404</v>
      </c>
      <c r="X38">
        <v>47</v>
      </c>
      <c r="Z38">
        <v>19</v>
      </c>
      <c r="AA38">
        <v>-1260.0276089919</v>
      </c>
    </row>
    <row r="39" spans="1:27" x14ac:dyDescent="0.25">
      <c r="A39">
        <f>Table1[[#This Row],[Gibbs Energy (hartree)]]</f>
        <v>-1260.0296634397801</v>
      </c>
      <c r="B39">
        <f>Table1[[#This Row],[Energy (hartrees)]]*$C$2</f>
        <v>-790681.21410509641</v>
      </c>
      <c r="C39">
        <f>Table1[[#This Row],[Energy (kcal)]]-MIN(Table1[Energy (kcal)])</f>
        <v>1.0266929186182097</v>
      </c>
      <c r="D39">
        <v>-1260.0296634397801</v>
      </c>
      <c r="E39">
        <v>78</v>
      </c>
      <c r="F39" t="s">
        <v>125</v>
      </c>
      <c r="H39" s="10">
        <f>Table1[[#This Row],[Rel E]]</f>
        <v>1.0266929186182097</v>
      </c>
      <c r="I39" s="10">
        <f>IF(Table1[[#This Row],[rel G]]&lt;5,EXP(-H39/(D$2*E$2)),0)</f>
        <v>0.1766254557953072</v>
      </c>
      <c r="J39" s="10">
        <f>IF(Table1[[#This Row],[rel G]]&lt;5,I39/$F$2,0)</f>
        <v>2.1700256798573677E-2</v>
      </c>
      <c r="N39">
        <v>1</v>
      </c>
      <c r="O39">
        <v>-1260.02928371497</v>
      </c>
      <c r="P39" t="s">
        <v>99</v>
      </c>
      <c r="Q39" s="11" t="s">
        <v>18</v>
      </c>
      <c r="V39">
        <v>23</v>
      </c>
      <c r="W39">
        <v>-790679.78221375297</v>
      </c>
      <c r="X39">
        <v>52</v>
      </c>
      <c r="Z39">
        <v>20</v>
      </c>
      <c r="AA39">
        <v>-1260.0310119127</v>
      </c>
    </row>
    <row r="40" spans="1:27" x14ac:dyDescent="0.25">
      <c r="A40">
        <f>Table1[[#This Row],[Gibbs Energy (hartree)]]</f>
        <v>-1260.02443554156</v>
      </c>
      <c r="B40">
        <f>Table1[[#This Row],[Energy (hartrees)]]*$C$2</f>
        <v>-790677.93354668433</v>
      </c>
      <c r="C40">
        <f>Table1[[#This Row],[Energy (kcal)]]-MIN(Table1[Energy (kcal)])</f>
        <v>4.307251330697909</v>
      </c>
      <c r="D40">
        <v>-1260.02443554156</v>
      </c>
      <c r="E40">
        <v>86</v>
      </c>
      <c r="F40" t="s">
        <v>20</v>
      </c>
      <c r="H40" s="10">
        <f>Table1[[#This Row],[Rel E]]</f>
        <v>4.307251330697909</v>
      </c>
      <c r="I40" s="10">
        <f>IF(Table1[[#This Row],[rel G]]&lt;5,EXP(-H40/(D$2*E$2)),0)</f>
        <v>6.937248272912617E-4</v>
      </c>
      <c r="J40" s="10">
        <f>IF(Table1[[#This Row],[rel G]]&lt;5,I40/$F$2,0)</f>
        <v>8.5231241623590044E-5</v>
      </c>
      <c r="N40">
        <v>2</v>
      </c>
      <c r="O40">
        <v>-1260.0295197759001</v>
      </c>
      <c r="P40" t="s">
        <v>99</v>
      </c>
      <c r="Q40" s="11" t="s">
        <v>17</v>
      </c>
      <c r="V40">
        <v>24</v>
      </c>
      <c r="W40">
        <v>-790680.16567596199</v>
      </c>
      <c r="X40">
        <v>54</v>
      </c>
      <c r="Z40">
        <v>21</v>
      </c>
      <c r="AA40">
        <v>-1260.02315725463</v>
      </c>
    </row>
    <row r="41" spans="1:27" x14ac:dyDescent="0.25">
      <c r="A41">
        <f>Table1[[#This Row],[Gibbs Energy (hartree)]]</f>
        <v>-1260.0213783597801</v>
      </c>
      <c r="B41">
        <f>Table1[[#This Row],[Energy (hartrees)]]*$C$2</f>
        <v>-790676.01513454563</v>
      </c>
      <c r="C41">
        <f>Table1[[#This Row],[Energy (kcal)]]-MIN(Table1[Energy (kcal)])</f>
        <v>6.2256634694058448</v>
      </c>
      <c r="D41">
        <v>-1260.0213783597801</v>
      </c>
      <c r="E41">
        <v>94</v>
      </c>
      <c r="F41" t="s">
        <v>18</v>
      </c>
      <c r="H41" s="10">
        <f>Table1[[#This Row],[Rel E]]</f>
        <v>6.2256634694058448</v>
      </c>
      <c r="I41" s="10">
        <f>IF(Table1[[#This Row],[rel G]]&lt;5,EXP(-H41/(D$2*E$2)),0)</f>
        <v>0</v>
      </c>
      <c r="J41" s="10">
        <f>IF(Table1[[#This Row],[rel G]]&lt;5,I41/$F$2,0)</f>
        <v>0</v>
      </c>
      <c r="N41">
        <v>3</v>
      </c>
      <c r="O41">
        <v>-1260.02897622459</v>
      </c>
      <c r="P41" t="s">
        <v>99</v>
      </c>
      <c r="Q41" s="11" t="s">
        <v>18</v>
      </c>
      <c r="V41">
        <v>25</v>
      </c>
      <c r="W41">
        <v>-790677.48241754505</v>
      </c>
      <c r="X41">
        <v>55</v>
      </c>
      <c r="Z41">
        <v>22</v>
      </c>
      <c r="AA41">
        <v>-1260.02536016675</v>
      </c>
    </row>
    <row r="42" spans="1:27" x14ac:dyDescent="0.25">
      <c r="A42">
        <f>Table1[[#This Row],[Gibbs Energy (hartree)]]</f>
        <v>-1260.02252918317</v>
      </c>
      <c r="B42">
        <f>Table1[[#This Row],[Energy (hartrees)]]*$C$2</f>
        <v>-790676.73728773103</v>
      </c>
      <c r="C42">
        <f>Table1[[#This Row],[Energy (kcal)]]-MIN(Table1[Energy (kcal)])</f>
        <v>5.503510284004733</v>
      </c>
      <c r="D42">
        <v>-1260.02252918317</v>
      </c>
      <c r="E42">
        <v>101</v>
      </c>
      <c r="F42" t="s">
        <v>127</v>
      </c>
      <c r="H42" s="10">
        <f>Table1[[#This Row],[Rel E]]</f>
        <v>5.503510284004733</v>
      </c>
      <c r="I42" s="10">
        <f>IF(Table1[[#This Row],[rel G]]&lt;5,EXP(-H42/(D$2*E$2)),0)</f>
        <v>0</v>
      </c>
      <c r="J42" s="10">
        <f>IF(Table1[[#This Row],[rel G]]&lt;5,I42/$F$2,0)</f>
        <v>0</v>
      </c>
      <c r="N42">
        <v>4</v>
      </c>
      <c r="O42">
        <v>-1260.0307180662401</v>
      </c>
      <c r="P42" t="s">
        <v>99</v>
      </c>
      <c r="Q42" s="11" t="s">
        <v>17</v>
      </c>
      <c r="V42">
        <v>26</v>
      </c>
      <c r="W42">
        <v>-790676.40038292098</v>
      </c>
      <c r="X42">
        <v>57</v>
      </c>
      <c r="Z42">
        <v>23</v>
      </c>
      <c r="AA42">
        <v>-1260.0225844276499</v>
      </c>
    </row>
    <row r="43" spans="1:27" x14ac:dyDescent="0.25">
      <c r="A43">
        <f>Table1[[#This Row],[Gibbs Energy (hartree)]]</f>
        <v>-1260.02985405192</v>
      </c>
      <c r="B43">
        <f>Table1[[#This Row],[Energy (hartrees)]]*$C$2</f>
        <v>-790681.33371612034</v>
      </c>
      <c r="C43">
        <f>Table1[[#This Row],[Energy (kcal)]]-MIN(Table1[Energy (kcal)])</f>
        <v>0.90708189469296485</v>
      </c>
      <c r="D43">
        <v>-1260.02985405192</v>
      </c>
      <c r="E43">
        <v>103</v>
      </c>
      <c r="F43" t="s">
        <v>19</v>
      </c>
      <c r="H43" s="10">
        <f>Table1[[#This Row],[Rel E]]</f>
        <v>0.90708189469296485</v>
      </c>
      <c r="I43" s="10">
        <f>IF(Table1[[#This Row],[rel G]]&lt;5,EXP(-H43/(D$2*E$2)),0)</f>
        <v>0.21615861012918181</v>
      </c>
      <c r="J43" s="10">
        <f>IF(Table1[[#This Row],[rel G]]&lt;5,I43/$F$2,0)</f>
        <v>2.6557312069796467E-2</v>
      </c>
      <c r="N43">
        <v>6</v>
      </c>
      <c r="O43">
        <v>-1260.0310412126501</v>
      </c>
      <c r="P43" t="s">
        <v>99</v>
      </c>
      <c r="Q43" s="11" t="s">
        <v>18</v>
      </c>
      <c r="V43">
        <v>27</v>
      </c>
      <c r="W43">
        <v>-790676.39810489898</v>
      </c>
      <c r="X43">
        <v>58</v>
      </c>
      <c r="Z43">
        <v>24</v>
      </c>
      <c r="AA43">
        <v>-1260.0254501541201</v>
      </c>
    </row>
    <row r="44" spans="1:27" x14ac:dyDescent="0.25">
      <c r="A44">
        <f>Table1[[#This Row],[Gibbs Energy (hartree)]]</f>
        <v>-1260.0195415466401</v>
      </c>
      <c r="B44">
        <f>Table1[[#This Row],[Energy (hartrees)]]*$C$2</f>
        <v>-790674.86251593207</v>
      </c>
      <c r="C44">
        <f>Table1[[#This Row],[Energy (kcal)]]-MIN(Table1[Energy (kcal)])</f>
        <v>7.3782820829655975</v>
      </c>
      <c r="D44">
        <v>-1260.0195415466401</v>
      </c>
      <c r="E44">
        <v>104</v>
      </c>
      <c r="F44" t="s">
        <v>125</v>
      </c>
      <c r="H44" s="10">
        <f>Table1[[#This Row],[Rel E]]</f>
        <v>7.3782820829655975</v>
      </c>
      <c r="I44" s="10">
        <f>IF(Table1[[#This Row],[rel G]]&lt;5,EXP(-H44/(D$2*E$2)),0)</f>
        <v>0</v>
      </c>
      <c r="J44" s="10">
        <f>IF(Table1[[#This Row],[rel G]]&lt;5,I44/$F$2,0)</f>
        <v>0</v>
      </c>
      <c r="N44">
        <v>7</v>
      </c>
      <c r="O44">
        <v>-1260.0276888866199</v>
      </c>
      <c r="P44" t="s">
        <v>99</v>
      </c>
      <c r="Q44" s="11" t="s">
        <v>17</v>
      </c>
      <c r="V44">
        <v>28</v>
      </c>
      <c r="W44">
        <v>-790678.26313489699</v>
      </c>
      <c r="X44">
        <v>60</v>
      </c>
      <c r="Z44">
        <v>26</v>
      </c>
      <c r="AA44">
        <v>-1260.0280155312901</v>
      </c>
    </row>
    <row r="45" spans="1:27" x14ac:dyDescent="0.25">
      <c r="A45">
        <f>Table1[[#This Row],[Gibbs Energy (hartree)]]</f>
        <v>-1260.0222569703501</v>
      </c>
      <c r="B45">
        <f>Table1[[#This Row],[Energy (hartrees)]]*$C$2</f>
        <v>-790676.56647146435</v>
      </c>
      <c r="C45">
        <f>Table1[[#This Row],[Energy (kcal)]]-MIN(Table1[Energy (kcal)])</f>
        <v>5.674326550681144</v>
      </c>
      <c r="D45">
        <v>-1260.0222569703501</v>
      </c>
      <c r="E45">
        <v>106</v>
      </c>
      <c r="F45" t="s">
        <v>18</v>
      </c>
      <c r="H45" s="10">
        <f>Table1[[#This Row],[Rel E]]</f>
        <v>5.674326550681144</v>
      </c>
      <c r="I45" s="10">
        <f>IF(Table1[[#This Row],[rel G]]&lt;5,EXP(-H45/(D$2*E$2)),0)</f>
        <v>0</v>
      </c>
      <c r="J45" s="10">
        <f>IF(Table1[[#This Row],[rel G]]&lt;5,I45/$F$2,0)</f>
        <v>0</v>
      </c>
      <c r="N45">
        <v>8</v>
      </c>
      <c r="O45">
        <v>-1260.0305125044399</v>
      </c>
      <c r="P45" t="s">
        <v>99</v>
      </c>
      <c r="Q45" s="11" t="s">
        <v>17</v>
      </c>
      <c r="V45">
        <v>31</v>
      </c>
      <c r="W45">
        <v>-790679.98301528196</v>
      </c>
      <c r="X45">
        <v>70</v>
      </c>
      <c r="Z45">
        <v>27</v>
      </c>
      <c r="AA45">
        <v>-1260.0308620324899</v>
      </c>
    </row>
    <row r="46" spans="1:27" x14ac:dyDescent="0.25">
      <c r="A46">
        <f>Table1[[#This Row],[Gibbs Energy (hartree)]]</f>
        <v>-1260.02261003535</v>
      </c>
      <c r="B46">
        <f>Table1[[#This Row],[Energy (hartrees)]]*$C$2</f>
        <v>-790676.78802328242</v>
      </c>
      <c r="C46">
        <f>Table1[[#This Row],[Energy (kcal)]]-MIN(Table1[Energy (kcal)])</f>
        <v>5.4527747326064855</v>
      </c>
      <c r="D46">
        <v>-1260.02261003535</v>
      </c>
      <c r="E46">
        <v>107</v>
      </c>
      <c r="F46" t="s">
        <v>20</v>
      </c>
      <c r="H46" s="10">
        <f>Table1[[#This Row],[Rel E]]</f>
        <v>5.4527747326064855</v>
      </c>
      <c r="I46" s="10">
        <f>IF(Table1[[#This Row],[rel G]]&lt;5,EXP(-H46/(D$2*E$2)),0)</f>
        <v>0</v>
      </c>
      <c r="J46" s="10">
        <f>IF(Table1[[#This Row],[rel G]]&lt;5,I46/$F$2,0)</f>
        <v>0</v>
      </c>
      <c r="N46">
        <v>9</v>
      </c>
      <c r="O46">
        <v>-1260.0303888738999</v>
      </c>
      <c r="P46" t="s">
        <v>99</v>
      </c>
      <c r="Q46" s="11" t="s">
        <v>17</v>
      </c>
      <c r="V46">
        <v>32</v>
      </c>
      <c r="W46">
        <v>-790677.28727907303</v>
      </c>
      <c r="X46">
        <v>86</v>
      </c>
      <c r="Z46">
        <v>30</v>
      </c>
      <c r="AA46">
        <v>-1260.0262403828001</v>
      </c>
    </row>
    <row r="47" spans="1:27" x14ac:dyDescent="0.25">
      <c r="A47">
        <f>Table1[[#This Row],[Gibbs Energy (hartree)]]</f>
        <v>-1260.02894305167</v>
      </c>
      <c r="B47">
        <f>Table1[[#This Row],[Energy (hartrees)]]*$C$2</f>
        <v>-790680.76205435349</v>
      </c>
      <c r="C47">
        <f>Table1[[#This Row],[Energy (kcal)]]-MIN(Table1[Energy (kcal)])</f>
        <v>1.4787436615442857</v>
      </c>
      <c r="D47">
        <v>-1260.02894305167</v>
      </c>
      <c r="E47">
        <v>109</v>
      </c>
      <c r="F47" t="s">
        <v>125</v>
      </c>
      <c r="H47" s="10">
        <f>Table1[[#This Row],[Rel E]]</f>
        <v>1.4787436615442857</v>
      </c>
      <c r="I47" s="10">
        <f>IF(Table1[[#This Row],[rel G]]&lt;5,EXP(-H47/(D$2*E$2)),0)</f>
        <v>8.2325132383134825E-2</v>
      </c>
      <c r="J47" s="10">
        <f>IF(Table1[[#This Row],[rel G]]&lt;5,I47/$F$2,0)</f>
        <v>1.0114490607520146E-2</v>
      </c>
      <c r="N47">
        <v>14</v>
      </c>
      <c r="O47">
        <v>-1260.0215713003099</v>
      </c>
      <c r="P47" t="s">
        <v>99</v>
      </c>
      <c r="Q47" s="11" t="s">
        <v>17</v>
      </c>
      <c r="V47">
        <v>34</v>
      </c>
      <c r="W47">
        <v>-790680.15461944905</v>
      </c>
      <c r="X47">
        <v>90</v>
      </c>
      <c r="Z47">
        <v>33</v>
      </c>
      <c r="AA47">
        <v>-1260.0267298536401</v>
      </c>
    </row>
    <row r="48" spans="1:27" x14ac:dyDescent="0.25">
      <c r="A48">
        <f>Table1[[#This Row],[Gibbs Energy (hartree)]]</f>
        <v>-1260.0266809110601</v>
      </c>
      <c r="B48">
        <f>Table1[[#This Row],[Energy (hartrees)]]*$C$2</f>
        <v>-790679.34253849927</v>
      </c>
      <c r="C48">
        <f>Table1[[#This Row],[Energy (kcal)]]-MIN(Table1[Energy (kcal)])</f>
        <v>2.8982595157576725</v>
      </c>
      <c r="D48">
        <v>-1260.0266809110601</v>
      </c>
      <c r="E48">
        <v>123</v>
      </c>
      <c r="F48" t="s">
        <v>19</v>
      </c>
      <c r="H48" s="10">
        <f>Table1[[#This Row],[Rel E]]</f>
        <v>2.8982595157576725</v>
      </c>
      <c r="I48" s="10">
        <f>IF(Table1[[#This Row],[rel G]]&lt;5,EXP(-H48/(D$2*E$2)),0)</f>
        <v>7.4903278237102551E-3</v>
      </c>
      <c r="J48" s="10">
        <f>IF(Table1[[#This Row],[rel G]]&lt;5,I48/$F$2,0)</f>
        <v>9.2026393674751749E-4</v>
      </c>
      <c r="N48">
        <v>15</v>
      </c>
      <c r="O48">
        <v>-1260.02916438341</v>
      </c>
      <c r="P48" t="s">
        <v>99</v>
      </c>
      <c r="Q48" s="11" t="s">
        <v>18</v>
      </c>
      <c r="V48">
        <v>35</v>
      </c>
      <c r="W48">
        <v>-790680.57066237798</v>
      </c>
      <c r="X48">
        <v>92</v>
      </c>
      <c r="Z48">
        <v>34</v>
      </c>
      <c r="AA48">
        <v>-1260.0259999866801</v>
      </c>
    </row>
    <row r="49" spans="1:27" x14ac:dyDescent="0.25">
      <c r="A49">
        <f>Table1[[#This Row],[Gibbs Energy (hartree)]]</f>
        <v>-1260.01965773762</v>
      </c>
      <c r="B49">
        <f>Table1[[#This Row],[Energy (hartrees)]]*$C$2</f>
        <v>-790674.93542693392</v>
      </c>
      <c r="C49">
        <f>Table1[[#This Row],[Energy (kcal)]]-MIN(Table1[Energy (kcal)])</f>
        <v>7.305371081107296</v>
      </c>
      <c r="D49">
        <v>-1260.01965773762</v>
      </c>
      <c r="E49">
        <v>125</v>
      </c>
      <c r="F49" t="s">
        <v>117</v>
      </c>
      <c r="H49" s="10">
        <f>Table1[[#This Row],[Rel E]]</f>
        <v>7.305371081107296</v>
      </c>
      <c r="I49" s="10">
        <f>IF(Table1[[#This Row],[rel G]]&lt;5,EXP(-H49/(D$2*E$2)),0)</f>
        <v>0</v>
      </c>
      <c r="J49" s="10">
        <f>IF(Table1[[#This Row],[rel G]]&lt;5,I49/$F$2,0)</f>
        <v>0</v>
      </c>
      <c r="N49">
        <v>16</v>
      </c>
      <c r="O49">
        <v>-1260.0310818375799</v>
      </c>
      <c r="P49" t="s">
        <v>99</v>
      </c>
      <c r="Q49" s="11" t="s">
        <v>17</v>
      </c>
      <c r="V49">
        <v>36</v>
      </c>
      <c r="W49">
        <v>-790677.26322379301</v>
      </c>
      <c r="X49">
        <v>93</v>
      </c>
      <c r="Z49">
        <v>38</v>
      </c>
      <c r="AA49">
        <v>-1260.0299045363399</v>
      </c>
    </row>
    <row r="50" spans="1:27" x14ac:dyDescent="0.25">
      <c r="A50">
        <f>Table1[[#This Row],[Gibbs Energy (hartree)]]</f>
        <v>-1260.02590388668</v>
      </c>
      <c r="B50">
        <f>Table1[[#This Row],[Energy (hartrees)]]*$C$2</f>
        <v>-790678.85494793055</v>
      </c>
      <c r="C50">
        <f>Table1[[#This Row],[Energy (kcal)]]-MIN(Table1[Energy (kcal)])</f>
        <v>3.3858500844798982</v>
      </c>
      <c r="D50">
        <v>-1260.02590388668</v>
      </c>
      <c r="E50">
        <v>128</v>
      </c>
      <c r="F50" t="s">
        <v>20</v>
      </c>
      <c r="H50" s="10">
        <f>Table1[[#This Row],[Rel E]]</f>
        <v>3.3858500844798982</v>
      </c>
      <c r="I50" s="10">
        <f>IF(Table1[[#This Row],[rel G]]&lt;5,EXP(-H50/(D$2*E$2)),0)</f>
        <v>3.2878810255905534E-3</v>
      </c>
      <c r="J50" s="10">
        <f>IF(Table1[[#This Row],[rel G]]&lt;5,I50/$F$2,0)</f>
        <v>4.0395005497485294E-4</v>
      </c>
      <c r="N50">
        <v>17</v>
      </c>
      <c r="O50">
        <v>-1260.03024816727</v>
      </c>
      <c r="P50" t="s">
        <v>99</v>
      </c>
      <c r="Q50" s="11" t="s">
        <v>126</v>
      </c>
      <c r="V50">
        <v>37</v>
      </c>
      <c r="W50">
        <v>-790675.91059691994</v>
      </c>
      <c r="X50">
        <v>95</v>
      </c>
      <c r="Z50">
        <v>39</v>
      </c>
      <c r="AA50">
        <v>-1260.0312995777199</v>
      </c>
    </row>
    <row r="51" spans="1:27" x14ac:dyDescent="0.25">
      <c r="A51">
        <f>Table1[[#This Row],[Gibbs Energy (hartree)]]</f>
        <v>-1260.0278872630799</v>
      </c>
      <c r="B51">
        <f>Table1[[#This Row],[Energy (hartrees)]]*$C$2</f>
        <v>-790680.09953645524</v>
      </c>
      <c r="C51">
        <f>Table1[[#This Row],[Energy (kcal)]]-MIN(Table1[Energy (kcal)])</f>
        <v>2.1412615597946569</v>
      </c>
      <c r="D51">
        <v>-1260.0278872630799</v>
      </c>
      <c r="E51">
        <v>135</v>
      </c>
      <c r="F51" t="s">
        <v>126</v>
      </c>
      <c r="H51" s="10">
        <f>Table1[[#This Row],[Rel E]]</f>
        <v>2.1412615597946569</v>
      </c>
      <c r="I51" s="10">
        <f>IF(Table1[[#This Row],[rel G]]&lt;5,EXP(-H51/(D$2*E$2)),0)</f>
        <v>2.6894352567236615E-2</v>
      </c>
      <c r="J51" s="10">
        <f>IF(Table1[[#This Row],[rel G]]&lt;5,I51/$F$2,0)</f>
        <v>3.3042482722126397E-3</v>
      </c>
      <c r="N51">
        <v>19</v>
      </c>
      <c r="O51">
        <v>-1260.0276301541901</v>
      </c>
      <c r="P51" t="s">
        <v>99</v>
      </c>
      <c r="Q51" s="11" t="s">
        <v>17</v>
      </c>
      <c r="V51">
        <v>38</v>
      </c>
      <c r="W51">
        <v>-790679.44662785297</v>
      </c>
      <c r="X51">
        <v>100</v>
      </c>
      <c r="Z51">
        <v>41</v>
      </c>
      <c r="AA51">
        <v>-1260.0308592051299</v>
      </c>
    </row>
    <row r="52" spans="1:27" x14ac:dyDescent="0.25">
      <c r="A52">
        <f>Table1[[#This Row],[Gibbs Energy (hartree)]]</f>
        <v>-1260.02687993476</v>
      </c>
      <c r="B52">
        <f>Table1[[#This Row],[Energy (hartrees)]]*$C$2</f>
        <v>-790679.46742786129</v>
      </c>
      <c r="C52">
        <f>Table1[[#This Row],[Energy (kcal)]]-MIN(Table1[Energy (kcal)])</f>
        <v>2.7733701537363231</v>
      </c>
      <c r="D52">
        <v>-1260.02687993476</v>
      </c>
      <c r="E52">
        <v>136</v>
      </c>
      <c r="F52" t="s">
        <v>19</v>
      </c>
      <c r="H52" s="10">
        <f>Table1[[#This Row],[Rel E]]</f>
        <v>2.7733701537363231</v>
      </c>
      <c r="I52" s="10">
        <f>IF(Table1[[#This Row],[rel G]]&lt;5,EXP(-H52/(D$2*E$2)),0)</f>
        <v>9.2489205489836961E-3</v>
      </c>
      <c r="J52" s="10">
        <f>IF(Table1[[#This Row],[rel G]]&lt;5,I52/$F$2,0)</f>
        <v>1.1363251696581539E-3</v>
      </c>
      <c r="N52">
        <v>20</v>
      </c>
      <c r="O52">
        <v>-1260.03099949855</v>
      </c>
      <c r="P52" t="s">
        <v>99</v>
      </c>
      <c r="Q52" s="11" t="s">
        <v>17</v>
      </c>
      <c r="V52">
        <v>42</v>
      </c>
      <c r="W52">
        <v>-790677.87573927396</v>
      </c>
      <c r="X52">
        <v>118</v>
      </c>
      <c r="Z52">
        <v>45</v>
      </c>
      <c r="AA52">
        <v>-1260.02211030374</v>
      </c>
    </row>
    <row r="53" spans="1:27" x14ac:dyDescent="0.25">
      <c r="A53">
        <f>Table1[[#This Row],[Gibbs Energy (hartree)]]</f>
        <v>-1260.02858229659</v>
      </c>
      <c r="B53">
        <f>Table1[[#This Row],[Energy (hartrees)]]*$C$2</f>
        <v>-790680.53567693313</v>
      </c>
      <c r="C53">
        <f>Table1[[#This Row],[Energy (kcal)]]-MIN(Table1[Energy (kcal)])</f>
        <v>1.7051210819045082</v>
      </c>
      <c r="D53">
        <v>-1260.02858229659</v>
      </c>
      <c r="E53">
        <v>142</v>
      </c>
      <c r="F53" t="s">
        <v>19</v>
      </c>
      <c r="H53" s="10">
        <f>Table1[[#This Row],[Rel E]]</f>
        <v>1.7051210819045082</v>
      </c>
      <c r="I53" s="10">
        <f>IF(Table1[[#This Row],[rel G]]&lt;5,EXP(-H53/(D$2*E$2)),0)</f>
        <v>5.6171216102585131E-2</v>
      </c>
      <c r="J53" s="10">
        <f>IF(Table1[[#This Row],[rel G]]&lt;5,I53/$F$2,0)</f>
        <v>6.9012125609283787E-3</v>
      </c>
      <c r="N53">
        <v>21</v>
      </c>
      <c r="O53">
        <v>-1260.0231515908299</v>
      </c>
      <c r="P53" t="s">
        <v>99</v>
      </c>
      <c r="Q53" s="11" t="s">
        <v>17</v>
      </c>
      <c r="V53">
        <v>43</v>
      </c>
      <c r="W53">
        <v>-790678.66297168005</v>
      </c>
      <c r="X53">
        <v>120</v>
      </c>
      <c r="Z53">
        <v>48</v>
      </c>
      <c r="AA53">
        <v>-1260.02916622256</v>
      </c>
    </row>
    <row r="54" spans="1:27" x14ac:dyDescent="0.25">
      <c r="A54">
        <f>Table1[[#This Row],[Gibbs Energy (hartree)]]</f>
        <v>-1260.02448321456</v>
      </c>
      <c r="B54">
        <f>Table1[[#This Row],[Energy (hartrees)]]*$C$2</f>
        <v>-790677.96346196847</v>
      </c>
      <c r="C54">
        <f>Table1[[#This Row],[Energy (kcal)]]-MIN(Table1[Energy (kcal)])</f>
        <v>4.2773360465653241</v>
      </c>
      <c r="D54">
        <v>-1260.02448321456</v>
      </c>
      <c r="E54">
        <v>143</v>
      </c>
      <c r="F54" t="s">
        <v>125</v>
      </c>
      <c r="H54" s="10">
        <f>Table1[[#This Row],[Rel E]]</f>
        <v>4.2773360465653241</v>
      </c>
      <c r="I54" s="10">
        <f>IF(Table1[[#This Row],[rel G]]&lt;5,EXP(-H54/(D$2*E$2)),0)</f>
        <v>7.2966957213698477E-4</v>
      </c>
      <c r="J54" s="10">
        <f>IF(Table1[[#This Row],[rel G]]&lt;5,I54/$F$2,0)</f>
        <v>8.9647423822238471E-5</v>
      </c>
      <c r="N54">
        <v>23</v>
      </c>
      <c r="O54">
        <v>-1260.0225778767499</v>
      </c>
      <c r="P54" t="s">
        <v>99</v>
      </c>
      <c r="Q54" s="11" t="s">
        <v>18</v>
      </c>
      <c r="V54">
        <v>44</v>
      </c>
      <c r="W54">
        <v>-790679.40189496998</v>
      </c>
      <c r="X54">
        <v>122</v>
      </c>
      <c r="Z54">
        <v>57</v>
      </c>
      <c r="AA54">
        <v>-1260.0265971741101</v>
      </c>
    </row>
    <row r="55" spans="1:27" x14ac:dyDescent="0.25">
      <c r="A55">
        <f>Table1[[#This Row],[Gibbs Energy (hartree)]]</f>
        <v>-1260.0244939439399</v>
      </c>
      <c r="B55">
        <f>Table1[[#This Row],[Energy (hartrees)]]*$C$2</f>
        <v>-790677.97019476176</v>
      </c>
      <c r="C55">
        <f>Table1[[#This Row],[Energy (kcal)]]-MIN(Table1[Energy (kcal)])</f>
        <v>4.2706032532732934</v>
      </c>
      <c r="D55">
        <v>-1260.0244939439399</v>
      </c>
      <c r="E55">
        <v>144</v>
      </c>
      <c r="F55" t="s">
        <v>20</v>
      </c>
      <c r="H55" s="10">
        <f>Table1[[#This Row],[Rel E]]</f>
        <v>4.2706032532732934</v>
      </c>
      <c r="I55" s="10">
        <f>IF(Table1[[#This Row],[rel G]]&lt;5,EXP(-H55/(D$2*E$2)),0)</f>
        <v>7.380127601894354E-4</v>
      </c>
      <c r="J55" s="10">
        <f>IF(Table1[[#This Row],[rel G]]&lt;5,I55/$F$2,0)</f>
        <v>9.067247042405327E-5</v>
      </c>
      <c r="N55">
        <v>24</v>
      </c>
      <c r="O55">
        <v>-1260.0254986386799</v>
      </c>
      <c r="P55" t="s">
        <v>99</v>
      </c>
      <c r="Q55" s="11" t="s">
        <v>17</v>
      </c>
      <c r="V55">
        <v>48</v>
      </c>
      <c r="W55">
        <v>-790678.37569925003</v>
      </c>
      <c r="X55">
        <v>129</v>
      </c>
      <c r="Z55">
        <v>59</v>
      </c>
      <c r="AA55">
        <v>-1260.0239886767099</v>
      </c>
    </row>
    <row r="56" spans="1:27" x14ac:dyDescent="0.25">
      <c r="A56">
        <f>Table1[[#This Row],[Gibbs Energy (hartree)]]</f>
        <v>-1260.0255057770601</v>
      </c>
      <c r="B56">
        <f>Table1[[#This Row],[Energy (hartrees)]]*$C$2</f>
        <v>-790678.6051301629</v>
      </c>
      <c r="C56">
        <f>Table1[[#This Row],[Energy (kcal)]]-MIN(Table1[Energy (kcal)])</f>
        <v>3.6356678521260619</v>
      </c>
      <c r="D56">
        <v>-1260.0255057770601</v>
      </c>
      <c r="E56">
        <v>145</v>
      </c>
      <c r="F56" t="s">
        <v>19</v>
      </c>
      <c r="H56" s="10">
        <f>Table1[[#This Row],[Rel E]]</f>
        <v>3.6356678521260619</v>
      </c>
      <c r="I56" s="10">
        <f>IF(Table1[[#This Row],[rel G]]&lt;5,EXP(-H56/(D$2*E$2)),0)</f>
        <v>2.1562892317556316E-3</v>
      </c>
      <c r="J56" s="10">
        <f>IF(Table1[[#This Row],[rel G]]&lt;5,I56/$F$2,0)</f>
        <v>2.6492234570833355E-4</v>
      </c>
      <c r="N56">
        <v>26</v>
      </c>
      <c r="O56">
        <v>-1260.0279525446299</v>
      </c>
      <c r="P56" t="s">
        <v>99</v>
      </c>
      <c r="Q56" s="11" t="s">
        <v>17</v>
      </c>
      <c r="V56">
        <v>49</v>
      </c>
      <c r="W56">
        <v>-790677.87135149201</v>
      </c>
      <c r="X56">
        <v>137</v>
      </c>
      <c r="Z56">
        <v>72</v>
      </c>
      <c r="AA56">
        <v>-1260.02764466339</v>
      </c>
    </row>
    <row r="57" spans="1:27" x14ac:dyDescent="0.25">
      <c r="A57">
        <f>Table1[[#This Row],[Gibbs Energy (hartree)]]</f>
        <v>-1260.0271325226299</v>
      </c>
      <c r="B57">
        <f>Table1[[#This Row],[Energy (hartrees)]]*$C$2</f>
        <v>-790679.62592927553</v>
      </c>
      <c r="C57">
        <f>Table1[[#This Row],[Energy (kcal)]]-MIN(Table1[Energy (kcal)])</f>
        <v>2.6148687395034358</v>
      </c>
      <c r="D57">
        <v>-1260.0271325226299</v>
      </c>
      <c r="E57">
        <v>166</v>
      </c>
      <c r="F57" t="s">
        <v>19</v>
      </c>
      <c r="H57" s="10">
        <f>Table1[[#This Row],[Rel E]]</f>
        <v>2.6148687395034358</v>
      </c>
      <c r="I57" s="10">
        <f>IF(Table1[[#This Row],[rel G]]&lt;5,EXP(-H57/(D$2*E$2)),0)</f>
        <v>1.2087357655251546E-2</v>
      </c>
      <c r="J57" s="10">
        <f>IF(Table1[[#This Row],[rel G]]&lt;5,I57/$F$2,0)</f>
        <v>1.4850564090781132E-3</v>
      </c>
      <c r="N57">
        <v>27</v>
      </c>
      <c r="O57">
        <v>-1260.03084269695</v>
      </c>
      <c r="P57" t="s">
        <v>99</v>
      </c>
      <c r="Q57" s="11" t="s">
        <v>20</v>
      </c>
      <c r="V57">
        <v>50</v>
      </c>
      <c r="W57">
        <v>-790676.51607207896</v>
      </c>
      <c r="X57">
        <v>144</v>
      </c>
      <c r="Z57">
        <v>73</v>
      </c>
      <c r="AA57">
        <v>-1260.0301538598201</v>
      </c>
    </row>
    <row r="58" spans="1:27" x14ac:dyDescent="0.25">
      <c r="A58">
        <f>Table1[[#This Row],[Gibbs Energy (hartree)]]</f>
        <v>-1260.0256610639401</v>
      </c>
      <c r="B58">
        <f>Table1[[#This Row],[Energy (hartrees)]]*$C$2</f>
        <v>-790678.70257423306</v>
      </c>
      <c r="C58">
        <f>Table1[[#This Row],[Energy (kcal)]]-MIN(Table1[Energy (kcal)])</f>
        <v>3.5382237819721922</v>
      </c>
      <c r="D58">
        <v>-1260.0256610639401</v>
      </c>
      <c r="E58">
        <v>173</v>
      </c>
      <c r="F58" t="s">
        <v>20</v>
      </c>
      <c r="H58" s="10">
        <f>Table1[[#This Row],[Rel E]]</f>
        <v>3.5382237819721922</v>
      </c>
      <c r="I58" s="10">
        <f>IF(Table1[[#This Row],[rel G]]&lt;5,EXP(-H58/(D$2*E$2)),0)</f>
        <v>2.5419655414023298E-3</v>
      </c>
      <c r="J58" s="10">
        <f>IF(Table1[[#This Row],[rel G]]&lt;5,I58/$F$2,0)</f>
        <v>3.1230665349553491E-4</v>
      </c>
      <c r="N58">
        <v>30</v>
      </c>
      <c r="O58">
        <v>-1260.0262665228199</v>
      </c>
      <c r="P58" t="s">
        <v>99</v>
      </c>
      <c r="Q58" s="11" t="s">
        <v>17</v>
      </c>
      <c r="V58">
        <v>51</v>
      </c>
      <c r="W58">
        <v>-790679.48983746499</v>
      </c>
      <c r="X58">
        <v>155</v>
      </c>
      <c r="Z58">
        <v>76</v>
      </c>
      <c r="AA58">
        <v>-1260.0243340807699</v>
      </c>
    </row>
    <row r="59" spans="1:27" x14ac:dyDescent="0.25">
      <c r="A59">
        <f>Table1[[#This Row],[Gibbs Energy (hartree)]]</f>
        <v>-1260.02441304031</v>
      </c>
      <c r="B59">
        <f>Table1[[#This Row],[Energy (hartrees)]]*$C$2</f>
        <v>-790677.9194269249</v>
      </c>
      <c r="C59">
        <f>Table1[[#This Row],[Energy (kcal)]]-MIN(Table1[Energy (kcal)])</f>
        <v>4.3213710901327431</v>
      </c>
      <c r="D59">
        <v>-1260.02441304031</v>
      </c>
      <c r="E59">
        <v>191</v>
      </c>
      <c r="F59" t="s">
        <v>20</v>
      </c>
      <c r="H59" s="10">
        <f>Table1[[#This Row],[Rel E]]</f>
        <v>4.3213710901327431</v>
      </c>
      <c r="I59" s="10">
        <f>IF(Table1[[#This Row],[rel G]]&lt;5,EXP(-H59/(D$2*E$2)),0)</f>
        <v>6.7737976157941345E-4</v>
      </c>
      <c r="J59" s="10">
        <f>IF(Table1[[#This Row],[rel G]]&lt;5,I59/$F$2,0)</f>
        <v>8.3223081917846813E-5</v>
      </c>
      <c r="N59">
        <v>34</v>
      </c>
      <c r="O59">
        <v>-1260.0260142321799</v>
      </c>
      <c r="P59" t="s">
        <v>99</v>
      </c>
      <c r="Q59" s="11" t="s">
        <v>17</v>
      </c>
      <c r="V59">
        <v>52</v>
      </c>
      <c r="W59">
        <v>-790676.83944106998</v>
      </c>
      <c r="X59">
        <v>159</v>
      </c>
      <c r="Z59">
        <v>78</v>
      </c>
      <c r="AA59">
        <v>-1260.0296634397801</v>
      </c>
    </row>
    <row r="60" spans="1:27" x14ac:dyDescent="0.25">
      <c r="A60">
        <f>Table1[[#This Row],[Gibbs Energy (hartree)]]</f>
        <v>-1260.02675572262</v>
      </c>
      <c r="B60">
        <f>Table1[[#This Row],[Energy (hartrees)]]*$C$2</f>
        <v>-790679.38948350132</v>
      </c>
      <c r="C60">
        <f>Table1[[#This Row],[Energy (kcal)]]-MIN(Table1[Energy (kcal)])</f>
        <v>2.8513145137112588</v>
      </c>
      <c r="D60">
        <v>-1260.02675572262</v>
      </c>
      <c r="E60">
        <v>193</v>
      </c>
      <c r="F60" t="s">
        <v>20</v>
      </c>
      <c r="H60" s="10">
        <f>Table1[[#This Row],[Rel E]]</f>
        <v>2.8513145137112588</v>
      </c>
      <c r="I60" s="10">
        <f>IF(Table1[[#This Row],[rel G]]&lt;5,EXP(-H60/(D$2*E$2)),0)</f>
        <v>8.1082834749383707E-3</v>
      </c>
      <c r="J60" s="10">
        <f>IF(Table1[[#This Row],[rel G]]&lt;5,I60/$F$2,0)</f>
        <v>9.9618615453542616E-4</v>
      </c>
      <c r="N60">
        <v>38</v>
      </c>
      <c r="O60">
        <v>-1260.0298808682901</v>
      </c>
      <c r="P60" t="s">
        <v>99</v>
      </c>
      <c r="Q60" s="11" t="s">
        <v>20</v>
      </c>
      <c r="V60">
        <v>53</v>
      </c>
      <c r="W60">
        <v>-790677.06560819503</v>
      </c>
      <c r="X60">
        <v>164</v>
      </c>
      <c r="Z60">
        <v>86</v>
      </c>
      <c r="AA60">
        <v>-1260.02443554156</v>
      </c>
    </row>
    <row r="61" spans="1:27" x14ac:dyDescent="0.25">
      <c r="A61">
        <f>Table1[[#This Row],[Gibbs Energy (hartree)]]</f>
        <v>-1260.02191817782</v>
      </c>
      <c r="B61">
        <f>Table1[[#This Row],[Energy (hartrees)]]*$C$2</f>
        <v>-790676.35387576383</v>
      </c>
      <c r="C61">
        <f>Table1[[#This Row],[Energy (kcal)]]-MIN(Table1[Energy (kcal)])</f>
        <v>5.8869222512003034</v>
      </c>
      <c r="D61">
        <v>-1260.02191817782</v>
      </c>
      <c r="E61">
        <v>197</v>
      </c>
      <c r="F61" t="s">
        <v>17</v>
      </c>
      <c r="H61" s="10">
        <f>Table1[[#This Row],[Rel E]]</f>
        <v>5.8869222512003034</v>
      </c>
      <c r="I61" s="10">
        <f>IF(Table1[[#This Row],[rel G]]&lt;5,EXP(-H61/(D$2*E$2)),0)</f>
        <v>0</v>
      </c>
      <c r="J61" s="10">
        <f>IF(Table1[[#This Row],[rel G]]&lt;5,I61/$F$2,0)</f>
        <v>0</v>
      </c>
      <c r="N61">
        <v>39</v>
      </c>
      <c r="O61">
        <v>-1260.03128452804</v>
      </c>
      <c r="P61" t="s">
        <v>99</v>
      </c>
      <c r="Q61" s="11" t="s">
        <v>17</v>
      </c>
      <c r="V61">
        <v>54</v>
      </c>
      <c r="W61">
        <v>-790675.57158549898</v>
      </c>
      <c r="X61">
        <v>170</v>
      </c>
      <c r="Z61">
        <v>94</v>
      </c>
      <c r="AA61">
        <v>-1260.0213783597801</v>
      </c>
    </row>
    <row r="62" spans="1:27" x14ac:dyDescent="0.25">
      <c r="A62">
        <f>Table1[[#This Row],[Gibbs Energy (hartree)]]</f>
        <v>-1260.02355559074</v>
      </c>
      <c r="B62">
        <f>Table1[[#This Row],[Energy (hartrees)]]*$C$2</f>
        <v>-790677.38136874523</v>
      </c>
      <c r="C62">
        <f>Table1[[#This Row],[Energy (kcal)]]-MIN(Table1[Energy (kcal)])</f>
        <v>4.8594292697962373</v>
      </c>
      <c r="D62">
        <v>-1260.02355559074</v>
      </c>
      <c r="E62">
        <v>208</v>
      </c>
      <c r="F62" t="s">
        <v>19</v>
      </c>
      <c r="H62" s="10">
        <f>Table1[[#This Row],[Rel E]]</f>
        <v>4.8594292697962373</v>
      </c>
      <c r="I62" s="10">
        <f>IF(Table1[[#This Row],[rel G]]&lt;5,EXP(-H62/(D$2*E$2)),0)</f>
        <v>2.7304611913406908E-4</v>
      </c>
      <c r="J62" s="10">
        <f>IF(Table1[[#This Row],[rel G]]&lt;5,I62/$F$2,0)</f>
        <v>3.3546528592854553E-5</v>
      </c>
      <c r="N62">
        <v>40</v>
      </c>
      <c r="O62">
        <v>-1260.0264479628599</v>
      </c>
      <c r="P62" t="s">
        <v>99</v>
      </c>
      <c r="Q62" s="11" t="s">
        <v>126</v>
      </c>
      <c r="V62">
        <v>55</v>
      </c>
      <c r="W62">
        <v>-790678.84717336996</v>
      </c>
      <c r="X62">
        <v>184</v>
      </c>
      <c r="Z62">
        <v>101</v>
      </c>
      <c r="AA62">
        <v>-1260.02252918317</v>
      </c>
    </row>
    <row r="63" spans="1:27" x14ac:dyDescent="0.25">
      <c r="A63">
        <f>Table1[[#This Row],[Gibbs Energy (hartree)]]</f>
        <v>-1260.02540573174</v>
      </c>
      <c r="B63">
        <f>Table1[[#This Row],[Energy (hartrees)]]*$C$2</f>
        <v>-790678.54235072411</v>
      </c>
      <c r="C63">
        <f>Table1[[#This Row],[Energy (kcal)]]-MIN(Table1[Energy (kcal)])</f>
        <v>3.6984472909243777</v>
      </c>
      <c r="D63">
        <v>-1260.02540573174</v>
      </c>
      <c r="E63">
        <v>212</v>
      </c>
      <c r="F63" t="s">
        <v>20</v>
      </c>
      <c r="H63" s="10">
        <f>Table1[[#This Row],[Rel E]]</f>
        <v>3.6984472909243777</v>
      </c>
      <c r="I63" s="10">
        <f>IF(Table1[[#This Row],[rel G]]&lt;5,EXP(-H63/(D$2*E$2)),0)</f>
        <v>1.9393955772795746E-3</v>
      </c>
      <c r="J63" s="10">
        <f>IF(Table1[[#This Row],[rel G]]&lt;5,I63/$F$2,0)</f>
        <v>2.3827472586826856E-4</v>
      </c>
      <c r="N63">
        <v>41</v>
      </c>
      <c r="O63">
        <v>-1260.0308717426301</v>
      </c>
      <c r="P63" t="s">
        <v>99</v>
      </c>
      <c r="Q63" s="11" t="s">
        <v>17</v>
      </c>
      <c r="V63">
        <v>56</v>
      </c>
      <c r="W63">
        <v>-790678.03324032796</v>
      </c>
      <c r="X63">
        <v>189</v>
      </c>
      <c r="Z63">
        <v>103</v>
      </c>
      <c r="AA63">
        <v>-1260.02985405192</v>
      </c>
    </row>
    <row r="64" spans="1:27" x14ac:dyDescent="0.25">
      <c r="A64">
        <f>Table1[[#This Row],[Gibbs Energy (hartree)]]</f>
        <v>-1260.0270457240999</v>
      </c>
      <c r="B64">
        <f>Table1[[#This Row],[Energy (hartrees)]]*$C$2</f>
        <v>-790679.57146232994</v>
      </c>
      <c r="C64">
        <f>Table1[[#This Row],[Energy (kcal)]]-MIN(Table1[Energy (kcal)])</f>
        <v>2.6693356850882992</v>
      </c>
      <c r="D64">
        <v>-1260.0270457240999</v>
      </c>
      <c r="E64">
        <v>215</v>
      </c>
      <c r="F64" t="s">
        <v>20</v>
      </c>
      <c r="H64" s="10">
        <f>Table1[[#This Row],[Rel E]]</f>
        <v>2.6693356850882992</v>
      </c>
      <c r="I64" s="10">
        <f>IF(Table1[[#This Row],[rel G]]&lt;5,EXP(-H64/(D$2*E$2)),0)</f>
        <v>1.1025210755684352E-2</v>
      </c>
      <c r="J64" s="10">
        <f>IF(Table1[[#This Row],[rel G]]&lt;5,I64/$F$2,0)</f>
        <v>1.3545607204774369E-3</v>
      </c>
      <c r="N64">
        <v>45</v>
      </c>
      <c r="O64">
        <v>-1260.02209580563</v>
      </c>
      <c r="P64" t="s">
        <v>99</v>
      </c>
      <c r="Q64" s="11" t="s">
        <v>19</v>
      </c>
      <c r="V64">
        <v>57</v>
      </c>
      <c r="W64">
        <v>-790677.93277725799</v>
      </c>
      <c r="X64">
        <v>190</v>
      </c>
      <c r="Z64">
        <v>104</v>
      </c>
      <c r="AA64">
        <v>-1260.0195415466401</v>
      </c>
    </row>
    <row r="65" spans="1:27" x14ac:dyDescent="0.25">
      <c r="A65">
        <f>Table1[[#This Row],[Gibbs Energy (hartree)]]</f>
        <v>-1260.0243313266501</v>
      </c>
      <c r="B65">
        <f>Table1[[#This Row],[Energy (hartrees)]]*$C$2</f>
        <v>-790677.86815078615</v>
      </c>
      <c r="C65">
        <f>Table1[[#This Row],[Energy (kcal)]]-MIN(Table1[Energy (kcal)])</f>
        <v>4.3726472288835794</v>
      </c>
      <c r="D65">
        <v>-1260.0243313266501</v>
      </c>
      <c r="E65">
        <v>219</v>
      </c>
      <c r="F65" t="s">
        <v>20</v>
      </c>
      <c r="H65" s="10">
        <f>Table1[[#This Row],[Rel E]]</f>
        <v>4.3726472288835794</v>
      </c>
      <c r="I65" s="10">
        <f>IF(Table1[[#This Row],[rel G]]&lt;5,EXP(-H65/(D$2*E$2)),0)</f>
        <v>6.2119476781609438E-4</v>
      </c>
      <c r="J65" s="10">
        <f>IF(Table1[[#This Row],[rel G]]&lt;5,I65/$F$2,0)</f>
        <v>7.6320176629363033E-5</v>
      </c>
      <c r="N65">
        <v>48</v>
      </c>
      <c r="O65">
        <v>-1260.02912911356</v>
      </c>
      <c r="P65" t="s">
        <v>99</v>
      </c>
      <c r="Q65" s="11" t="s">
        <v>20</v>
      </c>
      <c r="V65">
        <v>60</v>
      </c>
      <c r="W65">
        <v>-790676.03099690506</v>
      </c>
      <c r="X65">
        <v>205</v>
      </c>
      <c r="Z65">
        <v>106</v>
      </c>
      <c r="AA65">
        <v>-1260.0222569703501</v>
      </c>
    </row>
    <row r="66" spans="1:27" x14ac:dyDescent="0.25">
      <c r="A66">
        <f>Table1[[#This Row],[Gibbs Energy (hartree)]]</f>
        <v>-1260.0208894607399</v>
      </c>
      <c r="B66">
        <f>Table1[[#This Row],[Energy (hartrees)]]*$C$2</f>
        <v>-790675.7083455089</v>
      </c>
      <c r="C66">
        <f>Table1[[#This Row],[Energy (kcal)]]-MIN(Table1[Energy (kcal)])</f>
        <v>6.5324525061296299</v>
      </c>
      <c r="D66">
        <v>-1260.0208894607399</v>
      </c>
      <c r="E66">
        <v>220</v>
      </c>
      <c r="F66" t="s">
        <v>20</v>
      </c>
      <c r="H66" s="10">
        <f>Table1[[#This Row],[Rel E]]</f>
        <v>6.5324525061296299</v>
      </c>
      <c r="I66" s="10">
        <f>IF(Table1[[#This Row],[rel G]]&lt;5,EXP(-H66/(D$2*E$2)),0)</f>
        <v>0</v>
      </c>
      <c r="J66" s="10">
        <f>IF(Table1[[#This Row],[rel G]]&lt;5,I66/$F$2,0)</f>
        <v>0</v>
      </c>
      <c r="N66">
        <v>57</v>
      </c>
      <c r="O66">
        <v>-1260.02659061648</v>
      </c>
      <c r="P66" t="s">
        <v>99</v>
      </c>
      <c r="Q66" s="11" t="s">
        <v>18</v>
      </c>
      <c r="V66">
        <v>63</v>
      </c>
      <c r="W66">
        <v>-790675.72068930895</v>
      </c>
      <c r="X66">
        <v>247</v>
      </c>
      <c r="Z66">
        <v>107</v>
      </c>
      <c r="AA66">
        <v>-1260.02261003535</v>
      </c>
    </row>
    <row r="67" spans="1:27" x14ac:dyDescent="0.25">
      <c r="A67">
        <f>Table1[[#This Row],[Gibbs Energy (hartree)]]</f>
        <v>-1260.0268507995199</v>
      </c>
      <c r="B67">
        <f>Table1[[#This Row],[Energy (hartrees)]]*$C$2</f>
        <v>-790679.44914520672</v>
      </c>
      <c r="C67">
        <f>Table1[[#This Row],[Energy (kcal)]]-MIN(Table1[Energy (kcal)])</f>
        <v>2.7916528083151206</v>
      </c>
      <c r="D67">
        <v>-1260.0268507995199</v>
      </c>
      <c r="E67">
        <v>241</v>
      </c>
      <c r="F67" t="s">
        <v>20</v>
      </c>
      <c r="H67" s="10">
        <f>Table1[[#This Row],[Rel E]]</f>
        <v>2.7916528083151206</v>
      </c>
      <c r="I67" s="10">
        <f>IF(Table1[[#This Row],[rel G]]&lt;5,EXP(-H67/(D$2*E$2)),0)</f>
        <v>8.9677415206469522E-3</v>
      </c>
      <c r="J67" s="10">
        <f>IF(Table1[[#This Row],[rel G]]&lt;5,I67/$F$2,0)</f>
        <v>1.1017794293864231E-3</v>
      </c>
      <c r="N67">
        <v>59</v>
      </c>
      <c r="O67">
        <v>-1260.02396950407</v>
      </c>
      <c r="P67" t="s">
        <v>99</v>
      </c>
      <c r="Q67" s="11" t="s">
        <v>19</v>
      </c>
      <c r="V67">
        <v>65</v>
      </c>
      <c r="W67">
        <v>-790678.60882617999</v>
      </c>
      <c r="X67">
        <v>387</v>
      </c>
      <c r="Z67">
        <v>109</v>
      </c>
      <c r="AA67">
        <v>-1260.02894305167</v>
      </c>
    </row>
    <row r="68" spans="1:27" x14ac:dyDescent="0.25">
      <c r="A68">
        <f>Table1[[#This Row],[Gibbs Energy (hartree)]]</f>
        <v>-1260.02521057374</v>
      </c>
      <c r="B68">
        <f>Table1[[#This Row],[Energy (hartrees)]]*$C$2</f>
        <v>-790678.41988712759</v>
      </c>
      <c r="C68">
        <f>Table1[[#This Row],[Energy (kcal)]]-MIN(Table1[Energy (kcal)])</f>
        <v>3.8209108874434605</v>
      </c>
      <c r="D68">
        <v>-1260.02521057374</v>
      </c>
      <c r="E68">
        <v>272</v>
      </c>
      <c r="F68" t="s">
        <v>19</v>
      </c>
      <c r="H68" s="10">
        <f>Table1[[#This Row],[Rel E]]</f>
        <v>3.8209108874434605</v>
      </c>
      <c r="I68" s="10">
        <f>IF(Table1[[#This Row],[rel G]]&lt;5,EXP(-H68/(D$2*E$2)),0)</f>
        <v>1.5770852267245181E-3</v>
      </c>
      <c r="J68" s="10">
        <f>IF(Table1[[#This Row],[rel G]]&lt;5,I68/$F$2,0)</f>
        <v>1.9376116686611894E-4</v>
      </c>
      <c r="N68">
        <v>66</v>
      </c>
      <c r="O68">
        <v>-1260.0199372786899</v>
      </c>
      <c r="P68" t="s">
        <v>99</v>
      </c>
      <c r="Q68" s="11" t="s">
        <v>19</v>
      </c>
      <c r="Z68">
        <v>123</v>
      </c>
      <c r="AA68">
        <v>-1260.0266809110601</v>
      </c>
    </row>
    <row r="69" spans="1:27" x14ac:dyDescent="0.25">
      <c r="A69">
        <f>Table1[[#This Row],[Gibbs Energy (hartree)]]</f>
        <v>-1260.0236461986599</v>
      </c>
      <c r="B69">
        <f>Table1[[#This Row],[Energy (hartrees)]]*$C$2</f>
        <v>-790677.43822612101</v>
      </c>
      <c r="C69">
        <f>Table1[[#This Row],[Energy (kcal)]]-MIN(Table1[Energy (kcal)])</f>
        <v>4.8025718940189108</v>
      </c>
      <c r="D69">
        <v>-1260.0236461986599</v>
      </c>
      <c r="E69">
        <v>276</v>
      </c>
      <c r="F69" t="s">
        <v>17</v>
      </c>
      <c r="H69" s="10">
        <f>Table1[[#This Row],[Rel E]]</f>
        <v>4.8025718940189108</v>
      </c>
      <c r="I69" s="10">
        <f>IF(Table1[[#This Row],[rel G]]&lt;5,EXP(-H69/(D$2*E$2)),0)</f>
        <v>3.0056164067234582E-4</v>
      </c>
      <c r="J69" s="10">
        <f>IF(Table1[[#This Row],[rel G]]&lt;5,I69/$F$2,0)</f>
        <v>3.6927093872296872E-5</v>
      </c>
      <c r="N69">
        <v>72</v>
      </c>
      <c r="O69">
        <v>-1260.02758428118</v>
      </c>
      <c r="P69" t="s">
        <v>99</v>
      </c>
      <c r="Q69" s="11" t="s">
        <v>17</v>
      </c>
      <c r="Z69">
        <v>125</v>
      </c>
      <c r="AA69">
        <v>-1260.01965773762</v>
      </c>
    </row>
    <row r="70" spans="1:27" x14ac:dyDescent="0.25">
      <c r="A70">
        <f>Table1[[#This Row],[Gibbs Energy (hartree)]]</f>
        <v>-1260.0227170134999</v>
      </c>
      <c r="B70">
        <f>Table1[[#This Row],[Energy (hartrees)]]*$C$2</f>
        <v>-790676.85515314131</v>
      </c>
      <c r="C70">
        <f>Table1[[#This Row],[Energy (kcal)]]-MIN(Table1[Energy (kcal)])</f>
        <v>5.3856448737205938</v>
      </c>
      <c r="D70">
        <v>-1260.0227170134999</v>
      </c>
      <c r="E70">
        <v>278</v>
      </c>
      <c r="F70" t="s">
        <v>19</v>
      </c>
      <c r="H70" s="10">
        <f>Table1[[#This Row],[Rel E]]</f>
        <v>5.3856448737205938</v>
      </c>
      <c r="I70" s="10">
        <f>IF(Table1[[#This Row],[rel G]]&lt;5,EXP(-H70/(D$2*E$2)),0)</f>
        <v>0</v>
      </c>
      <c r="J70" s="10">
        <f>IF(Table1[[#This Row],[rel G]]&lt;5,I70/$F$2,0)</f>
        <v>0</v>
      </c>
      <c r="N70">
        <v>73</v>
      </c>
      <c r="O70">
        <v>-1260.0301616541301</v>
      </c>
      <c r="P70" t="s">
        <v>99</v>
      </c>
      <c r="Q70" s="11" t="s">
        <v>19</v>
      </c>
      <c r="Z70">
        <v>128</v>
      </c>
      <c r="AA70">
        <v>-1260.02590388668</v>
      </c>
    </row>
    <row r="71" spans="1:27" x14ac:dyDescent="0.25">
      <c r="A71">
        <f>Table1[[#This Row],[Gibbs Energy (hartree)]]</f>
        <v>-1260.0242700860199</v>
      </c>
      <c r="B71">
        <f>Table1[[#This Row],[Energy (hartrees)]]*$C$2</f>
        <v>-790677.82972167828</v>
      </c>
      <c r="C71">
        <f>Table1[[#This Row],[Energy (kcal)]]-MIN(Table1[Energy (kcal)])</f>
        <v>4.4110763367498294</v>
      </c>
      <c r="D71">
        <v>-1260.0242700860199</v>
      </c>
      <c r="E71">
        <v>283</v>
      </c>
      <c r="F71" t="s">
        <v>19</v>
      </c>
      <c r="H71" s="10">
        <f>Table1[[#This Row],[Rel E]]</f>
        <v>4.4110763367498294</v>
      </c>
      <c r="I71" s="10">
        <f>IF(Table1[[#This Row],[rel G]]&lt;5,EXP(-H71/(D$2*E$2)),0)</f>
        <v>5.8216353614010704E-4</v>
      </c>
      <c r="J71" s="10">
        <f>IF(Table1[[#This Row],[rel G]]&lt;5,I71/$F$2,0)</f>
        <v>7.1524787727351489E-5</v>
      </c>
      <c r="N71">
        <v>76</v>
      </c>
      <c r="O71">
        <v>-1260.0243553852799</v>
      </c>
      <c r="P71" t="s">
        <v>99</v>
      </c>
      <c r="Q71" s="11" t="s">
        <v>19</v>
      </c>
      <c r="Z71">
        <v>135</v>
      </c>
      <c r="AA71">
        <v>-1260.0278872630799</v>
      </c>
    </row>
    <row r="72" spans="1:27" x14ac:dyDescent="0.25">
      <c r="A72">
        <f>Table1[[#This Row],[Gibbs Energy (hartree)]]</f>
        <v>-1260.0209469126501</v>
      </c>
      <c r="B72">
        <f>Table1[[#This Row],[Energy (hartrees)]]*$C$2</f>
        <v>-790675.74439715699</v>
      </c>
      <c r="C72">
        <f>Table1[[#This Row],[Energy (kcal)]]-MIN(Table1[Energy (kcal)])</f>
        <v>6.4964008580427617</v>
      </c>
      <c r="D72">
        <v>-1260.0209469126501</v>
      </c>
      <c r="E72">
        <v>290</v>
      </c>
      <c r="F72" t="s">
        <v>17</v>
      </c>
      <c r="H72" s="10">
        <f>Table1[[#This Row],[Rel E]]</f>
        <v>6.4964008580427617</v>
      </c>
      <c r="I72" s="10">
        <f>IF(Table1[[#This Row],[rel G]]&lt;5,EXP(-H72/(D$2*E$2)),0)</f>
        <v>0</v>
      </c>
      <c r="J72" s="10">
        <f>IF(Table1[[#This Row],[rel G]]&lt;5,I72/$F$2,0)</f>
        <v>0</v>
      </c>
      <c r="N72">
        <v>78</v>
      </c>
      <c r="O72">
        <v>-1260.02965005083</v>
      </c>
      <c r="P72" t="s">
        <v>99</v>
      </c>
      <c r="Q72" s="11" t="s">
        <v>126</v>
      </c>
      <c r="Z72">
        <v>136</v>
      </c>
      <c r="AA72">
        <v>-1260.02687993476</v>
      </c>
    </row>
    <row r="73" spans="1:27" x14ac:dyDescent="0.25">
      <c r="A73">
        <f>Table1[[#This Row],[Gibbs Energy (hartree)]]</f>
        <v>-1260.02302951363</v>
      </c>
      <c r="B73">
        <f>Table1[[#This Row],[Energy (hartrees)]]*$C$2</f>
        <v>-790677.05125009792</v>
      </c>
      <c r="C73">
        <f>Table1[[#This Row],[Energy (kcal)]]-MIN(Table1[Energy (kcal)])</f>
        <v>5.1895479171071202</v>
      </c>
      <c r="D73">
        <v>-1260.02302951363</v>
      </c>
      <c r="E73">
        <v>333</v>
      </c>
      <c r="F73" t="s">
        <v>126</v>
      </c>
      <c r="H73" s="10">
        <f>Table1[[#This Row],[Rel E]]</f>
        <v>5.1895479171071202</v>
      </c>
      <c r="I73" s="10">
        <f>IF(Table1[[#This Row],[rel G]]&lt;5,EXP(-H73/(D$2*E$2)),0)</f>
        <v>0</v>
      </c>
      <c r="J73" s="10">
        <f>IF(Table1[[#This Row],[rel G]]&lt;5,I73/$F$2,0)</f>
        <v>0</v>
      </c>
      <c r="N73">
        <v>86</v>
      </c>
      <c r="O73">
        <v>-1260.0243944224801</v>
      </c>
      <c r="P73" t="s">
        <v>99</v>
      </c>
      <c r="Q73" s="11" t="s">
        <v>19</v>
      </c>
      <c r="Z73">
        <v>142</v>
      </c>
      <c r="AA73">
        <v>-1260.02858229659</v>
      </c>
    </row>
    <row r="74" spans="1:27" x14ac:dyDescent="0.25">
      <c r="A74">
        <f>Table1[[#This Row],[Gibbs Energy (hartree)]]</f>
        <v>-1260.02356689106</v>
      </c>
      <c r="B74">
        <f>Table1[[#This Row],[Energy (hartrees)]]*$C$2</f>
        <v>-790677.38845980901</v>
      </c>
      <c r="C74">
        <f>Table1[[#This Row],[Energy (kcal)]]-MIN(Table1[Energy (kcal)])</f>
        <v>4.8523382060229778</v>
      </c>
      <c r="D74">
        <v>-1260.02356689106</v>
      </c>
      <c r="E74">
        <v>373</v>
      </c>
      <c r="F74" t="s">
        <v>17</v>
      </c>
      <c r="H74" s="10">
        <f>Table1[[#This Row],[Rel E]]</f>
        <v>4.8523382060229778</v>
      </c>
      <c r="I74" s="10">
        <f>IF(Table1[[#This Row],[rel G]]&lt;5,EXP(-H74/(D$2*E$2)),0)</f>
        <v>2.7633531353863522E-4</v>
      </c>
      <c r="J74" s="10">
        <f>IF(Table1[[#This Row],[rel G]]&lt;5,I74/$F$2,0)</f>
        <v>3.395064000996668E-5</v>
      </c>
      <c r="N74">
        <v>103</v>
      </c>
      <c r="O74">
        <v>-1260.0297877553401</v>
      </c>
      <c r="P74" t="s">
        <v>99</v>
      </c>
      <c r="Q74" s="11" t="s">
        <v>19</v>
      </c>
      <c r="Z74">
        <v>143</v>
      </c>
      <c r="AA74">
        <v>-1260.02448321456</v>
      </c>
    </row>
    <row r="75" spans="1:27" x14ac:dyDescent="0.25">
      <c r="A75">
        <f>Table1[[#This Row],[Gibbs Energy (hartree)]]</f>
        <v>-1260.0224307245801</v>
      </c>
      <c r="B75">
        <f>Table1[[#This Row],[Energy (hartrees)]]*$C$2</f>
        <v>-790676.67550398118</v>
      </c>
      <c r="C75">
        <f>Table1[[#This Row],[Energy (kcal)]]-MIN(Table1[Energy (kcal)])</f>
        <v>5.5652940338477492</v>
      </c>
      <c r="D75">
        <v>-1260.0224307245801</v>
      </c>
      <c r="E75">
        <v>396</v>
      </c>
      <c r="F75" t="s">
        <v>17</v>
      </c>
      <c r="H75" s="10">
        <f>Table1[[#This Row],[Rel E]]</f>
        <v>5.5652940338477492</v>
      </c>
      <c r="I75" s="10">
        <f>IF(Table1[[#This Row],[rel G]]&lt;5,EXP(-H75/(D$2*E$2)),0)</f>
        <v>0</v>
      </c>
      <c r="J75" s="10">
        <f>IF(Table1[[#This Row],[rel G]]&lt;5,I75/$F$2,0)</f>
        <v>0</v>
      </c>
      <c r="N75">
        <v>104</v>
      </c>
      <c r="O75">
        <v>-1260.01955370625</v>
      </c>
      <c r="P75" t="s">
        <v>99</v>
      </c>
      <c r="Q75" s="11" t="s">
        <v>19</v>
      </c>
      <c r="Z75">
        <v>144</v>
      </c>
      <c r="AA75">
        <v>-1260.0244939439399</v>
      </c>
    </row>
    <row r="76" spans="1:27" x14ac:dyDescent="0.25">
      <c r="C76" s="4"/>
      <c r="D76" s="4"/>
      <c r="H76" s="4"/>
      <c r="I76" s="4"/>
      <c r="J76" s="4"/>
      <c r="N76">
        <v>106</v>
      </c>
      <c r="O76">
        <v>-1260.0222523979</v>
      </c>
      <c r="P76" t="s">
        <v>99</v>
      </c>
      <c r="Q76" s="11" t="s">
        <v>19</v>
      </c>
      <c r="Z76">
        <v>145</v>
      </c>
      <c r="AA76">
        <v>-1260.0255057770601</v>
      </c>
    </row>
    <row r="77" spans="1:27" x14ac:dyDescent="0.25">
      <c r="C77" s="4"/>
      <c r="D77" s="4"/>
      <c r="H77" s="4"/>
      <c r="I77" s="4"/>
      <c r="J77" s="4"/>
      <c r="N77">
        <v>107</v>
      </c>
      <c r="O77">
        <v>-1260.0225735681399</v>
      </c>
      <c r="P77" t="s">
        <v>99</v>
      </c>
      <c r="Q77" s="11" t="s">
        <v>126</v>
      </c>
      <c r="Z77">
        <v>166</v>
      </c>
      <c r="AA77">
        <v>-1260.0271325226299</v>
      </c>
    </row>
    <row r="78" spans="1:27" x14ac:dyDescent="0.25">
      <c r="C78" s="4"/>
      <c r="D78" s="4"/>
      <c r="H78" s="4"/>
      <c r="I78" s="4"/>
      <c r="J78" s="4"/>
      <c r="N78">
        <v>109</v>
      </c>
      <c r="O78">
        <v>-1260.0289022894499</v>
      </c>
      <c r="P78" t="s">
        <v>99</v>
      </c>
      <c r="Q78" s="11" t="s">
        <v>17</v>
      </c>
      <c r="Z78">
        <v>173</v>
      </c>
      <c r="AA78">
        <v>-1260.0256610639401</v>
      </c>
    </row>
    <row r="79" spans="1:27" x14ac:dyDescent="0.25">
      <c r="C79" s="4"/>
      <c r="D79" s="4"/>
      <c r="H79" s="4"/>
      <c r="I79" s="4"/>
      <c r="J79" s="4"/>
      <c r="N79">
        <v>116</v>
      </c>
      <c r="O79">
        <v>-1260.0249779616499</v>
      </c>
      <c r="P79" t="s">
        <v>99</v>
      </c>
      <c r="Q79" s="11" t="s">
        <v>19</v>
      </c>
      <c r="Z79">
        <v>191</v>
      </c>
      <c r="AA79">
        <v>-1260.02441304031</v>
      </c>
    </row>
    <row r="80" spans="1:27" x14ac:dyDescent="0.25">
      <c r="N80">
        <v>123</v>
      </c>
      <c r="O80">
        <v>-1260.02669742138</v>
      </c>
      <c r="P80" t="s">
        <v>99</v>
      </c>
      <c r="Q80" s="11" t="s">
        <v>17</v>
      </c>
      <c r="Z80">
        <v>193</v>
      </c>
      <c r="AA80">
        <v>-1260.02675572262</v>
      </c>
    </row>
    <row r="81" spans="14:27" x14ac:dyDescent="0.25">
      <c r="N81">
        <v>125</v>
      </c>
      <c r="O81">
        <v>-1260.0196692643899</v>
      </c>
      <c r="P81" t="s">
        <v>99</v>
      </c>
      <c r="Q81" s="11" t="s">
        <v>19</v>
      </c>
      <c r="Z81">
        <v>197</v>
      </c>
      <c r="AA81">
        <v>-1260.02191817782</v>
      </c>
    </row>
    <row r="82" spans="14:27" x14ac:dyDescent="0.25">
      <c r="N82">
        <v>128</v>
      </c>
      <c r="O82">
        <v>-1260.0258963423701</v>
      </c>
      <c r="P82" t="s">
        <v>99</v>
      </c>
      <c r="Q82" s="11" t="s">
        <v>19</v>
      </c>
      <c r="Z82">
        <v>208</v>
      </c>
      <c r="AA82">
        <v>-1260.02355559074</v>
      </c>
    </row>
    <row r="83" spans="14:27" x14ac:dyDescent="0.25">
      <c r="N83">
        <v>135</v>
      </c>
      <c r="O83">
        <v>-1260.02789413456</v>
      </c>
      <c r="P83" t="s">
        <v>99</v>
      </c>
      <c r="Q83" s="12" t="s">
        <v>20</v>
      </c>
      <c r="Z83">
        <v>212</v>
      </c>
      <c r="AA83">
        <v>-1260.02540573174</v>
      </c>
    </row>
    <row r="84" spans="14:27" x14ac:dyDescent="0.25">
      <c r="N84">
        <v>142</v>
      </c>
      <c r="O84">
        <v>-1260.0285385104</v>
      </c>
      <c r="Z84">
        <v>215</v>
      </c>
      <c r="AA84">
        <v>-1260.0270457240999</v>
      </c>
    </row>
    <row r="85" spans="14:27" x14ac:dyDescent="0.25">
      <c r="N85">
        <v>143</v>
      </c>
      <c r="O85">
        <v>-1260.02446245687</v>
      </c>
      <c r="Z85">
        <v>219</v>
      </c>
      <c r="AA85">
        <v>-1260.0243313266501</v>
      </c>
    </row>
    <row r="86" spans="14:27" x14ac:dyDescent="0.25">
      <c r="N86">
        <v>144</v>
      </c>
      <c r="O86">
        <v>-1260.0244952001699</v>
      </c>
      <c r="Z86">
        <v>220</v>
      </c>
      <c r="AA86">
        <v>-1260.0208894607399</v>
      </c>
    </row>
    <row r="87" spans="14:27" x14ac:dyDescent="0.25">
      <c r="N87">
        <v>145</v>
      </c>
      <c r="O87">
        <v>-1260.02547129495</v>
      </c>
      <c r="Z87">
        <v>241</v>
      </c>
      <c r="AA87">
        <v>-1260.0268507995199</v>
      </c>
    </row>
    <row r="88" spans="14:27" x14ac:dyDescent="0.25">
      <c r="N88">
        <v>166</v>
      </c>
      <c r="O88">
        <v>-1260.0271361299399</v>
      </c>
      <c r="Z88">
        <v>272</v>
      </c>
      <c r="AA88">
        <v>-1260.02521057374</v>
      </c>
    </row>
    <row r="89" spans="14:27" x14ac:dyDescent="0.25">
      <c r="N89">
        <v>173</v>
      </c>
      <c r="O89">
        <v>-1260.0256561476599</v>
      </c>
      <c r="Z89">
        <v>276</v>
      </c>
      <c r="AA89">
        <v>-1260.0236461986599</v>
      </c>
    </row>
    <row r="90" spans="14:27" x14ac:dyDescent="0.25">
      <c r="N90">
        <v>193</v>
      </c>
      <c r="O90">
        <v>-1260.02675388478</v>
      </c>
      <c r="Z90">
        <v>278</v>
      </c>
      <c r="AA90">
        <v>-1260.0227170134999</v>
      </c>
    </row>
    <row r="91" spans="14:27" x14ac:dyDescent="0.25">
      <c r="N91">
        <v>197</v>
      </c>
      <c r="O91">
        <v>-1260.0219271742501</v>
      </c>
      <c r="Z91">
        <v>283</v>
      </c>
      <c r="AA91">
        <v>-1260.0242700860199</v>
      </c>
    </row>
    <row r="92" spans="14:27" x14ac:dyDescent="0.25">
      <c r="N92">
        <v>208</v>
      </c>
      <c r="O92">
        <v>-1260.0235579176999</v>
      </c>
      <c r="Z92">
        <v>290</v>
      </c>
      <c r="AA92">
        <v>-1260.0209469126501</v>
      </c>
    </row>
    <row r="93" spans="14:27" x14ac:dyDescent="0.25">
      <c r="N93">
        <v>212</v>
      </c>
      <c r="O93">
        <v>-1260.0254034105999</v>
      </c>
      <c r="Z93">
        <v>333</v>
      </c>
      <c r="AA93">
        <v>-1260.02302951363</v>
      </c>
    </row>
    <row r="94" spans="14:27" x14ac:dyDescent="0.25">
      <c r="N94">
        <v>215</v>
      </c>
      <c r="O94">
        <v>-1260.0270429204099</v>
      </c>
      <c r="Z94">
        <v>373</v>
      </c>
      <c r="AA94">
        <v>-1260.02356689106</v>
      </c>
    </row>
    <row r="95" spans="14:27" x14ac:dyDescent="0.25">
      <c r="N95">
        <v>219</v>
      </c>
      <c r="O95">
        <v>-1260.0243053799099</v>
      </c>
      <c r="Z95">
        <v>396</v>
      </c>
      <c r="AA95">
        <v>-1260.0224307245801</v>
      </c>
    </row>
    <row r="96" spans="14:27" x14ac:dyDescent="0.25">
      <c r="N96">
        <v>220</v>
      </c>
      <c r="O96">
        <v>-1260.02088737025</v>
      </c>
    </row>
    <row r="97" spans="14:15" x14ac:dyDescent="0.25">
      <c r="N97">
        <v>241</v>
      </c>
      <c r="O97">
        <v>-1260.0268599834901</v>
      </c>
    </row>
    <row r="98" spans="14:15" x14ac:dyDescent="0.25">
      <c r="N98">
        <v>272</v>
      </c>
      <c r="O98">
        <v>-1260.0252275231901</v>
      </c>
    </row>
    <row r="99" spans="14:15" x14ac:dyDescent="0.25">
      <c r="N99">
        <v>276</v>
      </c>
      <c r="O99">
        <v>-1260.02368560072</v>
      </c>
    </row>
    <row r="100" spans="14:15" x14ac:dyDescent="0.25">
      <c r="N100">
        <v>278</v>
      </c>
      <c r="O100">
        <v>-1260.0227212490499</v>
      </c>
    </row>
    <row r="101" spans="14:15" x14ac:dyDescent="0.25">
      <c r="N101">
        <v>283</v>
      </c>
      <c r="O101">
        <v>-1260.0242665906101</v>
      </c>
    </row>
    <row r="102" spans="14:15" x14ac:dyDescent="0.25">
      <c r="N102">
        <v>290</v>
      </c>
      <c r="O102">
        <v>-1260.02099230257</v>
      </c>
    </row>
    <row r="103" spans="14:15" x14ac:dyDescent="0.25">
      <c r="N103">
        <v>333</v>
      </c>
      <c r="O103">
        <v>-1260.0230699675401</v>
      </c>
    </row>
    <row r="104" spans="14:15" x14ac:dyDescent="0.25">
      <c r="N104">
        <v>373</v>
      </c>
      <c r="O104">
        <v>-1260.02358577985</v>
      </c>
    </row>
  </sheetData>
  <sortState xmlns:xlrd2="http://schemas.microsoft.com/office/spreadsheetml/2017/richdata2" ref="N7:P11">
    <sortCondition descending="1" ref="O7:O11"/>
  </sortState>
  <phoneticPr fontId="4" type="noConversion"/>
  <conditionalFormatting sqref="X76:X79">
    <cfRule type="cellIs" dxfId="32" priority="4" operator="greaterThan">
      <formula>5</formula>
    </cfRule>
  </conditionalFormatting>
  <conditionalFormatting sqref="H7:H75">
    <cfRule type="cellIs" dxfId="31" priority="1" operator="lessThan">
      <formula>5</formula>
    </cfRule>
    <cfRule type="cellIs" dxfId="30" priority="2" operator="greaterThan">
      <formula>5</formula>
    </cfRule>
  </conditionalFormatting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EDE23-14B5-4F34-8B41-10E18CB07CA4}">
  <dimension ref="A1:AF82"/>
  <sheetViews>
    <sheetView topLeftCell="A34" workbookViewId="0">
      <selection activeCell="K79" sqref="K79"/>
    </sheetView>
  </sheetViews>
  <sheetFormatPr defaultRowHeight="15" x14ac:dyDescent="0.25"/>
  <cols>
    <col min="1" max="1" width="10.140625" customWidth="1"/>
    <col min="11" max="11" width="13.42578125" customWidth="1"/>
  </cols>
  <sheetData>
    <row r="1" spans="1:31" x14ac:dyDescent="0.25">
      <c r="A1" t="s">
        <v>76</v>
      </c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  <c r="H1" t="s">
        <v>73</v>
      </c>
      <c r="I1" t="s">
        <v>74</v>
      </c>
      <c r="J1" t="s">
        <v>15</v>
      </c>
      <c r="K1" t="s">
        <v>75</v>
      </c>
      <c r="L1" t="s">
        <v>78</v>
      </c>
      <c r="M1" t="s">
        <v>79</v>
      </c>
      <c r="N1" t="s">
        <v>80</v>
      </c>
      <c r="O1" t="s">
        <v>81</v>
      </c>
      <c r="P1" t="s">
        <v>82</v>
      </c>
      <c r="Q1" t="s">
        <v>83</v>
      </c>
      <c r="R1" t="s">
        <v>84</v>
      </c>
      <c r="S1" t="s">
        <v>85</v>
      </c>
      <c r="T1" t="s">
        <v>86</v>
      </c>
    </row>
    <row r="2" spans="1:31" x14ac:dyDescent="0.25">
      <c r="A2" t="s">
        <v>23</v>
      </c>
      <c r="B2">
        <v>7.6769999999999996</v>
      </c>
      <c r="C2">
        <v>8.5869999999999997</v>
      </c>
      <c r="D2">
        <v>6.492</v>
      </c>
      <c r="E2">
        <v>0.92100000000000004</v>
      </c>
      <c r="F2">
        <v>12.112</v>
      </c>
      <c r="G2">
        <v>1.4730000000000001</v>
      </c>
      <c r="H2">
        <v>-12.196</v>
      </c>
      <c r="I2">
        <v>10.313000000000001</v>
      </c>
      <c r="J2" s="9">
        <f>chloroform!J7</f>
        <v>1.9057249081052711E-2</v>
      </c>
      <c r="K2" t="str">
        <f>chloroform!F7</f>
        <v>4H6</v>
      </c>
      <c r="M2">
        <f>0.9155*Table2[[#This Row],[J1,2]]*Table2[[#This Row],[weight]]</f>
        <v>0.13393993984424374</v>
      </c>
      <c r="N2">
        <f>0.9155*Table2[[#This Row],[J2,3]]*Table2[[#This Row],[weight]]</f>
        <v>0.14981662933991416</v>
      </c>
      <c r="O2">
        <f>0.9155*Table2[[#This Row],[J34]]*Table2[[#This Row],[weight]]</f>
        <v>0.11326534967680478</v>
      </c>
      <c r="P2">
        <f>0.9155*Table2[[#This Row],[J45]]*Table2[[#This Row],[weight]]</f>
        <v>1.6068605522541159E-2</v>
      </c>
      <c r="Q2">
        <f>0.9155*Table2[[#This Row],[J56]]*Table2[[#This Row],[weight]]</f>
        <v>0.21131699249621991</v>
      </c>
      <c r="R2">
        <f>0.9155*Table2[[#This Row],[J67]]*Table2[[#This Row],[weight]]</f>
        <v>2.5699300689145634E-2</v>
      </c>
      <c r="S2">
        <f>0.9155*Table2[[#This Row],[J67'']]*Table2[[#This Row],[weight]]</f>
        <v>0.17992999864708686</v>
      </c>
      <c r="T2">
        <f>0.9155*Table2[[#This Row],[J77'']]*Table2[[#This Row],[weight]]</f>
        <v>-0.21278253306505102</v>
      </c>
      <c r="Y2">
        <v>7.7371451697936386</v>
      </c>
      <c r="Z2">
        <v>7.6223406092934836</v>
      </c>
      <c r="AA2">
        <v>4.4114338850180577</v>
      </c>
      <c r="AB2">
        <v>3.5152098552688251</v>
      </c>
      <c r="AC2">
        <v>10.009112483138958</v>
      </c>
      <c r="AD2">
        <v>1.6169491914418774</v>
      </c>
      <c r="AE2">
        <v>3.0819887538197386</v>
      </c>
    </row>
    <row r="3" spans="1:31" x14ac:dyDescent="0.25">
      <c r="A3" t="s">
        <v>24</v>
      </c>
      <c r="B3">
        <v>7.8250000000000002</v>
      </c>
      <c r="C3">
        <v>8.1839999999999993</v>
      </c>
      <c r="D3">
        <v>5.9489999999999998</v>
      </c>
      <c r="E3">
        <v>0.56100000000000005</v>
      </c>
      <c r="F3">
        <v>11.586</v>
      </c>
      <c r="G3">
        <v>1.276</v>
      </c>
      <c r="H3">
        <v>-13.053000000000001</v>
      </c>
      <c r="I3">
        <v>10.183</v>
      </c>
      <c r="J3" s="9">
        <f>chloroform!J8</f>
        <v>2.3063301668355084E-2</v>
      </c>
      <c r="K3" t="str">
        <f>chloroform!F8</f>
        <v>4H6</v>
      </c>
      <c r="M3">
        <f>0.9155*Table2[[#This Row],[J1,2]]*Table2[[#This Row],[weight]]</f>
        <v>0.16522059220049129</v>
      </c>
      <c r="N3">
        <f>0.9155*Table2[[#This Row],[J2,3]]*Table2[[#This Row],[weight]]</f>
        <v>0.17280068071167037</v>
      </c>
      <c r="O3">
        <f>0.9155*Table2[[#This Row],[J34]]*Table2[[#This Row],[weight]]</f>
        <v>0.12560987897772816</v>
      </c>
      <c r="P3">
        <f>0.9155*Table2[[#This Row],[J45]]*Table2[[#This Row],[weight]]</f>
        <v>1.1845207952009666E-2</v>
      </c>
      <c r="Q3">
        <f>0.9155*Table2[[#This Row],[J56]]*Table2[[#This Row],[weight]]</f>
        <v>0.24463204872011401</v>
      </c>
      <c r="R3">
        <f>0.9155*Table2[[#This Row],[J67]]*Table2[[#This Row],[weight]]</f>
        <v>2.6942041616335705E-2</v>
      </c>
      <c r="S3">
        <f>0.9155*Table2[[#This Row],[J67'']]*Table2[[#This Row],[weight]]</f>
        <v>0.21500847161375117</v>
      </c>
      <c r="T3">
        <f>0.9155*Table2[[#This Row],[J77'']]*Table2[[#This Row],[weight]]</f>
        <v>-0.27560695079782915</v>
      </c>
      <c r="Y3">
        <v>6.95</v>
      </c>
      <c r="Z3">
        <v>6.15</v>
      </c>
      <c r="AA3">
        <v>5.73</v>
      </c>
      <c r="AB3">
        <v>4.0999999999999996</v>
      </c>
      <c r="AC3">
        <v>9.66</v>
      </c>
      <c r="AD3">
        <v>2.23</v>
      </c>
      <c r="AE3">
        <v>5.15</v>
      </c>
    </row>
    <row r="4" spans="1:31" x14ac:dyDescent="0.25">
      <c r="A4" t="s">
        <v>25</v>
      </c>
      <c r="B4">
        <v>7.86</v>
      </c>
      <c r="C4">
        <v>8.9190000000000005</v>
      </c>
      <c r="D4">
        <v>6.3090000000000002</v>
      </c>
      <c r="E4">
        <v>0.46700000000000003</v>
      </c>
      <c r="F4">
        <v>11.747</v>
      </c>
      <c r="G4">
        <v>0.96399999999999997</v>
      </c>
      <c r="H4">
        <v>-13.75</v>
      </c>
      <c r="I4">
        <v>3.2669999999999999</v>
      </c>
      <c r="J4" s="9">
        <f>chloroform!J9</f>
        <v>7.1611254903191077E-2</v>
      </c>
      <c r="K4" t="str">
        <f>chloroform!F9</f>
        <v>4H6</v>
      </c>
      <c r="M4">
        <f>0.9155*Table2[[#This Row],[J1,2]]*Table2[[#This Row],[weight]]</f>
        <v>0.51530241637002949</v>
      </c>
      <c r="N4">
        <f>0.9155*Table2[[#This Row],[J2,3]]*Table2[[#This Row],[weight]]</f>
        <v>0.58473056636186926</v>
      </c>
      <c r="O4">
        <f>0.9155*Table2[[#This Row],[J34]]*Table2[[#This Row],[weight]]</f>
        <v>0.41361869527716483</v>
      </c>
      <c r="P4">
        <f>0.9155*Table2[[#This Row],[J45]]*Table2[[#This Row],[weight]]</f>
        <v>3.0616568504427958E-2</v>
      </c>
      <c r="Q4">
        <f>0.9155*Table2[[#This Row],[J56]]*Table2[[#This Row],[weight]]</f>
        <v>0.7701345400888977</v>
      </c>
      <c r="R4">
        <f>0.9155*Table2[[#This Row],[J67]]*Table2[[#This Row],[weight]]</f>
        <v>6.319994012477205E-2</v>
      </c>
      <c r="S4">
        <f>0.9155*Table2[[#This Row],[J67'']]*Table2[[#This Row],[weight]]</f>
        <v>0.21418485932326797</v>
      </c>
      <c r="T4">
        <f>0.9155*Table2[[#This Row],[J77'']]*Table2[[#This Row],[weight]]</f>
        <v>-0.9014514281282322</v>
      </c>
    </row>
    <row r="5" spans="1:31" x14ac:dyDescent="0.25">
      <c r="A5" t="s">
        <v>26</v>
      </c>
      <c r="B5">
        <v>8.0250000000000004</v>
      </c>
      <c r="C5">
        <v>8.577</v>
      </c>
      <c r="D5">
        <v>5.6319999999999997</v>
      </c>
      <c r="E5">
        <v>0.32900000000000001</v>
      </c>
      <c r="F5">
        <v>11.805999999999999</v>
      </c>
      <c r="G5">
        <v>1.1950000000000001</v>
      </c>
      <c r="H5">
        <v>-13.618</v>
      </c>
      <c r="I5">
        <v>2.831</v>
      </c>
      <c r="J5" s="9">
        <f>chloroform!J10</f>
        <v>9.561004784446335E-2</v>
      </c>
      <c r="K5" t="str">
        <f>chloroform!F10</f>
        <v>4H6</v>
      </c>
      <c r="M5">
        <f>0.9155*Table2[[#This Row],[J1,2]]*Table2[[#This Row],[weight]]</f>
        <v>0.70243626538288972</v>
      </c>
      <c r="N5">
        <f>0.9155*Table2[[#This Row],[J2,3]]*Table2[[#This Row],[weight]]</f>
        <v>0.75075337672137632</v>
      </c>
      <c r="O5">
        <f>0.9155*Table2[[#This Row],[J34]]*Table2[[#This Row],[weight]]</f>
        <v>0.49297458525064608</v>
      </c>
      <c r="P5">
        <f>0.9155*Table2[[#This Row],[J45]]*Table2[[#This Row],[weight]]</f>
        <v>2.879769860572844E-2</v>
      </c>
      <c r="Q5">
        <f>0.9155*Table2[[#This Row],[J56]]*Table2[[#This Row],[weight]]</f>
        <v>1.0333909718517627</v>
      </c>
      <c r="R5">
        <f>0.9155*Table2[[#This Row],[J67]]*Table2[[#This Row],[weight]]</f>
        <v>0.10459954356791942</v>
      </c>
      <c r="S5">
        <f>0.9155*Table2[[#This Row],[J67'']]*Table2[[#This Row],[weight]]</f>
        <v>0.24780025760734714</v>
      </c>
      <c r="T5">
        <f>0.9155*Table2[[#This Row],[J77'']]*Table2[[#This Row],[weight]]</f>
        <v>-1.191997141680273</v>
      </c>
    </row>
    <row r="6" spans="1:31" x14ac:dyDescent="0.25">
      <c r="A6" t="s">
        <v>27</v>
      </c>
      <c r="B6">
        <v>8.6199999999999992</v>
      </c>
      <c r="C6">
        <v>9.6829999999999998</v>
      </c>
      <c r="D6">
        <v>2.9089999999999998</v>
      </c>
      <c r="E6">
        <v>6.5730000000000004</v>
      </c>
      <c r="F6">
        <v>9.1850000000000005</v>
      </c>
      <c r="G6">
        <v>1.722</v>
      </c>
      <c r="H6">
        <v>-14.025</v>
      </c>
      <c r="I6">
        <v>2.375</v>
      </c>
      <c r="J6" s="9">
        <f>chloroform!J11</f>
        <v>2.4965322936553718E-3</v>
      </c>
      <c r="K6" t="str">
        <f>chloroform!F11</f>
        <v>45TH</v>
      </c>
      <c r="M6">
        <f>0.9155*Table2[[#This Row],[J1,2]]*Table2[[#This Row],[weight]]</f>
        <v>1.9701659213933666E-2</v>
      </c>
      <c r="N6">
        <f>0.9155*Table2[[#This Row],[J2,3]]*Table2[[#This Row],[weight]]</f>
        <v>2.2131225773610173E-2</v>
      </c>
      <c r="O6">
        <f>0.9155*Table2[[#This Row],[J34]]*Table2[[#This Row],[weight]]</f>
        <v>6.6487385908739023E-3</v>
      </c>
      <c r="P6">
        <f>0.9155*Table2[[#This Row],[J45]]*Table2[[#This Row],[weight]]</f>
        <v>1.5023086544453133E-2</v>
      </c>
      <c r="Q6">
        <f>0.9155*Table2[[#This Row],[J56]]*Table2[[#This Row],[weight]]</f>
        <v>2.0993009266819112E-2</v>
      </c>
      <c r="R6">
        <f>0.9155*Table2[[#This Row],[J67]]*Table2[[#This Row],[weight]]</f>
        <v>3.9357606921570504E-3</v>
      </c>
      <c r="S6">
        <f>0.9155*Table2[[#This Row],[J67'']]*Table2[[#This Row],[weight]]</f>
        <v>5.4282413727485459E-3</v>
      </c>
      <c r="T6">
        <f>0.9155*Table2[[#This Row],[J77'']]*Table2[[#This Row],[weight]]</f>
        <v>-3.2055193790651935E-2</v>
      </c>
      <c r="Z6" t="s">
        <v>88</v>
      </c>
      <c r="AA6" t="s">
        <v>89</v>
      </c>
      <c r="AB6" t="s">
        <v>90</v>
      </c>
    </row>
    <row r="7" spans="1:31" x14ac:dyDescent="0.25">
      <c r="A7" t="s">
        <v>28</v>
      </c>
      <c r="B7">
        <v>8.0510000000000002</v>
      </c>
      <c r="C7">
        <v>9.1110000000000007</v>
      </c>
      <c r="D7">
        <v>5.5350000000000001</v>
      </c>
      <c r="E7">
        <v>0.44900000000000001</v>
      </c>
      <c r="F7">
        <v>11.731</v>
      </c>
      <c r="G7">
        <v>1.379</v>
      </c>
      <c r="H7">
        <v>-13.701000000000001</v>
      </c>
      <c r="I7">
        <v>2.6360000000000001</v>
      </c>
      <c r="J7" s="9">
        <f>chloroform!J12</f>
        <v>5.4209287132338149E-2</v>
      </c>
      <c r="K7" t="str">
        <f>chloroform!F12</f>
        <v>4H6</v>
      </c>
      <c r="M7">
        <f>0.9155*Table2[[#This Row],[J1,2]]*Table2[[#This Row],[weight]]</f>
        <v>0.39955987767809703</v>
      </c>
      <c r="N7">
        <f>0.9155*Table2[[#This Row],[J2,3]]*Table2[[#This Row],[weight]]</f>
        <v>0.45216619618993198</v>
      </c>
      <c r="O7">
        <f>0.9155*Table2[[#This Row],[J34]]*Table2[[#This Row],[weight]]</f>
        <v>0.27469431411604361</v>
      </c>
      <c r="P7">
        <f>0.9155*Table2[[#This Row],[J45]]*Table2[[#This Row],[weight]]</f>
        <v>2.2283242463975356E-2</v>
      </c>
      <c r="Q7">
        <f>0.9155*Table2[[#This Row],[J56]]*Table2[[#This Row],[weight]]</f>
        <v>0.58219313439842957</v>
      </c>
      <c r="R7">
        <f>0.9155*Table2[[#This Row],[J67]]*Table2[[#This Row],[weight]]</f>
        <v>6.8437842667755031E-2</v>
      </c>
      <c r="S7">
        <f>0.9155*Table2[[#This Row],[J67'']]*Table2[[#This Row],[weight]]</f>
        <v>0.1308209958464121</v>
      </c>
      <c r="T7">
        <f>0.9155*Table2[[#This Row],[J77'']]*Table2[[#This Row],[weight]]</f>
        <v>-0.67996148106665111</v>
      </c>
      <c r="Z7" s="6">
        <v>6.95</v>
      </c>
      <c r="AA7" s="6">
        <f>AB7/0.9155</f>
        <v>8.4512781756347781</v>
      </c>
      <c r="AB7" s="6">
        <v>7.7371451697936386</v>
      </c>
    </row>
    <row r="8" spans="1:31" x14ac:dyDescent="0.25">
      <c r="A8" t="s">
        <v>29</v>
      </c>
      <c r="B8">
        <v>7.7359999999999998</v>
      </c>
      <c r="C8">
        <v>8.6690000000000005</v>
      </c>
      <c r="D8">
        <v>6.4820000000000002</v>
      </c>
      <c r="E8">
        <v>0.86899999999999999</v>
      </c>
      <c r="F8">
        <v>11.75</v>
      </c>
      <c r="G8">
        <v>2.597</v>
      </c>
      <c r="H8">
        <v>-13.023999999999999</v>
      </c>
      <c r="I8">
        <v>1.232</v>
      </c>
      <c r="J8" s="9">
        <f>chloroform!J13</f>
        <v>4.7513988929985589E-2</v>
      </c>
      <c r="K8" t="str">
        <f>chloroform!F13</f>
        <v>4H6</v>
      </c>
      <c r="M8">
        <f>0.9155*Table2[[#This Row],[J1,2]]*Table2[[#This Row],[weight]]</f>
        <v>0.33650870391074833</v>
      </c>
      <c r="N8">
        <f>0.9155*Table2[[#This Row],[J2,3]]*Table2[[#This Row],[weight]]</f>
        <v>0.37709332396616829</v>
      </c>
      <c r="O8">
        <f>0.9155*Table2[[#This Row],[J34]]*Table2[[#This Row],[weight]]</f>
        <v>0.28196088660153451</v>
      </c>
      <c r="P8">
        <f>0.9155*Table2[[#This Row],[J45]]*Table2[[#This Row],[weight]]</f>
        <v>3.7800680416034169E-2</v>
      </c>
      <c r="Q8">
        <f>0.9155*Table2[[#This Row],[J56]]*Table2[[#This Row],[weight]]</f>
        <v>0.51111391816847129</v>
      </c>
      <c r="R8">
        <f>0.9155*Table2[[#This Row],[J67]]*Table2[[#This Row],[weight]]</f>
        <v>0.11296705067944848</v>
      </c>
      <c r="S8">
        <f>0.9155*Table2[[#This Row],[J67'']]*Table2[[#This Row],[weight]]</f>
        <v>5.3590838058175029E-2</v>
      </c>
      <c r="T8">
        <f>0.9155*Table2[[#This Row],[J77'']]*Table2[[#This Row],[weight]]</f>
        <v>-0.56653171661499302</v>
      </c>
      <c r="Z8" s="6">
        <v>6.15</v>
      </c>
      <c r="AA8" s="6">
        <f t="shared" ref="AA8:AA13" si="0">AB8/0.9155</f>
        <v>8.3258772357110686</v>
      </c>
      <c r="AB8" s="6">
        <v>7.6223406092934836</v>
      </c>
    </row>
    <row r="9" spans="1:31" x14ac:dyDescent="0.25">
      <c r="A9" t="s">
        <v>98</v>
      </c>
      <c r="B9">
        <v>8.5609999999999999</v>
      </c>
      <c r="C9">
        <v>9.6329999999999991</v>
      </c>
      <c r="D9">
        <v>2.177</v>
      </c>
      <c r="E9">
        <v>7.8090000000000002</v>
      </c>
      <c r="F9">
        <v>9.3729999999999993</v>
      </c>
      <c r="G9">
        <v>1.7150000000000001</v>
      </c>
      <c r="H9">
        <v>-14.05</v>
      </c>
      <c r="I9">
        <v>2.335</v>
      </c>
      <c r="J9" s="9">
        <f>chloroform!J14</f>
        <v>0</v>
      </c>
      <c r="K9" t="str">
        <f>chloroform!F14</f>
        <v>45TH</v>
      </c>
      <c r="M9">
        <f>0.9155*Table2[[#This Row],[J1,2]]*Table2[[#This Row],[weight]]</f>
        <v>0</v>
      </c>
      <c r="N9">
        <f>0.9155*Table2[[#This Row],[J2,3]]*Table2[[#This Row],[weight]]</f>
        <v>0</v>
      </c>
      <c r="O9">
        <f>0.9155*Table2[[#This Row],[J34]]*Table2[[#This Row],[weight]]</f>
        <v>0</v>
      </c>
      <c r="P9">
        <f>0.9155*Table2[[#This Row],[J45]]*Table2[[#This Row],[weight]]</f>
        <v>0</v>
      </c>
      <c r="Q9">
        <f>0.9155*Table2[[#This Row],[J56]]*Table2[[#This Row],[weight]]</f>
        <v>0</v>
      </c>
      <c r="R9">
        <f>0.9155*Table2[[#This Row],[J67]]*Table2[[#This Row],[weight]]</f>
        <v>0</v>
      </c>
      <c r="S9">
        <f>0.9155*Table2[[#This Row],[J67'']]*Table2[[#This Row],[weight]]</f>
        <v>0</v>
      </c>
      <c r="T9">
        <f>0.9155*Table2[[#This Row],[J77'']]*Table2[[#This Row],[weight]]</f>
        <v>0</v>
      </c>
      <c r="Z9" s="6">
        <v>5.73</v>
      </c>
      <c r="AA9" s="6">
        <f t="shared" si="0"/>
        <v>4.8186061005112588</v>
      </c>
      <c r="AB9" s="6">
        <v>4.4114338850180577</v>
      </c>
    </row>
    <row r="10" spans="1:31" x14ac:dyDescent="0.25">
      <c r="A10" t="s">
        <v>30</v>
      </c>
      <c r="B10">
        <v>8.7080000000000002</v>
      </c>
      <c r="C10">
        <v>9.1489999999999991</v>
      </c>
      <c r="D10">
        <v>2.19</v>
      </c>
      <c r="E10">
        <v>6.3179999999999996</v>
      </c>
      <c r="F10">
        <v>9.5809999999999995</v>
      </c>
      <c r="G10">
        <v>2.9950000000000001</v>
      </c>
      <c r="H10">
        <v>-12.337999999999999</v>
      </c>
      <c r="I10">
        <v>11.654</v>
      </c>
      <c r="J10" s="9">
        <f>chloroform!J15</f>
        <v>1.2857486644294968E-2</v>
      </c>
      <c r="K10" t="str">
        <f>chloroform!F15</f>
        <v>45TH</v>
      </c>
      <c r="M10">
        <f>0.9155*Table2[[#This Row],[J1,2]]*Table2[[#This Row],[weight]]</f>
        <v>0.10250212073099559</v>
      </c>
      <c r="N10">
        <f>0.9155*Table2[[#This Row],[J2,3]]*Table2[[#This Row],[weight]]</f>
        <v>0.10769314453007332</v>
      </c>
      <c r="O10">
        <f>0.9155*Table2[[#This Row],[J34]]*Table2[[#This Row],[weight]]</f>
        <v>2.5778553560045971E-2</v>
      </c>
      <c r="P10">
        <f>0.9155*Table2[[#This Row],[J45]]*Table2[[#This Row],[weight]]</f>
        <v>7.43693613663792E-2</v>
      </c>
      <c r="Q10">
        <f>0.9155*Table2[[#This Row],[J56]]*Table2[[#This Row],[weight]]</f>
        <v>0.11277822906794542</v>
      </c>
      <c r="R10">
        <f>0.9155*Table2[[#This Row],[J67]]*Table2[[#This Row],[weight]]</f>
        <v>3.5254231923441869E-2</v>
      </c>
      <c r="S10">
        <f>0.9155*Table2[[#This Row],[J67'']]*Table2[[#This Row],[weight]]</f>
        <v>0.13717957223231769</v>
      </c>
      <c r="T10">
        <f>0.9155*Table2[[#This Row],[J77'']]*Table2[[#This Row],[weight]]</f>
        <v>-0.14523095608394848</v>
      </c>
      <c r="Z10" s="6">
        <v>4.0999999999999996</v>
      </c>
      <c r="AA10" s="6">
        <f t="shared" si="0"/>
        <v>3.8396612291303387</v>
      </c>
      <c r="AB10" s="6">
        <v>3.5152098552688251</v>
      </c>
    </row>
    <row r="11" spans="1:31" x14ac:dyDescent="0.25">
      <c r="A11" t="s">
        <v>31</v>
      </c>
      <c r="B11">
        <v>7.907</v>
      </c>
      <c r="C11">
        <v>8.4039999999999999</v>
      </c>
      <c r="D11">
        <v>5.7629999999999999</v>
      </c>
      <c r="E11">
        <v>0.371</v>
      </c>
      <c r="F11">
        <v>11.929</v>
      </c>
      <c r="G11">
        <v>2.4020000000000001</v>
      </c>
      <c r="H11">
        <v>-13.055999999999999</v>
      </c>
      <c r="I11">
        <v>1.373</v>
      </c>
      <c r="J11" s="9">
        <f>chloroform!J16</f>
        <v>9.7707504565616082E-2</v>
      </c>
      <c r="K11" t="str">
        <f>chloroform!F16</f>
        <v>4H6</v>
      </c>
      <c r="M11">
        <f>0.9155*Table2[[#This Row],[J1,2]]*Table2[[#This Row],[weight]]</f>
        <v>0.70729079993859878</v>
      </c>
      <c r="N11">
        <f>0.9155*Table2[[#This Row],[J2,3]]*Table2[[#This Row],[weight]]</f>
        <v>0.7517480564922201</v>
      </c>
      <c r="O11">
        <f>0.9155*Table2[[#This Row],[J34]]*Table2[[#This Row],[weight]]</f>
        <v>0.51550738333706136</v>
      </c>
      <c r="P11">
        <f>0.9155*Table2[[#This Row],[J45]]*Table2[[#This Row],[weight]]</f>
        <v>3.3186402779463782E-2</v>
      </c>
      <c r="Q11">
        <f>0.9155*Table2[[#This Row],[J56]]*Table2[[#This Row],[weight]]</f>
        <v>1.0670636085073411</v>
      </c>
      <c r="R11">
        <f>0.9155*Table2[[#This Row],[J67]]*Table2[[#This Row],[weight]]</f>
        <v>0.21486183147243132</v>
      </c>
      <c r="S11">
        <f>0.9155*Table2[[#This Row],[J67'']]*Table2[[#This Row],[weight]]</f>
        <v>0.12281652565014495</v>
      </c>
      <c r="T11">
        <f>0.9155*Table2[[#This Row],[J77'']]*Table2[[#This Row],[weight]]</f>
        <v>-1.1678751339317497</v>
      </c>
      <c r="Z11" s="6">
        <v>9.66</v>
      </c>
      <c r="AA11" s="6">
        <f t="shared" si="0"/>
        <v>10.932946458917487</v>
      </c>
      <c r="AB11" s="6">
        <v>10.009112483138958</v>
      </c>
    </row>
    <row r="12" spans="1:31" x14ac:dyDescent="0.25">
      <c r="A12" t="s">
        <v>32</v>
      </c>
      <c r="B12">
        <v>8.7279999999999998</v>
      </c>
      <c r="C12">
        <v>9.1859999999999999</v>
      </c>
      <c r="D12">
        <v>2.351</v>
      </c>
      <c r="E12">
        <v>5.9160000000000004</v>
      </c>
      <c r="F12">
        <v>10.324</v>
      </c>
      <c r="G12">
        <v>2.06</v>
      </c>
      <c r="H12">
        <v>-13.089</v>
      </c>
      <c r="I12">
        <v>1.907</v>
      </c>
      <c r="J12" s="9">
        <f>chloroform!J17</f>
        <v>4.0962521366163178E-2</v>
      </c>
      <c r="K12" t="str">
        <f>chloroform!F17</f>
        <v>45TH</v>
      </c>
      <c r="M12">
        <f>0.9155*Table2[[#This Row],[J1,2]]*Table2[[#This Row],[weight]]</f>
        <v>0.32731037157598497</v>
      </c>
      <c r="N12">
        <f>0.9155*Table2[[#This Row],[J2,3]]*Table2[[#This Row],[weight]]</f>
        <v>0.34448591582229582</v>
      </c>
      <c r="O12">
        <f>0.9155*Table2[[#This Row],[J34]]*Table2[[#This Row],[weight]]</f>
        <v>8.8165293718508328E-2</v>
      </c>
      <c r="P12">
        <f>0.9155*Table2[[#This Row],[J45]]*Table2[[#This Row],[weight]]</f>
        <v>0.22185703004623364</v>
      </c>
      <c r="Q12">
        <f>0.9155*Table2[[#This Row],[J56]]*Table2[[#This Row],[weight]]</f>
        <v>0.38716226811989796</v>
      </c>
      <c r="R12">
        <f>0.9155*Table2[[#This Row],[J67]]*Table2[[#This Row],[weight]]</f>
        <v>7.7252447920088133E-2</v>
      </c>
      <c r="S12">
        <f>0.9155*Table2[[#This Row],[J67'']]*Table2[[#This Row],[weight]]</f>
        <v>7.1514766108547595E-2</v>
      </c>
      <c r="T12">
        <f>0.9155*Table2[[#This Row],[J77'']]*Table2[[#This Row],[weight]]</f>
        <v>-0.49085305379904537</v>
      </c>
      <c r="Z12" s="6">
        <v>2.23</v>
      </c>
      <c r="AA12" s="6">
        <f t="shared" si="0"/>
        <v>1.7661924537868678</v>
      </c>
      <c r="AB12" s="6">
        <v>1.6169491914418774</v>
      </c>
    </row>
    <row r="13" spans="1:31" x14ac:dyDescent="0.25">
      <c r="A13" t="s">
        <v>33</v>
      </c>
      <c r="B13">
        <v>8.8230000000000004</v>
      </c>
      <c r="C13">
        <v>2.0190000000000001</v>
      </c>
      <c r="D13">
        <v>11.984999999999999</v>
      </c>
      <c r="E13">
        <v>9.3070000000000004</v>
      </c>
      <c r="F13">
        <v>0.26</v>
      </c>
      <c r="G13">
        <v>12.739000000000001</v>
      </c>
      <c r="H13">
        <v>-11.784000000000001</v>
      </c>
      <c r="I13">
        <v>6</v>
      </c>
      <c r="J13" s="9">
        <f>chloroform!J18</f>
        <v>2.4604409741756255E-3</v>
      </c>
      <c r="K13" t="str">
        <f>chloroform!F18</f>
        <v>6H4</v>
      </c>
      <c r="M13">
        <f>0.9155*Table2[[#This Row],[J1,2]]*Table2[[#This Row],[weight]]</f>
        <v>1.9874104939721238E-2</v>
      </c>
      <c r="N13">
        <f>0.9155*Table2[[#This Row],[J2,3]]*Table2[[#This Row],[weight]]</f>
        <v>4.5478655642408683E-3</v>
      </c>
      <c r="O13">
        <f>0.9155*Table2[[#This Row],[J34]]*Table2[[#This Row],[weight]]</f>
        <v>2.6996616536615552E-2</v>
      </c>
      <c r="P13">
        <f>0.9155*Table2[[#This Row],[J45]]*Table2[[#This Row],[weight]]</f>
        <v>2.0964331256260408E-2</v>
      </c>
      <c r="Q13">
        <f>0.9155*Table2[[#This Row],[J56]]*Table2[[#This Row],[weight]]</f>
        <v>5.8565876508302414E-4</v>
      </c>
      <c r="R13">
        <f>0.9155*Table2[[#This Row],[J67]]*Table2[[#This Row],[weight]]</f>
        <v>2.8695026955356327E-2</v>
      </c>
      <c r="S13">
        <f>0.9155*Table2[[#This Row],[J67'']]*Table2[[#This Row],[weight]]</f>
        <v>1.3515202271146711E-2</v>
      </c>
      <c r="T13">
        <f>0.9155*Table2[[#This Row],[J77'']]*Table2[[#This Row],[weight]]</f>
        <v>-2.6543857260532142E-2</v>
      </c>
      <c r="Z13" s="6">
        <v>5.15</v>
      </c>
      <c r="AA13" s="6">
        <f t="shared" si="0"/>
        <v>3.3664541276021174</v>
      </c>
      <c r="AB13" s="6">
        <v>3.0819887538197386</v>
      </c>
    </row>
    <row r="14" spans="1:31" x14ac:dyDescent="0.25">
      <c r="A14" t="s">
        <v>34</v>
      </c>
      <c r="B14">
        <v>7.8150000000000004</v>
      </c>
      <c r="C14">
        <v>8.7650000000000006</v>
      </c>
      <c r="D14">
        <v>6.44</v>
      </c>
      <c r="E14">
        <v>0.82299999999999995</v>
      </c>
      <c r="F14">
        <v>11.782999999999999</v>
      </c>
      <c r="G14">
        <v>1.885</v>
      </c>
      <c r="H14">
        <v>-13.999000000000001</v>
      </c>
      <c r="I14">
        <v>2.1230000000000002</v>
      </c>
      <c r="J14" s="9">
        <f>chloroform!J19</f>
        <v>9.0579273806266847E-2</v>
      </c>
      <c r="K14" t="str">
        <f>chloroform!F19</f>
        <v>4H6</v>
      </c>
      <c r="M14">
        <f>0.9155*Table2[[#This Row],[J1,2]]*Table2[[#This Row],[weight]]</f>
        <v>0.64806141620071545</v>
      </c>
      <c r="N14">
        <f>0.9155*Table2[[#This Row],[J2,3]]*Table2[[#This Row],[weight]]</f>
        <v>0.726840475111871</v>
      </c>
      <c r="O14">
        <f>0.9155*Table2[[#This Row],[J34]]*Table2[[#This Row],[weight]]</f>
        <v>0.53403909409246419</v>
      </c>
      <c r="P14">
        <f>0.9155*Table2[[#This Row],[J45]]*Table2[[#This Row],[weight]]</f>
        <v>6.8247542614611495E-2</v>
      </c>
      <c r="Q14">
        <f>0.9155*Table2[[#This Row],[J56]]*Table2[[#This Row],[weight]]</f>
        <v>0.9771091064738362</v>
      </c>
      <c r="R14">
        <f>0.9155*Table2[[#This Row],[J67]]*Table2[[#This Row],[weight]]</f>
        <v>0.15631423794476632</v>
      </c>
      <c r="S14">
        <f>0.9155*Table2[[#This Row],[J67'']]*Table2[[#This Row],[weight]]</f>
        <v>0.17605046533514002</v>
      </c>
      <c r="T14">
        <f>0.9155*Table2[[#This Row],[J77'']]*Table2[[#This Row],[weight]]</f>
        <v>-1.1608716270497526</v>
      </c>
      <c r="Z14" t="s">
        <v>87</v>
      </c>
      <c r="AA14" s="6">
        <f>SQRT(SUMXMY2($Z$7:$Z$13,AA$7:AA$13)/7)</f>
        <v>1.357689162159023</v>
      </c>
      <c r="AB14" s="6">
        <f>SQRT(SUMXMY2($Z7:$Z13,AB7:AB13)/7)</f>
        <v>1.1736610507992684</v>
      </c>
    </row>
    <row r="15" spans="1:31" x14ac:dyDescent="0.25">
      <c r="A15" t="s">
        <v>35</v>
      </c>
      <c r="B15">
        <v>9.7270000000000003</v>
      </c>
      <c r="C15">
        <v>2.7839999999999998</v>
      </c>
      <c r="D15">
        <v>7.343</v>
      </c>
      <c r="E15">
        <v>1.5860000000000001</v>
      </c>
      <c r="F15">
        <v>4.367</v>
      </c>
      <c r="G15">
        <v>4.2720000000000002</v>
      </c>
      <c r="H15">
        <v>-14.541</v>
      </c>
      <c r="I15">
        <v>1.2330000000000001</v>
      </c>
      <c r="J15" s="9">
        <f>chloroform!J20</f>
        <v>0</v>
      </c>
      <c r="K15" t="str">
        <f>chloroform!F20</f>
        <v>TH45</v>
      </c>
      <c r="M15">
        <f>0.9155*Table2[[#This Row],[J1,2]]*Table2[[#This Row],[weight]]</f>
        <v>0</v>
      </c>
      <c r="N15">
        <f>0.9155*Table2[[#This Row],[J2,3]]*Table2[[#This Row],[weight]]</f>
        <v>0</v>
      </c>
      <c r="O15">
        <f>0.9155*Table2[[#This Row],[J34]]*Table2[[#This Row],[weight]]</f>
        <v>0</v>
      </c>
      <c r="P15">
        <f>0.9155*Table2[[#This Row],[J45]]*Table2[[#This Row],[weight]]</f>
        <v>0</v>
      </c>
      <c r="Q15">
        <f>0.9155*Table2[[#This Row],[J56]]*Table2[[#This Row],[weight]]</f>
        <v>0</v>
      </c>
      <c r="R15">
        <f>0.9155*Table2[[#This Row],[J67]]*Table2[[#This Row],[weight]]</f>
        <v>0</v>
      </c>
      <c r="S15">
        <f>0.9155*Table2[[#This Row],[J67'']]*Table2[[#This Row],[weight]]</f>
        <v>0</v>
      </c>
      <c r="T15">
        <f>0.9155*Table2[[#This Row],[J77'']]*Table2[[#This Row],[weight]]</f>
        <v>0</v>
      </c>
      <c r="AA15" s="6">
        <f>SQRT(SUMXMY2($Z$7:$Z$11,AA$7:AA$11)/5)</f>
        <v>1.3789188307102573</v>
      </c>
      <c r="AB15" s="6">
        <f>SQRT(SUMXMY2($Z$7:$Z$11,AB$7:AB$11)/5)</f>
        <v>0.99898548807686827</v>
      </c>
    </row>
    <row r="16" spans="1:31" x14ac:dyDescent="0.25">
      <c r="A16" t="s">
        <v>118</v>
      </c>
      <c r="B16">
        <v>8.5969999999999995</v>
      </c>
      <c r="C16">
        <v>9.6620000000000008</v>
      </c>
      <c r="D16">
        <v>2.8620000000000001</v>
      </c>
      <c r="E16">
        <v>6.9160000000000004</v>
      </c>
      <c r="F16">
        <v>8.8810000000000002</v>
      </c>
      <c r="G16">
        <v>3.665</v>
      </c>
      <c r="H16">
        <v>-11.833</v>
      </c>
      <c r="I16">
        <v>11.688000000000001</v>
      </c>
      <c r="J16" s="9">
        <f>chloroform!J21</f>
        <v>2.2704350414306422E-4</v>
      </c>
      <c r="K16" t="str">
        <f>chloroform!F21</f>
        <v>45TH</v>
      </c>
      <c r="M16">
        <f>0.9155*Table2[[#This Row],[J1,2]]*Table2[[#This Row],[weight]]</f>
        <v>1.7869580461854586E-3</v>
      </c>
      <c r="N16">
        <f>0.9155*Table2[[#This Row],[J2,3]]*Table2[[#This Row],[weight]]</f>
        <v>2.0083271655512275E-3</v>
      </c>
      <c r="O16">
        <f>0.9155*Table2[[#This Row],[J34]]*Table2[[#This Row],[weight]]</f>
        <v>5.9489053485899525E-4</v>
      </c>
      <c r="P16">
        <f>0.9155*Table2[[#This Row],[J45]]*Table2[[#This Row],[weight]]</f>
        <v>1.4375481967452172E-3</v>
      </c>
      <c r="Q16">
        <f>0.9155*Table2[[#This Row],[J56]]*Table2[[#This Row],[weight]]</f>
        <v>1.8459898113496636E-3</v>
      </c>
      <c r="R16">
        <f>0.9155*Table2[[#This Row],[J67]]*Table2[[#This Row],[weight]]</f>
        <v>7.618007722775044E-4</v>
      </c>
      <c r="S16">
        <f>0.9155*Table2[[#This Row],[J67'']]*Table2[[#This Row],[weight]]</f>
        <v>2.4294481381662955E-3</v>
      </c>
      <c r="T16">
        <f>0.9155*Table2[[#This Row],[J77'']]*Table2[[#This Row],[weight]]</f>
        <v>-2.4595875957325267E-3</v>
      </c>
    </row>
    <row r="17" spans="1:20" x14ac:dyDescent="0.25">
      <c r="A17" t="s">
        <v>101</v>
      </c>
      <c r="B17">
        <v>9.3859999999999992</v>
      </c>
      <c r="C17">
        <v>3.327</v>
      </c>
      <c r="D17">
        <v>10.962999999999999</v>
      </c>
      <c r="E17">
        <v>0.61799999999999999</v>
      </c>
      <c r="F17">
        <v>5.5819999999999999</v>
      </c>
      <c r="G17">
        <v>5.9370000000000003</v>
      </c>
      <c r="H17">
        <v>-12.641999999999999</v>
      </c>
      <c r="I17">
        <v>0.499</v>
      </c>
      <c r="J17" s="9">
        <f>chloroform!J22</f>
        <v>0</v>
      </c>
      <c r="K17" t="str">
        <f>chloroform!F22</f>
        <v>TH45</v>
      </c>
      <c r="M17">
        <f>0.9155*Table2[[#This Row],[J1,2]]*Table2[[#This Row],[weight]]</f>
        <v>0</v>
      </c>
      <c r="N17">
        <f>0.9155*Table2[[#This Row],[J2,3]]*Table2[[#This Row],[weight]]</f>
        <v>0</v>
      </c>
      <c r="O17">
        <f>0.9155*Table2[[#This Row],[J34]]*Table2[[#This Row],[weight]]</f>
        <v>0</v>
      </c>
      <c r="P17">
        <f>0.9155*Table2[[#This Row],[J45]]*Table2[[#This Row],[weight]]</f>
        <v>0</v>
      </c>
      <c r="Q17">
        <f>0.9155*Table2[[#This Row],[J56]]*Table2[[#This Row],[weight]]</f>
        <v>0</v>
      </c>
      <c r="R17">
        <f>0.9155*Table2[[#This Row],[J67]]*Table2[[#This Row],[weight]]</f>
        <v>0</v>
      </c>
      <c r="S17">
        <f>0.9155*Table2[[#This Row],[J67'']]*Table2[[#This Row],[weight]]</f>
        <v>0</v>
      </c>
      <c r="T17">
        <f>0.9155*Table2[[#This Row],[J77'']]*Table2[[#This Row],[weight]]</f>
        <v>0</v>
      </c>
    </row>
    <row r="18" spans="1:20" x14ac:dyDescent="0.25">
      <c r="A18" t="s">
        <v>36</v>
      </c>
      <c r="B18">
        <v>8.5730000000000004</v>
      </c>
      <c r="C18">
        <v>9.6470000000000002</v>
      </c>
      <c r="D18">
        <v>3.0409999999999999</v>
      </c>
      <c r="E18">
        <v>6.4870000000000001</v>
      </c>
      <c r="F18">
        <v>9.7669999999999995</v>
      </c>
      <c r="G18">
        <v>10.85</v>
      </c>
      <c r="H18">
        <v>-11.714</v>
      </c>
      <c r="I18">
        <v>2.6219999999999999</v>
      </c>
      <c r="J18" s="9">
        <f>chloroform!J23</f>
        <v>2.497589442962653E-4</v>
      </c>
      <c r="K18" t="str">
        <f>chloroform!F23</f>
        <v>45TH</v>
      </c>
      <c r="M18">
        <f>0.9155*Table2[[#This Row],[J1,2]]*Table2[[#This Row],[weight]]</f>
        <v>1.9602534296631982E-3</v>
      </c>
      <c r="N18">
        <f>0.9155*Table2[[#This Row],[J2,3]]*Table2[[#This Row],[weight]]</f>
        <v>2.2058281623656686E-3</v>
      </c>
      <c r="O18">
        <f>0.9155*Table2[[#This Row],[J34]]*Table2[[#This Row],[weight]]</f>
        <v>6.9533776736332509E-4</v>
      </c>
      <c r="P18">
        <f>0.9155*Table2[[#This Row],[J45]]*Table2[[#This Row],[weight]]</f>
        <v>1.4832805316954587E-3</v>
      </c>
      <c r="Q18">
        <f>0.9155*Table2[[#This Row],[J56]]*Table2[[#This Row],[weight]]</f>
        <v>2.233266679986056E-3</v>
      </c>
      <c r="R18">
        <f>0.9155*Table2[[#This Row],[J67]]*Table2[[#This Row],[weight]]</f>
        <v>2.4808993015100552E-3</v>
      </c>
      <c r="S18">
        <f>0.9155*Table2[[#This Row],[J67'']]*Table2[[#This Row],[weight]]</f>
        <v>5.9953161000547131E-4</v>
      </c>
      <c r="T18">
        <f>0.9155*Table2[[#This Row],[J77'']]*Table2[[#This Row],[weight]]</f>
        <v>-2.6784566283768463E-3</v>
      </c>
    </row>
    <row r="19" spans="1:20" x14ac:dyDescent="0.25">
      <c r="A19" t="s">
        <v>37</v>
      </c>
      <c r="B19">
        <v>8.782</v>
      </c>
      <c r="C19">
        <v>9.2530000000000001</v>
      </c>
      <c r="D19">
        <v>1.7949999999999999</v>
      </c>
      <c r="E19">
        <v>8.3360000000000003</v>
      </c>
      <c r="F19">
        <v>8.6300000000000008</v>
      </c>
      <c r="G19">
        <v>2.008</v>
      </c>
      <c r="H19">
        <v>-13.927</v>
      </c>
      <c r="I19">
        <v>2.0049999999999999</v>
      </c>
      <c r="J19" s="9">
        <f>chloroform!J24</f>
        <v>3.7853094611890181E-3</v>
      </c>
      <c r="K19" t="str">
        <f>chloroform!F24</f>
        <v>45TH</v>
      </c>
      <c r="M19">
        <f>0.9155*Table2[[#This Row],[J1,2]]*Table2[[#This Row],[weight]]</f>
        <v>3.0433589028512269E-2</v>
      </c>
      <c r="N19">
        <f>0.9155*Table2[[#This Row],[J2,3]]*Table2[[#This Row],[weight]]</f>
        <v>3.2065816360831709E-2</v>
      </c>
      <c r="O19">
        <f>0.9155*Table2[[#This Row],[J34]]*Table2[[#This Row],[weight]]</f>
        <v>6.2204842070347896E-3</v>
      </c>
      <c r="P19">
        <f>0.9155*Table2[[#This Row],[J45]]*Table2[[#This Row],[weight]]</f>
        <v>2.88879979664858E-2</v>
      </c>
      <c r="Q19">
        <f>0.9155*Table2[[#This Row],[J56]]*Table2[[#This Row],[weight]]</f>
        <v>2.9906840505131056E-2</v>
      </c>
      <c r="R19">
        <f>0.9155*Table2[[#This Row],[J67]]*Table2[[#This Row],[weight]]</f>
        <v>6.9586252299308404E-3</v>
      </c>
      <c r="S19">
        <f>0.9155*Table2[[#This Row],[J67'']]*Table2[[#This Row],[weight]]</f>
        <v>6.9482288774956845E-3</v>
      </c>
      <c r="T19">
        <f>0.9155*Table2[[#This Row],[J77'']]*Table2[[#This Row],[weight]]</f>
        <v>-4.8263333454804186E-2</v>
      </c>
    </row>
    <row r="20" spans="1:20" x14ac:dyDescent="0.25">
      <c r="A20" t="s">
        <v>38</v>
      </c>
      <c r="B20">
        <v>7.6859999999999999</v>
      </c>
      <c r="C20">
        <v>8.58</v>
      </c>
      <c r="D20">
        <v>6.4980000000000002</v>
      </c>
      <c r="E20">
        <v>0.97299999999999998</v>
      </c>
      <c r="F20">
        <v>12.156000000000001</v>
      </c>
      <c r="G20">
        <v>1.2889999999999999</v>
      </c>
      <c r="H20">
        <v>-13.638</v>
      </c>
      <c r="I20">
        <v>10.845000000000001</v>
      </c>
      <c r="J20" s="9">
        <f>chloroform!J25</f>
        <v>7.7277724589535662E-2</v>
      </c>
      <c r="K20" t="str">
        <f>chloroform!F25</f>
        <v>4H6</v>
      </c>
      <c r="M20">
        <f>0.9155*Table2[[#This Row],[J1,2]]*Table2[[#This Row],[weight]]</f>
        <v>0.54376725923917912</v>
      </c>
      <c r="N20">
        <f>0.9155*Table2[[#This Row],[J2,3]]*Table2[[#This Row],[weight]]</f>
        <v>0.60701575387355677</v>
      </c>
      <c r="O20">
        <f>0.9155*Table2[[#This Row],[J34]]*Table2[[#This Row],[weight]]</f>
        <v>0.4597189240874559</v>
      </c>
      <c r="P20">
        <f>0.9155*Table2[[#This Row],[J45]]*Table2[[#This Row],[weight]]</f>
        <v>6.8837567426453458E-2</v>
      </c>
      <c r="Q20">
        <f>0.9155*Table2[[#This Row],[J56]]*Table2[[#This Row],[weight]]</f>
        <v>0.86000973241106715</v>
      </c>
      <c r="R20">
        <f>0.9155*Table2[[#This Row],[J67]]*Table2[[#This Row],[weight]]</f>
        <v>9.1193858594756941E-2</v>
      </c>
      <c r="S20">
        <f>0.9155*Table2[[#This Row],[J67'']]*Table2[[#This Row],[weight]]</f>
        <v>0.76725942316535234</v>
      </c>
      <c r="T20">
        <f>0.9155*Table2[[#This Row],[J77'']]*Table2[[#This Row],[weight]]</f>
        <v>-0.96485790808013594</v>
      </c>
    </row>
    <row r="21" spans="1:20" x14ac:dyDescent="0.25">
      <c r="A21" t="s">
        <v>39</v>
      </c>
      <c r="B21">
        <v>8.4489999999999998</v>
      </c>
      <c r="C21">
        <v>2.0910000000000002</v>
      </c>
      <c r="D21">
        <v>12.23</v>
      </c>
      <c r="E21">
        <v>9.4949999999999992</v>
      </c>
      <c r="F21">
        <v>0.185</v>
      </c>
      <c r="G21">
        <v>12.284000000000001</v>
      </c>
      <c r="H21">
        <v>-12.032</v>
      </c>
      <c r="I21">
        <v>3.82</v>
      </c>
      <c r="J21" s="9">
        <f>chloroform!J26</f>
        <v>5.7700870936292046E-4</v>
      </c>
      <c r="K21" t="str">
        <f>chloroform!F26</f>
        <v>6H4</v>
      </c>
      <c r="M21">
        <f>0.9155*Table2[[#This Row],[J1,2]]*Table2[[#This Row],[weight]]</f>
        <v>4.463196698940396E-3</v>
      </c>
      <c r="N21">
        <f>0.9155*Table2[[#This Row],[J2,3]]*Table2[[#This Row],[weight]]</f>
        <v>1.104573830924887E-3</v>
      </c>
      <c r="O21">
        <f>0.9155*Table2[[#This Row],[J34]]*Table2[[#This Row],[weight]]</f>
        <v>6.4605155199480473E-3</v>
      </c>
      <c r="P21">
        <f>0.9155*Table2[[#This Row],[J45]]*Table2[[#This Row],[weight]]</f>
        <v>5.0157477401395504E-3</v>
      </c>
      <c r="Q21">
        <f>0.9155*Table2[[#This Row],[J56]]*Table2[[#This Row],[weight]]</f>
        <v>9.7726522583024426E-5</v>
      </c>
      <c r="R21">
        <f>0.9155*Table2[[#This Row],[J67]]*Table2[[#This Row],[weight]]</f>
        <v>6.4890410995128225E-3</v>
      </c>
      <c r="S21">
        <f>0.9155*Table2[[#This Row],[J67'']]*Table2[[#This Row],[weight]]</f>
        <v>2.0179206284710988E-3</v>
      </c>
      <c r="T21">
        <f>0.9155*Table2[[#This Row],[J77'']]*Table2[[#This Row],[weight]]</f>
        <v>-6.3559217282105401E-3</v>
      </c>
    </row>
    <row r="22" spans="1:20" x14ac:dyDescent="0.25">
      <c r="A22" t="s">
        <v>119</v>
      </c>
      <c r="B22">
        <v>8.6150000000000002</v>
      </c>
      <c r="C22">
        <v>9.6999999999999993</v>
      </c>
      <c r="D22">
        <v>2.6789999999999998</v>
      </c>
      <c r="E22">
        <v>6.9969999999999999</v>
      </c>
      <c r="F22">
        <v>9.1300000000000008</v>
      </c>
      <c r="G22">
        <v>2.0739999999999998</v>
      </c>
      <c r="H22">
        <v>-13.391</v>
      </c>
      <c r="I22">
        <v>11.721</v>
      </c>
      <c r="J22" s="9">
        <f>chloroform!J27</f>
        <v>9.6924966522932761E-4</v>
      </c>
      <c r="K22" t="str">
        <f>chloroform!F27</f>
        <v>45TH</v>
      </c>
      <c r="M22">
        <f>0.9155*Table2[[#This Row],[J1,2]]*Table2[[#This Row],[weight]]</f>
        <v>7.6445036102778269E-3</v>
      </c>
      <c r="N22">
        <f>0.9155*Table2[[#This Row],[J2,3]]*Table2[[#This Row],[weight]]</f>
        <v>8.6072762646192593E-3</v>
      </c>
      <c r="O22">
        <f>0.9155*Table2[[#This Row],[J34]]*Table2[[#This Row],[weight]]</f>
        <v>2.3772054755582467E-3</v>
      </c>
      <c r="P22">
        <f>0.9155*Table2[[#This Row],[J45]]*Table2[[#This Row],[weight]]</f>
        <v>6.2087744354165928E-3</v>
      </c>
      <c r="Q22">
        <f>0.9155*Table2[[#This Row],[J56]]*Table2[[#This Row],[weight]]</f>
        <v>8.1014878655643139E-3</v>
      </c>
      <c r="R22">
        <f>0.9155*Table2[[#This Row],[J67]]*Table2[[#This Row],[weight]]</f>
        <v>1.8403598941051898E-3</v>
      </c>
      <c r="S22">
        <f>0.9155*Table2[[#This Row],[J67'']]*Table2[[#This Row],[weight]]</f>
        <v>1.0400606711093024E-2</v>
      </c>
      <c r="T22">
        <f>0.9155*Table2[[#This Row],[J77'']]*Table2[[#This Row],[weight]]</f>
        <v>-1.1882477985517165E-2</v>
      </c>
    </row>
    <row r="23" spans="1:20" x14ac:dyDescent="0.25">
      <c r="A23" t="s">
        <v>40</v>
      </c>
      <c r="B23">
        <v>8.48</v>
      </c>
      <c r="C23">
        <v>2.1970000000000001</v>
      </c>
      <c r="D23">
        <v>12.215999999999999</v>
      </c>
      <c r="E23">
        <v>10.195</v>
      </c>
      <c r="F23">
        <v>0.71499999999999997</v>
      </c>
      <c r="G23">
        <v>1.208</v>
      </c>
      <c r="H23">
        <v>-13.872999999999999</v>
      </c>
      <c r="I23">
        <v>4.1559999999999997</v>
      </c>
      <c r="J23" s="9">
        <f>chloroform!J28</f>
        <v>4.4725237778474384E-4</v>
      </c>
      <c r="K23" t="str">
        <f>chloroform!F28</f>
        <v>6H4</v>
      </c>
      <c r="M23">
        <f>0.9155*Table2[[#This Row],[J1,2]]*Table2[[#This Row],[weight]]</f>
        <v>3.4722169997891917E-3</v>
      </c>
      <c r="N23">
        <f>0.9155*Table2[[#This Row],[J2,3]]*Table2[[#This Row],[weight]]</f>
        <v>8.9958263544066667E-4</v>
      </c>
      <c r="O23">
        <f>0.9155*Table2[[#This Row],[J34]]*Table2[[#This Row],[weight]]</f>
        <v>5.0019578855453736E-3</v>
      </c>
      <c r="P23">
        <f>0.9155*Table2[[#This Row],[J45]]*Table2[[#This Row],[weight]]</f>
        <v>4.1744401312324075E-3</v>
      </c>
      <c r="Q23">
        <f>0.9155*Table2[[#This Row],[J56]]*Table2[[#This Row],[weight]]</f>
        <v>2.9276357958128209E-4</v>
      </c>
      <c r="R23">
        <f>0.9155*Table2[[#This Row],[J67]]*Table2[[#This Row],[weight]]</f>
        <v>4.9462713864921503E-4</v>
      </c>
      <c r="S23">
        <f>0.9155*Table2[[#This Row],[J67'']]*Table2[[#This Row],[weight]]</f>
        <v>1.7017138975381934E-3</v>
      </c>
      <c r="T23">
        <f>0.9155*Table2[[#This Row],[J77'']]*Table2[[#This Row],[weight]]</f>
        <v>-5.6804323629805961E-3</v>
      </c>
    </row>
    <row r="24" spans="1:20" x14ac:dyDescent="0.25">
      <c r="A24" t="s">
        <v>41</v>
      </c>
      <c r="B24">
        <v>8.7590000000000003</v>
      </c>
      <c r="C24">
        <v>9.2590000000000003</v>
      </c>
      <c r="D24">
        <v>2.0419999999999998</v>
      </c>
      <c r="E24">
        <v>6.6920000000000002</v>
      </c>
      <c r="F24">
        <v>9.8010000000000002</v>
      </c>
      <c r="G24">
        <v>2.1459999999999999</v>
      </c>
      <c r="H24">
        <v>-12.798</v>
      </c>
      <c r="I24">
        <v>1.857</v>
      </c>
      <c r="J24" s="9">
        <f>chloroform!J29</f>
        <v>2.8016696422438359E-2</v>
      </c>
      <c r="K24" t="str">
        <f>chloroform!F29</f>
        <v>45TH</v>
      </c>
      <c r="M24">
        <f>0.9155*Table2[[#This Row],[J1,2]]*Table2[[#This Row],[weight]]</f>
        <v>0.22466209234916795</v>
      </c>
      <c r="N24">
        <f>0.9155*Table2[[#This Row],[J2,3]]*Table2[[#This Row],[weight]]</f>
        <v>0.23748673513653912</v>
      </c>
      <c r="O24">
        <f>0.9155*Table2[[#This Row],[J34]]*Table2[[#This Row],[weight]]</f>
        <v>5.2375841143623807E-2</v>
      </c>
      <c r="P24">
        <f>0.9155*Table2[[#This Row],[J45]]*Table2[[#This Row],[weight]]</f>
        <v>0.1716450190661756</v>
      </c>
      <c r="Q24">
        <f>0.9155*Table2[[#This Row],[J56]]*Table2[[#This Row],[weight]]</f>
        <v>0.25138864791804943</v>
      </c>
      <c r="R24">
        <f>0.9155*Table2[[#This Row],[J67]]*Table2[[#This Row],[weight]]</f>
        <v>5.5043366843397008E-2</v>
      </c>
      <c r="S24">
        <f>0.9155*Table2[[#This Row],[J67'']]*Table2[[#This Row],[weight]]</f>
        <v>4.763072331229648E-2</v>
      </c>
      <c r="T24">
        <f>0.9155*Table2[[#This Row],[J77'']]*Table2[[#This Row],[weight]]</f>
        <v>-0.32825955678555219</v>
      </c>
    </row>
    <row r="25" spans="1:20" x14ac:dyDescent="0.25">
      <c r="A25" t="s">
        <v>42</v>
      </c>
      <c r="B25">
        <v>7.8390000000000004</v>
      </c>
      <c r="C25">
        <v>8.2409999999999997</v>
      </c>
      <c r="D25">
        <v>5.8449999999999998</v>
      </c>
      <c r="E25">
        <v>0.504</v>
      </c>
      <c r="F25">
        <v>12.375999999999999</v>
      </c>
      <c r="G25">
        <v>1.3420000000000001</v>
      </c>
      <c r="H25">
        <v>-13.521000000000001</v>
      </c>
      <c r="I25">
        <v>10.975</v>
      </c>
      <c r="J25" s="9">
        <f>chloroform!J30</f>
        <v>0.12286030176602797</v>
      </c>
      <c r="K25" t="str">
        <f>chloroform!F30</f>
        <v>4H6</v>
      </c>
      <c r="M25">
        <f>0.9155*Table2[[#This Row],[J1,2]]*Table2[[#This Row],[weight]]</f>
        <v>0.88171979452543425</v>
      </c>
      <c r="N25">
        <f>0.9155*Table2[[#This Row],[J2,3]]*Table2[[#This Row],[weight]]</f>
        <v>0.92693619424468721</v>
      </c>
      <c r="O25">
        <f>0.9155*Table2[[#This Row],[J34]]*Table2[[#This Row],[weight]]</f>
        <v>0.65743745362943784</v>
      </c>
      <c r="P25">
        <f>0.9155*Table2[[#This Row],[J45]]*Table2[[#This Row],[weight]]</f>
        <v>5.6689217558466495E-2</v>
      </c>
      <c r="Q25">
        <f>0.9155*Table2[[#This Row],[J56]]*Table2[[#This Row],[weight]]</f>
        <v>1.3920352311578996</v>
      </c>
      <c r="R25">
        <f>0.9155*Table2[[#This Row],[J67]]*Table2[[#This Row],[weight]]</f>
        <v>0.15094628961004372</v>
      </c>
      <c r="S25">
        <f>0.9155*Table2[[#This Row],[J67'']]*Table2[[#This Row],[weight]]</f>
        <v>1.2344527037781146</v>
      </c>
      <c r="T25">
        <f>0.9155*Table2[[#This Row],[J77'']]*Table2[[#This Row],[weight]]</f>
        <v>-1.5208232353333839</v>
      </c>
    </row>
    <row r="26" spans="1:20" x14ac:dyDescent="0.25">
      <c r="A26" t="s">
        <v>43</v>
      </c>
      <c r="B26">
        <v>7.7350000000000003</v>
      </c>
      <c r="C26">
        <v>8.5820000000000007</v>
      </c>
      <c r="D26">
        <v>6.0510000000000002</v>
      </c>
      <c r="E26">
        <v>0.60499999999999998</v>
      </c>
      <c r="F26">
        <v>12.010999999999999</v>
      </c>
      <c r="G26">
        <v>1.306</v>
      </c>
      <c r="H26">
        <v>-14.435</v>
      </c>
      <c r="I26">
        <v>10.941000000000001</v>
      </c>
      <c r="J26" s="9">
        <f>chloroform!J31</f>
        <v>7.7046547375829472E-2</v>
      </c>
      <c r="K26" t="str">
        <f>chloroform!F31</f>
        <v>4H6</v>
      </c>
      <c r="M26">
        <f>0.9155*Table2[[#This Row],[J1,2]]*Table2[[#This Row],[weight]]</f>
        <v>0.5455968427380935</v>
      </c>
      <c r="N26">
        <f>0.9155*Table2[[#This Row],[J2,3]]*Table2[[#This Row],[weight]]</f>
        <v>0.60534093139991196</v>
      </c>
      <c r="O26">
        <f>0.9155*Table2[[#This Row],[J34]]*Table2[[#This Row],[weight]]</f>
        <v>0.42681402655568246</v>
      </c>
      <c r="P26">
        <f>0.9155*Table2[[#This Row],[J45]]*Table2[[#This Row],[weight]]</f>
        <v>4.2674349044155992E-2</v>
      </c>
      <c r="Q26">
        <f>0.9155*Table2[[#This Row],[J56]]*Table2[[#This Row],[weight]]</f>
        <v>0.84720926672621077</v>
      </c>
      <c r="R26">
        <f>0.9155*Table2[[#This Row],[J67]]*Table2[[#This Row],[weight]]</f>
        <v>9.2120165044078883E-2</v>
      </c>
      <c r="S26">
        <f>0.9155*Table2[[#This Row],[J67'']]*Table2[[#This Row],[weight]]</f>
        <v>0.77173562461505896</v>
      </c>
      <c r="T26">
        <f>0.9155*Table2[[#This Row],[J77'']]*Table2[[#This Row],[weight]]</f>
        <v>-1.018188807359325</v>
      </c>
    </row>
    <row r="27" spans="1:20" x14ac:dyDescent="0.25">
      <c r="A27" t="s">
        <v>102</v>
      </c>
      <c r="B27">
        <v>9.0890000000000004</v>
      </c>
      <c r="C27">
        <v>9.5530000000000008</v>
      </c>
      <c r="D27">
        <v>0.57299999999999995</v>
      </c>
      <c r="E27">
        <v>11.231999999999999</v>
      </c>
      <c r="F27">
        <v>7.9139999999999997</v>
      </c>
      <c r="G27">
        <v>2.17</v>
      </c>
      <c r="H27">
        <v>-13.853999999999999</v>
      </c>
      <c r="I27">
        <v>1.8149999999999999</v>
      </c>
      <c r="J27" s="9">
        <f>chloroform!J32</f>
        <v>0</v>
      </c>
      <c r="K27" t="str">
        <f>chloroform!F32</f>
        <v>45TH</v>
      </c>
      <c r="M27">
        <f>0.9155*Table2[[#This Row],[J1,2]]*Table2[[#This Row],[weight]]</f>
        <v>0</v>
      </c>
      <c r="N27">
        <f>0.9155*Table2[[#This Row],[J2,3]]*Table2[[#This Row],[weight]]</f>
        <v>0</v>
      </c>
      <c r="O27">
        <f>0.9155*Table2[[#This Row],[J34]]*Table2[[#This Row],[weight]]</f>
        <v>0</v>
      </c>
      <c r="P27">
        <f>0.9155*Table2[[#This Row],[J45]]*Table2[[#This Row],[weight]]</f>
        <v>0</v>
      </c>
      <c r="Q27">
        <f>0.9155*Table2[[#This Row],[J56]]*Table2[[#This Row],[weight]]</f>
        <v>0</v>
      </c>
      <c r="R27">
        <f>0.9155*Table2[[#This Row],[J67]]*Table2[[#This Row],[weight]]</f>
        <v>0</v>
      </c>
      <c r="S27">
        <f>0.9155*Table2[[#This Row],[J67'']]*Table2[[#This Row],[weight]]</f>
        <v>0</v>
      </c>
      <c r="T27">
        <f>0.9155*Table2[[#This Row],[J77'']]*Table2[[#This Row],[weight]]</f>
        <v>0</v>
      </c>
    </row>
    <row r="28" spans="1:20" x14ac:dyDescent="0.25">
      <c r="A28" t="s">
        <v>44</v>
      </c>
      <c r="B28">
        <v>7.3410000000000002</v>
      </c>
      <c r="C28">
        <v>6.1989999999999998</v>
      </c>
      <c r="D28">
        <v>10.41</v>
      </c>
      <c r="E28">
        <v>11.784000000000001</v>
      </c>
      <c r="F28">
        <v>8.6240000000000006</v>
      </c>
      <c r="G28">
        <v>1.964</v>
      </c>
      <c r="H28">
        <v>-13.819000000000001</v>
      </c>
      <c r="I28">
        <v>11.335000000000001</v>
      </c>
      <c r="J28" s="9">
        <f>chloroform!J33</f>
        <v>1.2812878758454401E-2</v>
      </c>
      <c r="K28" t="str">
        <f>chloroform!F33</f>
        <v>56TH</v>
      </c>
      <c r="M28">
        <f>0.9155*Table2[[#This Row],[J1,2]]*Table2[[#This Row],[weight]]</f>
        <v>8.6111328485202504E-2</v>
      </c>
      <c r="N28">
        <f>0.9155*Table2[[#This Row],[J2,3]]*Table2[[#This Row],[weight]]</f>
        <v>7.2715450930359651E-2</v>
      </c>
      <c r="O28">
        <f>0.9155*Table2[[#This Row],[J34]]*Table2[[#This Row],[weight]]</f>
        <v>0.1221112831400297</v>
      </c>
      <c r="P28">
        <f>0.9155*Table2[[#This Row],[J45]]*Table2[[#This Row],[weight]]</f>
        <v>0.13822856489165322</v>
      </c>
      <c r="Q28">
        <f>0.9155*Table2[[#This Row],[J56]]*Table2[[#This Row],[weight]]</f>
        <v>0.1011611629010198</v>
      </c>
      <c r="R28">
        <f>0.9155*Table2[[#This Row],[J67]]*Table2[[#This Row],[weight]]</f>
        <v>2.3038094148608867E-2</v>
      </c>
      <c r="S28">
        <f>0.9155*Table2[[#This Row],[J67'']]*Table2[[#This Row],[weight]]</f>
        <v>0.13296170935564233</v>
      </c>
      <c r="T28">
        <f>0.9155*Table2[[#This Row],[J77'']]*Table2[[#This Row],[weight]]</f>
        <v>-0.162099502566001</v>
      </c>
    </row>
    <row r="29" spans="1:20" x14ac:dyDescent="0.25">
      <c r="A29" t="s">
        <v>45</v>
      </c>
      <c r="B29">
        <v>8.9169999999999998</v>
      </c>
      <c r="C29">
        <v>2.0419999999999998</v>
      </c>
      <c r="D29">
        <v>12.444000000000001</v>
      </c>
      <c r="E29">
        <v>7.0190000000000001</v>
      </c>
      <c r="F29">
        <v>0.48799999999999999</v>
      </c>
      <c r="G29">
        <v>3.4279999999999999</v>
      </c>
      <c r="H29">
        <v>-12.476000000000001</v>
      </c>
      <c r="I29">
        <v>13.207000000000001</v>
      </c>
      <c r="J29" s="9">
        <f>chloroform!J34</f>
        <v>8.4212558559743436E-4</v>
      </c>
      <c r="K29" t="str">
        <f>chloroform!F34</f>
        <v>6H4</v>
      </c>
      <c r="M29">
        <f>0.9155*Table2[[#This Row],[J1,2]]*Table2[[#This Row],[weight]]</f>
        <v>6.8747035867200617E-3</v>
      </c>
      <c r="N29">
        <f>0.9155*Table2[[#This Row],[J2,3]]*Table2[[#This Row],[weight]]</f>
        <v>1.5743125181207091E-3</v>
      </c>
      <c r="O29">
        <f>0.9155*Table2[[#This Row],[J34]]*Table2[[#This Row],[weight]]</f>
        <v>9.5939005756582318E-3</v>
      </c>
      <c r="P29">
        <f>0.9155*Table2[[#This Row],[J45]]*Table2[[#This Row],[weight]]</f>
        <v>5.4114101687998328E-3</v>
      </c>
      <c r="Q29">
        <f>0.9155*Table2[[#This Row],[J56]]*Table2[[#This Row],[weight]]</f>
        <v>3.7623139512385219E-4</v>
      </c>
      <c r="R29">
        <f>0.9155*Table2[[#This Row],[J67]]*Table2[[#This Row],[weight]]</f>
        <v>2.6428713575503385E-3</v>
      </c>
      <c r="S29">
        <f>0.9155*Table2[[#This Row],[J67'']]*Table2[[#This Row],[weight]]</f>
        <v>1.0182147613526057E-2</v>
      </c>
      <c r="T29">
        <f>0.9155*Table2[[#This Row],[J77'']]*Table2[[#This Row],[weight]]</f>
        <v>-9.6185714868138924E-3</v>
      </c>
    </row>
    <row r="30" spans="1:20" x14ac:dyDescent="0.25">
      <c r="A30" t="s">
        <v>46</v>
      </c>
      <c r="B30">
        <v>10.039999999999999</v>
      </c>
      <c r="C30">
        <v>2.5</v>
      </c>
      <c r="D30">
        <v>7.6710000000000003</v>
      </c>
      <c r="E30">
        <v>1.1080000000000001</v>
      </c>
      <c r="F30">
        <v>5.5720000000000001</v>
      </c>
      <c r="G30">
        <v>0.99099999999999999</v>
      </c>
      <c r="H30">
        <v>-13.28</v>
      </c>
      <c r="I30">
        <v>10.173</v>
      </c>
      <c r="J30" s="9">
        <f>chloroform!J35</f>
        <v>5.308266238201859E-5</v>
      </c>
      <c r="K30" t="str">
        <f>chloroform!F35</f>
        <v>45TH</v>
      </c>
      <c r="M30">
        <f>0.9155*Table2[[#This Row],[J1,2]]*Table2[[#This Row],[weight]]</f>
        <v>4.8791566120380965E-4</v>
      </c>
      <c r="N30">
        <f>0.9155*Table2[[#This Row],[J2,3]]*Table2[[#This Row],[weight]]</f>
        <v>1.2149294352684504E-4</v>
      </c>
      <c r="O30">
        <f>0.9155*Table2[[#This Row],[J34]]*Table2[[#This Row],[weight]]</f>
        <v>3.7278894791777133E-4</v>
      </c>
      <c r="P30">
        <f>0.9155*Table2[[#This Row],[J45]]*Table2[[#This Row],[weight]]</f>
        <v>5.384567257109773E-5</v>
      </c>
      <c r="Q30">
        <f>0.9155*Table2[[#This Row],[J56]]*Table2[[#This Row],[weight]]</f>
        <v>2.7078347253263224E-4</v>
      </c>
      <c r="R30">
        <f>0.9155*Table2[[#This Row],[J67]]*Table2[[#This Row],[weight]]</f>
        <v>4.8159802814041378E-5</v>
      </c>
      <c r="S30">
        <f>0.9155*Table2[[#This Row],[J67'']]*Table2[[#This Row],[weight]]</f>
        <v>4.9437908579943784E-4</v>
      </c>
      <c r="T30">
        <f>0.9155*Table2[[#This Row],[J77'']]*Table2[[#This Row],[weight]]</f>
        <v>-6.4537051601460077E-4</v>
      </c>
    </row>
    <row r="31" spans="1:20" x14ac:dyDescent="0.25">
      <c r="A31" t="s">
        <v>47</v>
      </c>
      <c r="B31">
        <v>7.9880000000000004</v>
      </c>
      <c r="C31">
        <v>8.5860000000000003</v>
      </c>
      <c r="D31">
        <v>5.5389999999999997</v>
      </c>
      <c r="E31">
        <v>0.36599999999999999</v>
      </c>
      <c r="F31">
        <v>12.065</v>
      </c>
      <c r="G31">
        <v>8.7560000000000002</v>
      </c>
      <c r="H31">
        <v>-12.616</v>
      </c>
      <c r="I31">
        <v>0.66200000000000003</v>
      </c>
      <c r="J31" s="9">
        <f>chloroform!J36</f>
        <v>2.5552234461420523E-3</v>
      </c>
      <c r="K31" t="str">
        <f>chloroform!F36</f>
        <v>4H6</v>
      </c>
      <c r="M31">
        <f>0.9155*Table2[[#This Row],[J1,2]]*Table2[[#This Row],[weight]]</f>
        <v>1.8686384834765073E-2</v>
      </c>
      <c r="N31">
        <f>0.9155*Table2[[#This Row],[J2,3]]*Table2[[#This Row],[weight]]</f>
        <v>2.0085290459601019E-2</v>
      </c>
      <c r="O31">
        <f>0.9155*Table2[[#This Row],[J34]]*Table2[[#This Row],[weight]]</f>
        <v>1.2957421832719548E-2</v>
      </c>
      <c r="P31">
        <f>0.9155*Table2[[#This Row],[J45]]*Table2[[#This Row],[weight]]</f>
        <v>8.5618638576915587E-4</v>
      </c>
      <c r="Q31">
        <f>0.9155*Table2[[#This Row],[J56]]*Table2[[#This Row],[weight]]</f>
        <v>2.8223739738537881E-2</v>
      </c>
      <c r="R31">
        <f>0.9155*Table2[[#This Row],[J67]]*Table2[[#This Row],[weight]]</f>
        <v>2.0482972660641335E-2</v>
      </c>
      <c r="S31">
        <f>0.9155*Table2[[#This Row],[J67'']]*Table2[[#This Row],[weight]]</f>
        <v>1.5486212769922985E-3</v>
      </c>
      <c r="T31">
        <f>0.9155*Table2[[#This Row],[J77'']]*Table2[[#This Row],[weight]]</f>
        <v>-2.95126979313215E-2</v>
      </c>
    </row>
    <row r="32" spans="1:20" x14ac:dyDescent="0.25">
      <c r="A32" t="s">
        <v>48</v>
      </c>
      <c r="B32">
        <v>9.5879999999999992</v>
      </c>
      <c r="C32">
        <v>3.2650000000000001</v>
      </c>
      <c r="D32">
        <v>8.343</v>
      </c>
      <c r="E32">
        <v>11.727</v>
      </c>
      <c r="F32">
        <v>9.9339999999999993</v>
      </c>
      <c r="G32">
        <v>1.98</v>
      </c>
      <c r="H32">
        <v>-13.079000000000001</v>
      </c>
      <c r="I32">
        <v>1.956</v>
      </c>
      <c r="J32" s="9">
        <f>chloroform!J37</f>
        <v>3.648841376783802E-2</v>
      </c>
      <c r="K32" t="str">
        <f>chloroform!F37</f>
        <v>5C12</v>
      </c>
      <c r="M32">
        <f>0.9155*Table2[[#This Row],[J1,2]]*Table2[[#This Row],[weight]]</f>
        <v>0.32028850920912127</v>
      </c>
      <c r="N32">
        <f>0.9155*Table2[[#This Row],[J2,3]]*Table2[[#This Row],[weight]]</f>
        <v>0.10906779125654789</v>
      </c>
      <c r="O32">
        <f>0.9155*Table2[[#This Row],[J34]]*Table2[[#This Row],[weight]]</f>
        <v>0.27869910641757395</v>
      </c>
      <c r="P32">
        <f>0.9155*Table2[[#This Row],[J45]]*Table2[[#This Row],[weight]]</f>
        <v>0.39174210966785206</v>
      </c>
      <c r="Q32">
        <f>0.9155*Table2[[#This Row],[J56]]*Table2[[#This Row],[weight]]</f>
        <v>0.33184668861946298</v>
      </c>
      <c r="R32">
        <f>0.9155*Table2[[#This Row],[J67]]*Table2[[#This Row],[weight]]</f>
        <v>6.6142182752822298E-2</v>
      </c>
      <c r="S32">
        <f>0.9155*Table2[[#This Row],[J67'']]*Table2[[#This Row],[weight]]</f>
        <v>6.5340459325515368E-2</v>
      </c>
      <c r="T32">
        <f>0.9155*Table2[[#This Row],[J77'']]*Table2[[#This Row],[weight]]</f>
        <v>-0.43690586273947624</v>
      </c>
    </row>
    <row r="33" spans="1:32" x14ac:dyDescent="0.25">
      <c r="A33" t="s">
        <v>49</v>
      </c>
      <c r="B33">
        <v>10.128</v>
      </c>
      <c r="C33">
        <v>2.4900000000000002</v>
      </c>
      <c r="D33">
        <v>7.4660000000000002</v>
      </c>
      <c r="E33">
        <v>1.1379999999999999</v>
      </c>
      <c r="F33">
        <v>5.399</v>
      </c>
      <c r="G33">
        <v>1.657</v>
      </c>
      <c r="H33">
        <v>-13.443</v>
      </c>
      <c r="I33">
        <v>11.381</v>
      </c>
      <c r="J33" s="9">
        <f>chloroform!J38</f>
        <v>7.6543233743887095E-5</v>
      </c>
      <c r="K33" t="str">
        <f>chloroform!F38</f>
        <v>TH45</v>
      </c>
      <c r="M33">
        <f>0.9155*Table2[[#This Row],[J1,2]]*Table2[[#This Row],[weight]]</f>
        <v>7.0972294722832993E-4</v>
      </c>
      <c r="N33">
        <f>0.9155*Table2[[#This Row],[J2,3]]*Table2[[#This Row],[weight]]</f>
        <v>1.7448757292639632E-4</v>
      </c>
      <c r="O33">
        <f>0.9155*Table2[[#This Row],[J34]]*Table2[[#This Row],[weight]]</f>
        <v>5.2318241745721882E-4</v>
      </c>
      <c r="P33">
        <f>0.9155*Table2[[#This Row],[J45]]*Table2[[#This Row],[weight]]</f>
        <v>7.9745726100497588E-5</v>
      </c>
      <c r="Q33">
        <f>0.9155*Table2[[#This Row],[J56]]*Table2[[#This Row],[weight]]</f>
        <v>3.7833670932916209E-4</v>
      </c>
      <c r="R33">
        <f>0.9155*Table2[[#This Row],[J67]]*Table2[[#This Row],[weight]]</f>
        <v>1.1611482262611995E-4</v>
      </c>
      <c r="S33">
        <f>0.9155*Table2[[#This Row],[J67'']]*Table2[[#This Row],[weight]]</f>
        <v>7.975273363354684E-4</v>
      </c>
      <c r="T33">
        <f>0.9155*Table2[[#This Row],[J77'']]*Table2[[#This Row],[weight]]</f>
        <v>-9.4202266781106246E-4</v>
      </c>
    </row>
    <row r="34" spans="1:32" x14ac:dyDescent="0.25">
      <c r="A34" t="s">
        <v>50</v>
      </c>
      <c r="B34">
        <v>8.7379999999999995</v>
      </c>
      <c r="C34">
        <v>9.2420000000000009</v>
      </c>
      <c r="D34">
        <v>1.9810000000000001</v>
      </c>
      <c r="E34">
        <v>6.6280000000000001</v>
      </c>
      <c r="F34">
        <v>9.7420000000000009</v>
      </c>
      <c r="G34">
        <v>2.1709999999999998</v>
      </c>
      <c r="H34">
        <v>-13.757</v>
      </c>
      <c r="I34">
        <v>11.983000000000001</v>
      </c>
      <c r="J34" s="9">
        <f>chloroform!J39</f>
        <v>2.1700256798573677E-2</v>
      </c>
      <c r="K34" t="str">
        <f>chloroform!F39</f>
        <v>45TH</v>
      </c>
      <c r="M34">
        <f>0.9155*Table2[[#This Row],[J1,2]]*Table2[[#This Row],[weight]]</f>
        <v>0.17359422059588511</v>
      </c>
      <c r="N34">
        <f>0.9155*Table2[[#This Row],[J2,3]]*Table2[[#This Row],[weight]]</f>
        <v>0.18360697948582863</v>
      </c>
      <c r="O34">
        <f>0.9155*Table2[[#This Row],[J34]]*Table2[[#This Row],[weight]]</f>
        <v>3.9355705081305613E-2</v>
      </c>
      <c r="P34">
        <f>0.9155*Table2[[#This Row],[J45]]*Table2[[#This Row],[weight]]</f>
        <v>0.13167572603679636</v>
      </c>
      <c r="Q34">
        <f>0.9155*Table2[[#This Row],[J56]]*Table2[[#This Row],[weight]]</f>
        <v>0.19354027203537572</v>
      </c>
      <c r="R34">
        <f>0.9155*Table2[[#This Row],[J67]]*Table2[[#This Row],[weight]]</f>
        <v>4.3130356250133506E-2</v>
      </c>
      <c r="S34">
        <f>0.9155*Table2[[#This Row],[J67'']]*Table2[[#This Row],[weight]]</f>
        <v>0.23806128924244582</v>
      </c>
      <c r="T34">
        <f>0.9155*Table2[[#This Row],[J77'']]*Table2[[#This Row],[weight]]</f>
        <v>-0.2733046112082389</v>
      </c>
    </row>
    <row r="35" spans="1:32" x14ac:dyDescent="0.25">
      <c r="A35" t="s">
        <v>51</v>
      </c>
      <c r="B35">
        <v>8.8369999999999997</v>
      </c>
      <c r="C35">
        <v>8.4109999999999996</v>
      </c>
      <c r="D35">
        <v>3.016</v>
      </c>
      <c r="E35">
        <v>4.66</v>
      </c>
      <c r="F35">
        <v>3.0089999999999999</v>
      </c>
      <c r="G35">
        <v>13.372999999999999</v>
      </c>
      <c r="H35">
        <v>-11.494</v>
      </c>
      <c r="I35">
        <v>5.6150000000000002</v>
      </c>
      <c r="J35" s="9">
        <f>chloroform!J40</f>
        <v>8.5231241623590044E-5</v>
      </c>
      <c r="K35" t="str">
        <f>chloroform!F40</f>
        <v>12C5</v>
      </c>
      <c r="M35">
        <f>0.9155*Table2[[#This Row],[J1,2]]*Table2[[#This Row],[weight]]</f>
        <v>6.8954405547942753E-4</v>
      </c>
      <c r="N35">
        <f>0.9155*Table2[[#This Row],[J2,3]]*Table2[[#This Row],[weight]]</f>
        <v>6.5630361555250242E-4</v>
      </c>
      <c r="O35">
        <f>0.9155*Table2[[#This Row],[J34]]*Table2[[#This Row],[weight]]</f>
        <v>2.353360723464924E-4</v>
      </c>
      <c r="P35">
        <f>0.9155*Table2[[#This Row],[J45]]*Table2[[#This Row],[weight]]</f>
        <v>3.6361607995180856E-4</v>
      </c>
      <c r="Q35">
        <f>0.9155*Table2[[#This Row],[J56]]*Table2[[#This Row],[weight]]</f>
        <v>2.3478986793454762E-4</v>
      </c>
      <c r="R35">
        <f>0.9155*Table2[[#This Row],[J67]]*Table2[[#This Row],[weight]]</f>
        <v>1.0434845144196429E-3</v>
      </c>
      <c r="S35">
        <f>0.9155*Table2[[#This Row],[J67'']]*Table2[[#This Row],[weight]]</f>
        <v>4.3813396758141739E-4</v>
      </c>
      <c r="T35">
        <f>0.9155*Table2[[#This Row],[J77'']]*Table2[[#This Row],[weight]]</f>
        <v>-8.9686764441332357E-4</v>
      </c>
      <c r="Z35">
        <v>6.8367000000000004</v>
      </c>
      <c r="AA35">
        <v>3.44</v>
      </c>
      <c r="AB35">
        <v>1.77</v>
      </c>
      <c r="AC35">
        <v>4.0999999999999996</v>
      </c>
      <c r="AD35">
        <v>8.9</v>
      </c>
      <c r="AE35">
        <v>2.54</v>
      </c>
      <c r="AF35">
        <v>6.31</v>
      </c>
    </row>
    <row r="36" spans="1:32" x14ac:dyDescent="0.25">
      <c r="A36" t="s">
        <v>120</v>
      </c>
      <c r="B36">
        <v>8.702</v>
      </c>
      <c r="C36">
        <v>2.25</v>
      </c>
      <c r="D36">
        <v>11.945</v>
      </c>
      <c r="E36">
        <v>9.3260000000000005</v>
      </c>
      <c r="F36">
        <v>0.246</v>
      </c>
      <c r="G36">
        <v>13.015000000000001</v>
      </c>
      <c r="H36">
        <v>-11.965999999999999</v>
      </c>
      <c r="I36">
        <v>5.1390000000000002</v>
      </c>
      <c r="J36" s="9">
        <f>chloroform!J41</f>
        <v>0</v>
      </c>
      <c r="K36" t="str">
        <f>chloroform!F41</f>
        <v>6H4</v>
      </c>
      <c r="M36">
        <f>0.9155*Table2[[#This Row],[J1,2]]*Table2[[#This Row],[weight]]</f>
        <v>0</v>
      </c>
      <c r="N36">
        <f>0.9155*Table2[[#This Row],[J2,3]]*Table2[[#This Row],[weight]]</f>
        <v>0</v>
      </c>
      <c r="O36">
        <f>0.9155*Table2[[#This Row],[J34]]*Table2[[#This Row],[weight]]</f>
        <v>0</v>
      </c>
      <c r="P36">
        <f>0.9155*Table2[[#This Row],[J45]]*Table2[[#This Row],[weight]]</f>
        <v>0</v>
      </c>
      <c r="Q36">
        <f>0.9155*Table2[[#This Row],[J56]]*Table2[[#This Row],[weight]]</f>
        <v>0</v>
      </c>
      <c r="R36">
        <f>0.9155*Table2[[#This Row],[J67]]*Table2[[#This Row],[weight]]</f>
        <v>0</v>
      </c>
      <c r="S36">
        <f>0.9155*Table2[[#This Row],[J67'']]*Table2[[#This Row],[weight]]</f>
        <v>0</v>
      </c>
      <c r="T36">
        <f>0.9155*Table2[[#This Row],[J77'']]*Table2[[#This Row],[weight]]</f>
        <v>0</v>
      </c>
    </row>
    <row r="37" spans="1:32" x14ac:dyDescent="0.25">
      <c r="A37" t="s">
        <v>121</v>
      </c>
      <c r="B37">
        <v>9.5169999999999995</v>
      </c>
      <c r="C37">
        <v>3.0920000000000001</v>
      </c>
      <c r="D37">
        <v>8.1379999999999999</v>
      </c>
      <c r="E37">
        <v>1.3149999999999999</v>
      </c>
      <c r="F37">
        <v>4.7270000000000003</v>
      </c>
      <c r="G37">
        <v>13.472</v>
      </c>
      <c r="H37">
        <v>-12.326000000000001</v>
      </c>
      <c r="I37">
        <v>4.0449999999999999</v>
      </c>
      <c r="J37" s="9">
        <f>chloroform!J42</f>
        <v>0</v>
      </c>
      <c r="K37" t="str">
        <f>chloroform!F42</f>
        <v>TH45</v>
      </c>
      <c r="M37">
        <f>0.9155*Table2[[#This Row],[J1,2]]*Table2[[#This Row],[weight]]</f>
        <v>0</v>
      </c>
      <c r="N37">
        <f>0.9155*Table2[[#This Row],[J2,3]]*Table2[[#This Row],[weight]]</f>
        <v>0</v>
      </c>
      <c r="O37">
        <f>0.9155*Table2[[#This Row],[J34]]*Table2[[#This Row],[weight]]</f>
        <v>0</v>
      </c>
      <c r="P37">
        <f>0.9155*Table2[[#This Row],[J45]]*Table2[[#This Row],[weight]]</f>
        <v>0</v>
      </c>
      <c r="Q37">
        <f>0.9155*Table2[[#This Row],[J56]]*Table2[[#This Row],[weight]]</f>
        <v>0</v>
      </c>
      <c r="R37">
        <f>0.9155*Table2[[#This Row],[J67]]*Table2[[#This Row],[weight]]</f>
        <v>0</v>
      </c>
      <c r="S37">
        <f>0.9155*Table2[[#This Row],[J67'']]*Table2[[#This Row],[weight]]</f>
        <v>0</v>
      </c>
      <c r="T37">
        <f>0.9155*Table2[[#This Row],[J77'']]*Table2[[#This Row],[weight]]</f>
        <v>0</v>
      </c>
    </row>
    <row r="38" spans="1:32" x14ac:dyDescent="0.25">
      <c r="A38" t="s">
        <v>52</v>
      </c>
      <c r="B38">
        <v>7.7990000000000004</v>
      </c>
      <c r="C38">
        <v>2.762</v>
      </c>
      <c r="D38">
        <v>10.648</v>
      </c>
      <c r="E38">
        <v>10.943</v>
      </c>
      <c r="F38">
        <v>10.845000000000001</v>
      </c>
      <c r="G38">
        <v>2.3780000000000001</v>
      </c>
      <c r="H38">
        <v>-12.177</v>
      </c>
      <c r="I38">
        <v>11.22</v>
      </c>
      <c r="J38" s="9">
        <f>chloroform!J43</f>
        <v>2.6557312069796467E-2</v>
      </c>
      <c r="K38" t="str">
        <f>chloroform!F43</f>
        <v>5C12</v>
      </c>
      <c r="M38">
        <f>0.9155*Table2[[#This Row],[J1,2]]*Table2[[#This Row],[weight]]</f>
        <v>0.18961879654000971</v>
      </c>
      <c r="N38">
        <f>0.9155*Table2[[#This Row],[J2,3]]*Table2[[#This Row],[weight]]</f>
        <v>6.7153111430120122E-2</v>
      </c>
      <c r="O38">
        <f>0.9155*Table2[[#This Row],[J34]]*Table2[[#This Row],[weight]]</f>
        <v>0.25888715804052098</v>
      </c>
      <c r="P38">
        <f>0.9155*Table2[[#This Row],[J45]]*Table2[[#This Row],[weight]]</f>
        <v>0.26605955770449108</v>
      </c>
      <c r="Q38">
        <f>0.9155*Table2[[#This Row],[J56]]*Table2[[#This Row],[weight]]</f>
        <v>0.26367686222290104</v>
      </c>
      <c r="R38">
        <f>0.9155*Table2[[#This Row],[J67]]*Table2[[#This Row],[weight]]</f>
        <v>5.781683525735902E-2</v>
      </c>
      <c r="S38">
        <f>0.9155*Table2[[#This Row],[J67'']]*Table2[[#This Row],[weight]]</f>
        <v>0.27279431942286303</v>
      </c>
      <c r="T38">
        <f>0.9155*Table2[[#This Row],[J77'']]*Table2[[#This Row],[weight]]</f>
        <v>-0.29606207019716607</v>
      </c>
    </row>
    <row r="39" spans="1:32" x14ac:dyDescent="0.25">
      <c r="A39" t="s">
        <v>103</v>
      </c>
      <c r="B39">
        <v>9.0850000000000009</v>
      </c>
      <c r="C39">
        <v>9.5449999999999999</v>
      </c>
      <c r="D39">
        <v>0.57099999999999995</v>
      </c>
      <c r="E39">
        <v>11.364000000000001</v>
      </c>
      <c r="F39">
        <v>8.36</v>
      </c>
      <c r="G39">
        <v>10.76</v>
      </c>
      <c r="H39">
        <v>-11.877000000000001</v>
      </c>
      <c r="I39">
        <v>2.859</v>
      </c>
      <c r="J39" s="9">
        <f>chloroform!J44</f>
        <v>0</v>
      </c>
      <c r="K39" t="str">
        <f>chloroform!F44</f>
        <v>45TH</v>
      </c>
      <c r="M39">
        <f>0.9155*Table2[[#This Row],[J1,2]]*Table2[[#This Row],[weight]]</f>
        <v>0</v>
      </c>
      <c r="N39">
        <f>0.9155*Table2[[#This Row],[J2,3]]*Table2[[#This Row],[weight]]</f>
        <v>0</v>
      </c>
      <c r="O39">
        <f>0.9155*Table2[[#This Row],[J34]]*Table2[[#This Row],[weight]]</f>
        <v>0</v>
      </c>
      <c r="P39">
        <f>0.9155*Table2[[#This Row],[J45]]*Table2[[#This Row],[weight]]</f>
        <v>0</v>
      </c>
      <c r="Q39">
        <f>0.9155*Table2[[#This Row],[J56]]*Table2[[#This Row],[weight]]</f>
        <v>0</v>
      </c>
      <c r="R39">
        <f>0.9155*Table2[[#This Row],[J67]]*Table2[[#This Row],[weight]]</f>
        <v>0</v>
      </c>
      <c r="S39">
        <f>0.9155*Table2[[#This Row],[J67'']]*Table2[[#This Row],[weight]]</f>
        <v>0</v>
      </c>
      <c r="T39">
        <f>0.9155*Table2[[#This Row],[J77'']]*Table2[[#This Row],[weight]]</f>
        <v>0</v>
      </c>
    </row>
    <row r="40" spans="1:32" x14ac:dyDescent="0.25">
      <c r="A40" t="s">
        <v>104</v>
      </c>
      <c r="B40">
        <v>9.1489999999999991</v>
      </c>
      <c r="C40">
        <v>1.9339999999999999</v>
      </c>
      <c r="D40">
        <v>12.611000000000001</v>
      </c>
      <c r="E40">
        <v>7.7530000000000001</v>
      </c>
      <c r="F40">
        <v>0.96599999999999997</v>
      </c>
      <c r="G40">
        <v>13.769</v>
      </c>
      <c r="H40">
        <v>-13.135999999999999</v>
      </c>
      <c r="I40">
        <v>6.9930000000000003</v>
      </c>
      <c r="J40" s="9">
        <f>chloroform!J45</f>
        <v>0</v>
      </c>
      <c r="K40" t="str">
        <f>chloroform!F45</f>
        <v>6H4</v>
      </c>
      <c r="M40">
        <f>0.9155*Table2[[#This Row],[J1,2]]*Table2[[#This Row],[weight]]</f>
        <v>0</v>
      </c>
      <c r="N40">
        <f>0.9155*Table2[[#This Row],[J2,3]]*Table2[[#This Row],[weight]]</f>
        <v>0</v>
      </c>
      <c r="O40">
        <f>0.9155*Table2[[#This Row],[J34]]*Table2[[#This Row],[weight]]</f>
        <v>0</v>
      </c>
      <c r="P40">
        <f>0.9155*Table2[[#This Row],[J45]]*Table2[[#This Row],[weight]]</f>
        <v>0</v>
      </c>
      <c r="Q40">
        <f>0.9155*Table2[[#This Row],[J56]]*Table2[[#This Row],[weight]]</f>
        <v>0</v>
      </c>
      <c r="R40">
        <f>0.9155*Table2[[#This Row],[J67]]*Table2[[#This Row],[weight]]</f>
        <v>0</v>
      </c>
      <c r="S40">
        <f>0.9155*Table2[[#This Row],[J67'']]*Table2[[#This Row],[weight]]</f>
        <v>0</v>
      </c>
      <c r="T40">
        <f>0.9155*Table2[[#This Row],[J77'']]*Table2[[#This Row],[weight]]</f>
        <v>0</v>
      </c>
    </row>
    <row r="41" spans="1:32" x14ac:dyDescent="0.25">
      <c r="A41" t="s">
        <v>105</v>
      </c>
      <c r="B41">
        <v>9.8740000000000006</v>
      </c>
      <c r="C41">
        <v>7.056</v>
      </c>
      <c r="D41">
        <v>2.3149999999999999</v>
      </c>
      <c r="E41">
        <v>6.423</v>
      </c>
      <c r="F41">
        <v>3.3010000000000002</v>
      </c>
      <c r="G41">
        <v>13.672000000000001</v>
      </c>
      <c r="H41">
        <v>-11.84</v>
      </c>
      <c r="I41">
        <v>6.2759999999999998</v>
      </c>
      <c r="J41" s="9">
        <f>chloroform!J46</f>
        <v>0</v>
      </c>
      <c r="K41" t="str">
        <f>chloroform!F46</f>
        <v>12C5</v>
      </c>
      <c r="M41">
        <f>0.9155*Table2[[#This Row],[J1,2]]*Table2[[#This Row],[weight]]</f>
        <v>0</v>
      </c>
      <c r="N41">
        <f>0.9155*Table2[[#This Row],[J2,3]]*Table2[[#This Row],[weight]]</f>
        <v>0</v>
      </c>
      <c r="O41">
        <f>0.9155*Table2[[#This Row],[J34]]*Table2[[#This Row],[weight]]</f>
        <v>0</v>
      </c>
      <c r="P41">
        <f>0.9155*Table2[[#This Row],[J45]]*Table2[[#This Row],[weight]]</f>
        <v>0</v>
      </c>
      <c r="Q41">
        <f>0.9155*Table2[[#This Row],[J56]]*Table2[[#This Row],[weight]]</f>
        <v>0</v>
      </c>
      <c r="R41">
        <f>0.9155*Table2[[#This Row],[J67]]*Table2[[#This Row],[weight]]</f>
        <v>0</v>
      </c>
      <c r="S41">
        <f>0.9155*Table2[[#This Row],[J67'']]*Table2[[#This Row],[weight]]</f>
        <v>0</v>
      </c>
      <c r="T41">
        <f>0.9155*Table2[[#This Row],[J77'']]*Table2[[#This Row],[weight]]</f>
        <v>0</v>
      </c>
    </row>
    <row r="42" spans="1:32" x14ac:dyDescent="0.25">
      <c r="A42" t="s">
        <v>53</v>
      </c>
      <c r="B42">
        <v>8.64</v>
      </c>
      <c r="C42">
        <v>9.8789999999999996</v>
      </c>
      <c r="D42">
        <v>2.214</v>
      </c>
      <c r="E42">
        <v>6.4930000000000003</v>
      </c>
      <c r="F42">
        <v>9.8849999999999998</v>
      </c>
      <c r="G42">
        <v>2.7589999999999999</v>
      </c>
      <c r="H42">
        <v>-12.823</v>
      </c>
      <c r="I42">
        <v>11.991</v>
      </c>
      <c r="J42" s="9">
        <f>chloroform!J47</f>
        <v>1.0114490607520146E-2</v>
      </c>
      <c r="K42" t="str">
        <f>chloroform!F47</f>
        <v>45TH</v>
      </c>
      <c r="M42">
        <f>0.9155*Table2[[#This Row],[J1,2]]*Table2[[#This Row],[weight]]</f>
        <v>8.000481154623576E-2</v>
      </c>
      <c r="N42">
        <f>0.9155*Table2[[#This Row],[J2,3]]*Table2[[#This Row],[weight]]</f>
        <v>9.1477723757553572E-2</v>
      </c>
      <c r="O42">
        <f>0.9155*Table2[[#This Row],[J34]]*Table2[[#This Row],[weight]]</f>
        <v>2.0501232958722911E-2</v>
      </c>
      <c r="P42">
        <f>0.9155*Table2[[#This Row],[J45]]*Table2[[#This Row],[weight]]</f>
        <v>6.0123986269642216E-2</v>
      </c>
      <c r="Q42">
        <f>0.9155*Table2[[#This Row],[J56]]*Table2[[#This Row],[weight]]</f>
        <v>9.1533282654460688E-2</v>
      </c>
      <c r="R42">
        <f>0.9155*Table2[[#This Row],[J67]]*Table2[[#This Row],[weight]]</f>
        <v>2.5547832761118567E-2</v>
      </c>
      <c r="S42">
        <f>0.9155*Table2[[#This Row],[J67'']]*Table2[[#This Row],[weight]]</f>
        <v>0.11103445546885564</v>
      </c>
      <c r="T42">
        <f>0.9155*Table2[[#This Row],[J77'']]*Table2[[#This Row],[weight]]</f>
        <v>-0.11873862250664131</v>
      </c>
    </row>
    <row r="43" spans="1:32" x14ac:dyDescent="0.25">
      <c r="A43" t="s">
        <v>54</v>
      </c>
      <c r="B43">
        <v>7.6660000000000004</v>
      </c>
      <c r="C43">
        <v>2.8330000000000002</v>
      </c>
      <c r="D43">
        <v>10.426</v>
      </c>
      <c r="E43">
        <v>10.933</v>
      </c>
      <c r="F43">
        <v>10.318</v>
      </c>
      <c r="G43">
        <v>1.1659999999999999</v>
      </c>
      <c r="H43">
        <v>-14.012</v>
      </c>
      <c r="I43">
        <v>3.1669999999999998</v>
      </c>
      <c r="J43" s="9">
        <f>chloroform!J48</f>
        <v>9.2026393674751749E-4</v>
      </c>
      <c r="K43" t="str">
        <f>chloroform!F48</f>
        <v>5C12</v>
      </c>
      <c r="M43">
        <f>0.9155*Table2[[#This Row],[J1,2]]*Table2[[#This Row],[weight]]</f>
        <v>6.4586175269519723E-3</v>
      </c>
      <c r="N43">
        <f>0.9155*Table2[[#This Row],[J2,3]]*Table2[[#This Row],[weight]]</f>
        <v>2.3868071293836344E-3</v>
      </c>
      <c r="O43">
        <f>0.9155*Table2[[#This Row],[J34]]*Table2[[#This Row],[weight]]</f>
        <v>8.7839220370468634E-3</v>
      </c>
      <c r="P43">
        <f>0.9155*Table2[[#This Row],[J45]]*Table2[[#This Row],[weight]]</f>
        <v>9.2110703655316865E-3</v>
      </c>
      <c r="Q43">
        <f>0.9155*Table2[[#This Row],[J56]]*Table2[[#This Row],[weight]]</f>
        <v>8.6929318605648894E-3</v>
      </c>
      <c r="R43">
        <f>0.9155*Table2[[#This Row],[J67]]*Table2[[#This Row],[weight]]</f>
        <v>9.8235690535168271E-4</v>
      </c>
      <c r="S43">
        <f>0.9155*Table2[[#This Row],[J67'']]*Table2[[#This Row],[weight]]</f>
        <v>2.6682026751704791E-3</v>
      </c>
      <c r="T43">
        <f>0.9155*Table2[[#This Row],[J77'']]*Table2[[#This Row],[weight]]</f>
        <v>-1.1805132896902042E-2</v>
      </c>
    </row>
    <row r="44" spans="1:32" x14ac:dyDescent="0.25">
      <c r="A44" t="s">
        <v>100</v>
      </c>
      <c r="B44">
        <v>5.9850000000000003</v>
      </c>
      <c r="C44">
        <v>5.6429999999999998</v>
      </c>
      <c r="D44">
        <v>8.7949999999999999</v>
      </c>
      <c r="E44">
        <v>1.976</v>
      </c>
      <c r="F44">
        <v>0.36399999999999999</v>
      </c>
      <c r="G44">
        <v>12.02</v>
      </c>
      <c r="H44">
        <v>-11.138</v>
      </c>
      <c r="I44">
        <v>5.085</v>
      </c>
      <c r="J44" s="9">
        <f>chloroform!J49</f>
        <v>0</v>
      </c>
      <c r="K44" t="str">
        <f>chloroform!F49</f>
        <v>125B</v>
      </c>
      <c r="M44">
        <f>0.9155*Table2[[#This Row],[J1,2]]*Table2[[#This Row],[weight]]</f>
        <v>0</v>
      </c>
      <c r="N44">
        <f>0.9155*Table2[[#This Row],[J2,3]]*Table2[[#This Row],[weight]]</f>
        <v>0</v>
      </c>
      <c r="O44">
        <f>0.9155*Table2[[#This Row],[J34]]*Table2[[#This Row],[weight]]</f>
        <v>0</v>
      </c>
      <c r="P44">
        <f>0.9155*Table2[[#This Row],[J45]]*Table2[[#This Row],[weight]]</f>
        <v>0</v>
      </c>
      <c r="Q44">
        <f>0.9155*Table2[[#This Row],[J56]]*Table2[[#This Row],[weight]]</f>
        <v>0</v>
      </c>
      <c r="R44">
        <f>0.9155*Table2[[#This Row],[J67]]*Table2[[#This Row],[weight]]</f>
        <v>0</v>
      </c>
      <c r="S44">
        <f>0.9155*Table2[[#This Row],[J67'']]*Table2[[#This Row],[weight]]</f>
        <v>0</v>
      </c>
      <c r="T44">
        <f>0.9155*Table2[[#This Row],[J77'']]*Table2[[#This Row],[weight]]</f>
        <v>0</v>
      </c>
    </row>
    <row r="45" spans="1:32" x14ac:dyDescent="0.25">
      <c r="A45" t="s">
        <v>55</v>
      </c>
      <c r="B45">
        <v>8.7850000000000001</v>
      </c>
      <c r="C45">
        <v>8.4290000000000003</v>
      </c>
      <c r="D45">
        <v>2.8820000000000001</v>
      </c>
      <c r="E45">
        <v>4.6180000000000003</v>
      </c>
      <c r="F45">
        <v>3.1150000000000002</v>
      </c>
      <c r="G45">
        <v>1.4770000000000001</v>
      </c>
      <c r="H45">
        <v>-13.055</v>
      </c>
      <c r="I45">
        <v>10.795</v>
      </c>
      <c r="J45" s="9">
        <f>chloroform!J50</f>
        <v>4.0395005497485294E-4</v>
      </c>
      <c r="K45" t="str">
        <f>chloroform!F50</f>
        <v>12C5</v>
      </c>
      <c r="M45">
        <f>0.9155*Table2[[#This Row],[J1,2]]*Table2[[#This Row],[weight]]</f>
        <v>3.2488359787694633E-3</v>
      </c>
      <c r="N45">
        <f>0.9155*Table2[[#This Row],[J2,3]]*Table2[[#This Row],[weight]]</f>
        <v>3.1171813847521686E-3</v>
      </c>
      <c r="O45">
        <f>0.9155*Table2[[#This Row],[J34]]*Table2[[#This Row],[weight]]</f>
        <v>1.0658105054995551E-3</v>
      </c>
      <c r="P45">
        <f>0.9155*Table2[[#This Row],[J45]]*Table2[[#This Row],[weight]]</f>
        <v>1.7078115594715288E-3</v>
      </c>
      <c r="Q45">
        <f>0.9155*Table2[[#This Row],[J56]]*Table2[[#This Row],[weight]]</f>
        <v>1.1519776976513236E-3</v>
      </c>
      <c r="R45">
        <f>0.9155*Table2[[#This Row],[J67]]*Table2[[#This Row],[weight]]</f>
        <v>5.4621863866163877E-4</v>
      </c>
      <c r="S45">
        <f>0.9155*Table2[[#This Row],[J67'']]*Table2[[#This Row],[weight]]</f>
        <v>3.9921666921817131E-3</v>
      </c>
      <c r="T45">
        <f>0.9155*Table2[[#This Row],[J77'']]*Table2[[#This Row],[weight]]</f>
        <v>-4.8279514744263329E-3</v>
      </c>
    </row>
    <row r="46" spans="1:32" x14ac:dyDescent="0.25">
      <c r="A46" t="s">
        <v>56</v>
      </c>
      <c r="B46">
        <v>7.5209999999999999</v>
      </c>
      <c r="C46">
        <v>5.6260000000000003</v>
      </c>
      <c r="D46">
        <v>10.598000000000001</v>
      </c>
      <c r="E46">
        <v>11.972</v>
      </c>
      <c r="F46">
        <v>8.2460000000000004</v>
      </c>
      <c r="G46">
        <v>1.1339999999999999</v>
      </c>
      <c r="H46">
        <v>-13.877000000000001</v>
      </c>
      <c r="I46">
        <v>10.268000000000001</v>
      </c>
      <c r="J46" s="9">
        <f>chloroform!J51</f>
        <v>3.3042482722126397E-3</v>
      </c>
      <c r="K46" t="str">
        <f>chloroform!F51</f>
        <v>56TH</v>
      </c>
      <c r="M46">
        <f>0.9155*Table2[[#This Row],[J1,2]]*Table2[[#This Row],[weight]]</f>
        <v>2.2751320524237461E-2</v>
      </c>
      <c r="N46">
        <f>0.9155*Table2[[#This Row],[J2,3]]*Table2[[#This Row],[weight]]</f>
        <v>1.7018871063603239E-2</v>
      </c>
      <c r="O46">
        <f>0.9155*Table2[[#This Row],[J34]]*Table2[[#This Row],[weight]]</f>
        <v>3.2059366429446699E-2</v>
      </c>
      <c r="P46">
        <f>0.9155*Table2[[#This Row],[J45]]*Table2[[#This Row],[weight]]</f>
        <v>3.6215770418318159E-2</v>
      </c>
      <c r="Q46">
        <f>0.9155*Table2[[#This Row],[J56]]*Table2[[#This Row],[weight]]</f>
        <v>2.4944474011815199E-2</v>
      </c>
      <c r="R46">
        <f>0.9155*Table2[[#This Row],[J67]]*Table2[[#This Row],[weight]]</f>
        <v>3.4303945585009011E-3</v>
      </c>
      <c r="S46">
        <f>0.9155*Table2[[#This Row],[J67'']]*Table2[[#This Row],[weight]]</f>
        <v>3.1061103462687176E-2</v>
      </c>
      <c r="T46">
        <f>0.9155*Table2[[#This Row],[J77'']]*Table2[[#This Row],[weight]]</f>
        <v>-4.1978470271884491E-2</v>
      </c>
    </row>
    <row r="47" spans="1:32" x14ac:dyDescent="0.25">
      <c r="A47" t="s">
        <v>122</v>
      </c>
      <c r="B47">
        <v>9.2170000000000005</v>
      </c>
      <c r="C47">
        <v>2.9079999999999999</v>
      </c>
      <c r="D47">
        <v>8.8650000000000002</v>
      </c>
      <c r="E47">
        <v>11.67</v>
      </c>
      <c r="F47">
        <v>9.6069999999999993</v>
      </c>
      <c r="G47">
        <v>2.4870000000000001</v>
      </c>
      <c r="H47">
        <v>-11.984</v>
      </c>
      <c r="I47">
        <v>11.439</v>
      </c>
      <c r="J47" s="9">
        <f>chloroform!J52</f>
        <v>1.1363251696581539E-3</v>
      </c>
      <c r="K47" t="str">
        <f>chloroform!F52</f>
        <v>5C12</v>
      </c>
      <c r="M47">
        <f>0.9155*Table2[[#This Row],[J1,2]]*Table2[[#This Row],[weight]]</f>
        <v>9.5884975707407425E-3</v>
      </c>
      <c r="N47">
        <f>0.9155*Table2[[#This Row],[J2,3]]*Table2[[#This Row],[weight]]</f>
        <v>3.025208954726492E-3</v>
      </c>
      <c r="O47">
        <f>0.9155*Table2[[#This Row],[J34]]*Table2[[#This Row],[weight]]</f>
        <v>9.2223099668673845E-3</v>
      </c>
      <c r="P47">
        <f>0.9155*Table2[[#This Row],[J45]]*Table2[[#This Row],[weight]]</f>
        <v>1.2140367435233206E-2</v>
      </c>
      <c r="Q47">
        <f>0.9155*Table2[[#This Row],[J56]]*Table2[[#This Row],[weight]]</f>
        <v>9.9942167909413369E-3</v>
      </c>
      <c r="R47">
        <f>0.9155*Table2[[#This Row],[J67]]*Table2[[#This Row],[weight]]</f>
        <v>2.5872402580484131E-3</v>
      </c>
      <c r="S47">
        <f>0.9155*Table2[[#This Row],[J67'']]*Table2[[#This Row],[weight]]</f>
        <v>1.1900056820191315E-2</v>
      </c>
      <c r="T47">
        <f>0.9155*Table2[[#This Row],[J77'']]*Table2[[#This Row],[weight]]</f>
        <v>-1.2467023422779326E-2</v>
      </c>
    </row>
    <row r="48" spans="1:32" x14ac:dyDescent="0.25">
      <c r="A48" t="s">
        <v>57</v>
      </c>
      <c r="B48">
        <v>8.0269999999999992</v>
      </c>
      <c r="C48">
        <v>2.6429999999999998</v>
      </c>
      <c r="D48">
        <v>10.698</v>
      </c>
      <c r="E48">
        <v>11.201000000000001</v>
      </c>
      <c r="F48">
        <v>10.691000000000001</v>
      </c>
      <c r="G48">
        <v>10.593</v>
      </c>
      <c r="H48">
        <v>-11.935</v>
      </c>
      <c r="I48">
        <v>2.339</v>
      </c>
      <c r="J48" s="9">
        <f>chloroform!J53</f>
        <v>6.9012125609283787E-3</v>
      </c>
      <c r="K48" t="str">
        <f>chloroform!F53</f>
        <v>5C12</v>
      </c>
      <c r="M48">
        <f>0.9155*Table2[[#This Row],[J1,2]]*Table2[[#This Row],[weight]]</f>
        <v>5.0715068418926749E-2</v>
      </c>
      <c r="N48">
        <f>0.9155*Table2[[#This Row],[J2,3]]*Table2[[#This Row],[weight]]</f>
        <v>1.6698632843057608E-2</v>
      </c>
      <c r="O48">
        <f>0.9155*Table2[[#This Row],[J34]]*Table2[[#This Row],[weight]]</f>
        <v>6.7590606944771203E-2</v>
      </c>
      <c r="P48">
        <f>0.9155*Table2[[#This Row],[J45]]*Table2[[#This Row],[weight]]</f>
        <v>7.076859117483475E-2</v>
      </c>
      <c r="Q48">
        <f>0.9155*Table2[[#This Row],[J56]]*Table2[[#This Row],[weight]]</f>
        <v>6.7546380524074495E-2</v>
      </c>
      <c r="R48">
        <f>0.9155*Table2[[#This Row],[J67]]*Table2[[#This Row],[weight]]</f>
        <v>6.6927210634320555E-2</v>
      </c>
      <c r="S48">
        <f>0.9155*Table2[[#This Row],[J67'']]*Table2[[#This Row],[weight]]</f>
        <v>1.4777942572800507E-2</v>
      </c>
      <c r="T48">
        <f>0.9155*Table2[[#This Row],[J77'']]*Table2[[#This Row],[weight]]</f>
        <v>-7.540604728788973E-2</v>
      </c>
    </row>
    <row r="49" spans="1:30" x14ac:dyDescent="0.25">
      <c r="A49" t="s">
        <v>58</v>
      </c>
      <c r="B49">
        <v>9.1750000000000007</v>
      </c>
      <c r="C49">
        <v>9.5269999999999992</v>
      </c>
      <c r="D49">
        <v>0.54200000000000004</v>
      </c>
      <c r="E49">
        <v>10.262</v>
      </c>
      <c r="F49">
        <v>8.2810000000000006</v>
      </c>
      <c r="G49">
        <v>10.746</v>
      </c>
      <c r="H49">
        <v>-12.188000000000001</v>
      </c>
      <c r="I49">
        <v>1.93</v>
      </c>
      <c r="J49" s="9">
        <f>chloroform!J54</f>
        <v>8.9647423822238471E-5</v>
      </c>
      <c r="K49" t="str">
        <f>chloroform!F54</f>
        <v>45TH</v>
      </c>
      <c r="M49">
        <f>0.9155*Table2[[#This Row],[J1,2]]*Table2[[#This Row],[weight]]</f>
        <v>7.5301258647245421E-4</v>
      </c>
      <c r="N49">
        <f>0.9155*Table2[[#This Row],[J2,3]]*Table2[[#This Row],[weight]]</f>
        <v>7.8190200668371349E-4</v>
      </c>
      <c r="O49">
        <f>0.9155*Table2[[#This Row],[J34]]*Table2[[#This Row],[weight]]</f>
        <v>4.448314134801855E-5</v>
      </c>
      <c r="P49">
        <f>0.9155*Table2[[#This Row],[J45]]*Table2[[#This Row],[weight]]</f>
        <v>8.4222508581801919E-4</v>
      </c>
      <c r="Q49">
        <f>0.9155*Table2[[#This Row],[J56]]*Table2[[#This Row],[weight]]</f>
        <v>6.7964002491317647E-4</v>
      </c>
      <c r="R49">
        <f>0.9155*Table2[[#This Row],[J67]]*Table2[[#This Row],[weight]]</f>
        <v>8.8194803860850064E-4</v>
      </c>
      <c r="S49">
        <f>0.9155*Table2[[#This Row],[J67'']]*Table2[[#This Row],[weight]]</f>
        <v>1.5839937786287048E-4</v>
      </c>
      <c r="T49">
        <f>0.9155*Table2[[#This Row],[J77'']]*Table2[[#This Row],[weight]]</f>
        <v>-1.0002961748148526E-3</v>
      </c>
    </row>
    <row r="50" spans="1:30" x14ac:dyDescent="0.25">
      <c r="A50" t="s">
        <v>59</v>
      </c>
      <c r="B50">
        <v>9.0779999999999994</v>
      </c>
      <c r="C50">
        <v>7.86</v>
      </c>
      <c r="D50">
        <v>2.5150000000000001</v>
      </c>
      <c r="E50">
        <v>4.6379999999999999</v>
      </c>
      <c r="F50">
        <v>3.2290000000000001</v>
      </c>
      <c r="G50">
        <v>13.443</v>
      </c>
      <c r="H50">
        <v>-11.587999999999999</v>
      </c>
      <c r="I50">
        <v>5.28</v>
      </c>
      <c r="J50" s="9">
        <f>chloroform!J55</f>
        <v>9.067247042405327E-5</v>
      </c>
      <c r="K50" t="str">
        <f>chloroform!F55</f>
        <v>12C5</v>
      </c>
      <c r="M50">
        <f>0.9155*Table2[[#This Row],[J1,2]]*Table2[[#This Row],[weight]]</f>
        <v>7.5357065049949797E-4</v>
      </c>
      <c r="N50">
        <f>0.9155*Table2[[#This Row],[J2,3]]*Table2[[#This Row],[weight]]</f>
        <v>6.5246368285151529E-4</v>
      </c>
      <c r="O50">
        <f>0.9155*Table2[[#This Row],[J34]]*Table2[[#This Row],[weight]]</f>
        <v>2.0877177638315024E-4</v>
      </c>
      <c r="P50">
        <f>0.9155*Table2[[#This Row],[J45]]*Table2[[#This Row],[weight]]</f>
        <v>3.8500337927039788E-4</v>
      </c>
      <c r="Q50">
        <f>0.9155*Table2[[#This Row],[J56]]*Table2[[#This Row],[weight]]</f>
        <v>2.6804137810782988E-4</v>
      </c>
      <c r="R50">
        <f>0.9155*Table2[[#This Row],[J67]]*Table2[[#This Row],[weight]]</f>
        <v>1.1159121232281067E-3</v>
      </c>
      <c r="S50">
        <f>0.9155*Table2[[#This Row],[J67'']]*Table2[[#This Row],[weight]]</f>
        <v>4.3829621443460567E-4</v>
      </c>
      <c r="T50">
        <f>0.9155*Table2[[#This Row],[J77'']]*Table2[[#This Row],[weight]]</f>
        <v>-9.619273736492822E-4</v>
      </c>
    </row>
    <row r="51" spans="1:30" x14ac:dyDescent="0.25">
      <c r="A51" t="s">
        <v>60</v>
      </c>
      <c r="B51">
        <v>9.1660000000000004</v>
      </c>
      <c r="C51">
        <v>7.9160000000000004</v>
      </c>
      <c r="D51">
        <v>2.9239999999999999</v>
      </c>
      <c r="E51">
        <v>5.0010000000000003</v>
      </c>
      <c r="F51">
        <v>2.9750000000000001</v>
      </c>
      <c r="G51">
        <v>13.638999999999999</v>
      </c>
      <c r="H51">
        <v>-11.439</v>
      </c>
      <c r="I51">
        <v>5.4489999999999998</v>
      </c>
      <c r="J51" s="9">
        <f>chloroform!J56</f>
        <v>2.6492234570833355E-4</v>
      </c>
      <c r="K51" t="str">
        <f>chloroform!F56</f>
        <v>5C12</v>
      </c>
      <c r="M51">
        <f>0.9155*Table2[[#This Row],[J1,2]]*Table2[[#This Row],[weight]]</f>
        <v>2.2230887111081466E-3</v>
      </c>
      <c r="N51">
        <f>0.9155*Table2[[#This Row],[J2,3]]*Table2[[#This Row],[weight]]</f>
        <v>1.9199182017381727E-3</v>
      </c>
      <c r="O51">
        <f>0.9155*Table2[[#This Row],[J34]]*Table2[[#This Row],[weight]]</f>
        <v>7.0917645551824362E-4</v>
      </c>
      <c r="P51">
        <f>0.9155*Table2[[#This Row],[J45]]*Table2[[#This Row],[weight]]</f>
        <v>1.2129245738873929E-3</v>
      </c>
      <c r="Q51">
        <f>0.9155*Table2[[#This Row],[J56]]*Table2[[#This Row],[weight]]</f>
        <v>7.2154581230053866E-4</v>
      </c>
      <c r="R51">
        <f>0.9155*Table2[[#This Row],[J67]]*Table2[[#This Row],[weight]]</f>
        <v>3.3079540618376623E-3</v>
      </c>
      <c r="S51">
        <f>0.9155*Table2[[#This Row],[J67'']]*Table2[[#This Row],[weight]]</f>
        <v>1.3215808844455916E-3</v>
      </c>
      <c r="T51">
        <f>0.9155*Table2[[#This Row],[J77'']]*Table2[[#This Row],[weight]]</f>
        <v>-2.7743739653465077E-3</v>
      </c>
      <c r="AA51" s="5"/>
      <c r="AB51" s="5"/>
      <c r="AC51" s="5"/>
      <c r="AD51" s="5"/>
    </row>
    <row r="52" spans="1:30" x14ac:dyDescent="0.25">
      <c r="A52" t="s">
        <v>61</v>
      </c>
      <c r="B52">
        <v>9.4510000000000005</v>
      </c>
      <c r="C52">
        <v>3.4449999999999998</v>
      </c>
      <c r="D52">
        <v>8.2680000000000007</v>
      </c>
      <c r="E52">
        <v>11.887</v>
      </c>
      <c r="F52">
        <v>9.0549999999999997</v>
      </c>
      <c r="G52">
        <v>2.238</v>
      </c>
      <c r="H52">
        <v>-13.509</v>
      </c>
      <c r="I52">
        <v>12.182</v>
      </c>
      <c r="J52" s="9">
        <f>chloroform!J57</f>
        <v>1.4850564090781132E-3</v>
      </c>
      <c r="K52" t="str">
        <f>chloroform!F57</f>
        <v>5C12</v>
      </c>
      <c r="M52">
        <f>0.9155*Table2[[#This Row],[J1,2]]*Table2[[#This Row],[weight]]</f>
        <v>1.2849287965871582E-2</v>
      </c>
      <c r="N52">
        <f>0.9155*Table2[[#This Row],[J2,3]]*Table2[[#This Row],[weight]]</f>
        <v>4.6837156959504385E-3</v>
      </c>
      <c r="O52">
        <f>0.9155*Table2[[#This Row],[J34]]*Table2[[#This Row],[weight]]</f>
        <v>1.1240917670281052E-2</v>
      </c>
      <c r="P52">
        <f>0.9155*Table2[[#This Row],[J45]]*Table2[[#This Row],[weight]]</f>
        <v>1.6161198397028408E-2</v>
      </c>
      <c r="Q52">
        <f>0.9155*Table2[[#This Row],[J56]]*Table2[[#This Row],[weight]]</f>
        <v>1.231089858543722E-2</v>
      </c>
      <c r="R52">
        <f>0.9155*Table2[[#This Row],[J67]]*Table2[[#This Row],[weight]]</f>
        <v>3.0427157409396461E-3</v>
      </c>
      <c r="S52">
        <f>0.9155*Table2[[#This Row],[J67'']]*Table2[[#This Row],[weight]]</f>
        <v>1.6562271294069154E-2</v>
      </c>
      <c r="T52">
        <f>0.9155*Table2[[#This Row],[J77'']]*Table2[[#This Row],[weight]]</f>
        <v>-1.8366419546181269E-2</v>
      </c>
    </row>
    <row r="53" spans="1:30" x14ac:dyDescent="0.25">
      <c r="A53" t="s">
        <v>62</v>
      </c>
      <c r="B53">
        <v>9.0540000000000003</v>
      </c>
      <c r="C53">
        <v>7.96</v>
      </c>
      <c r="D53">
        <v>2.5990000000000002</v>
      </c>
      <c r="E53">
        <v>4.9560000000000004</v>
      </c>
      <c r="F53">
        <v>3.4620000000000002</v>
      </c>
      <c r="G53">
        <v>1.2809999999999999</v>
      </c>
      <c r="H53">
        <v>-14.5</v>
      </c>
      <c r="I53">
        <v>11.343</v>
      </c>
      <c r="J53" s="9">
        <f>chloroform!J58</f>
        <v>3.1230665349553491E-4</v>
      </c>
      <c r="K53" t="str">
        <f>chloroform!F58</f>
        <v>12C5</v>
      </c>
      <c r="M53">
        <f>0.9155*Table2[[#This Row],[J1,2]]*Table2[[#This Row],[weight]]</f>
        <v>2.5886901755053189E-3</v>
      </c>
      <c r="N53">
        <f>0.9155*Table2[[#This Row],[J2,3]]*Table2[[#This Row],[weight]]</f>
        <v>2.2758972605502912E-3</v>
      </c>
      <c r="O53">
        <f>0.9155*Table2[[#This Row],[J34]]*Table2[[#This Row],[weight]]</f>
        <v>7.4309761057414654E-4</v>
      </c>
      <c r="P53">
        <f>0.9155*Table2[[#This Row],[J45]]*Table2[[#This Row],[weight]]</f>
        <v>1.417003369759704E-3</v>
      </c>
      <c r="Q53">
        <f>0.9155*Table2[[#This Row],[J56]]*Table2[[#This Row],[weight]]</f>
        <v>9.8984375829461158E-4</v>
      </c>
      <c r="R53">
        <f>0.9155*Table2[[#This Row],[J67]]*Table2[[#This Row],[weight]]</f>
        <v>3.6625934557348272E-4</v>
      </c>
      <c r="S53">
        <f>0.9155*Table2[[#This Row],[J67'']]*Table2[[#This Row],[weight]]</f>
        <v>3.2431535962841652E-3</v>
      </c>
      <c r="T53">
        <f>0.9155*Table2[[#This Row],[J77'']]*Table2[[#This Row],[weight]]</f>
        <v>-4.1457927484898514E-3</v>
      </c>
    </row>
    <row r="54" spans="1:30" x14ac:dyDescent="0.25">
      <c r="A54" t="s">
        <v>123</v>
      </c>
      <c r="B54">
        <v>8.8130000000000006</v>
      </c>
      <c r="C54">
        <v>8.4179999999999993</v>
      </c>
      <c r="D54">
        <v>3.0569999999999999</v>
      </c>
      <c r="E54">
        <v>4.6150000000000002</v>
      </c>
      <c r="F54">
        <v>2.96</v>
      </c>
      <c r="G54">
        <v>13.441000000000001</v>
      </c>
      <c r="H54">
        <v>-11.567</v>
      </c>
      <c r="I54">
        <v>5.5679999999999996</v>
      </c>
      <c r="J54" s="9">
        <f>chloroform!J59</f>
        <v>8.3223081917846813E-5</v>
      </c>
      <c r="K54" t="str">
        <f>chloroform!F59</f>
        <v>12C5</v>
      </c>
      <c r="M54">
        <f>0.9155*Table2[[#This Row],[J1,2]]*Table2[[#This Row],[weight]]</f>
        <v>6.7146891667238637E-4</v>
      </c>
      <c r="N54">
        <f>0.9155*Table2[[#This Row],[J2,3]]*Table2[[#This Row],[weight]]</f>
        <v>6.4137357773154976E-4</v>
      </c>
      <c r="O54">
        <f>0.9155*Table2[[#This Row],[J34]]*Table2[[#This Row],[weight]]</f>
        <v>2.3291506618262624E-4</v>
      </c>
      <c r="P54">
        <f>0.9155*Table2[[#This Row],[J45]]*Table2[[#This Row],[weight]]</f>
        <v>3.5162022585306512E-4</v>
      </c>
      <c r="Q54">
        <f>0.9155*Table2[[#This Row],[J56]]*Table2[[#This Row],[weight]]</f>
        <v>2.2552456522753473E-4</v>
      </c>
      <c r="R54">
        <f>0.9155*Table2[[#This Row],[J67]]*Table2[[#This Row],[weight]]</f>
        <v>1.0240796220348967E-3</v>
      </c>
      <c r="S54">
        <f>0.9155*Table2[[#This Row],[J67'']]*Table2[[#This Row],[weight]]</f>
        <v>4.2422999296855176E-4</v>
      </c>
      <c r="T54">
        <f>0.9155*Table2[[#This Row],[J77'']]*Table2[[#This Row],[weight]]</f>
        <v>-8.8129819121178857E-4</v>
      </c>
    </row>
    <row r="55" spans="1:30" x14ac:dyDescent="0.25">
      <c r="A55" t="s">
        <v>63</v>
      </c>
      <c r="B55">
        <v>9.1129999999999995</v>
      </c>
      <c r="C55">
        <v>7.7610000000000001</v>
      </c>
      <c r="D55">
        <v>2.6230000000000002</v>
      </c>
      <c r="E55">
        <v>4.8540000000000001</v>
      </c>
      <c r="F55">
        <v>3.4</v>
      </c>
      <c r="G55">
        <v>1.494</v>
      </c>
      <c r="H55">
        <v>-13.355</v>
      </c>
      <c r="I55">
        <v>10.888</v>
      </c>
      <c r="J55" s="9">
        <f>chloroform!J60</f>
        <v>9.9618615453542616E-4</v>
      </c>
      <c r="K55" t="str">
        <f>chloroform!F60</f>
        <v>12C5</v>
      </c>
      <c r="M55">
        <f>0.9155*Table2[[#This Row],[J1,2]]*Table2[[#This Row],[weight]]</f>
        <v>8.3111327722605651E-3</v>
      </c>
      <c r="N55">
        <f>0.9155*Table2[[#This Row],[J2,3]]*Table2[[#This Row],[weight]]</f>
        <v>7.078097382367414E-3</v>
      </c>
      <c r="O55">
        <f>0.9155*Table2[[#This Row],[J34]]*Table2[[#This Row],[weight]]</f>
        <v>2.3921980974036506E-3</v>
      </c>
      <c r="P55">
        <f>0.9155*Table2[[#This Row],[J45]]*Table2[[#This Row],[weight]]</f>
        <v>4.4268888924122451E-3</v>
      </c>
      <c r="Q55">
        <f>0.9155*Table2[[#This Row],[J56]]*Table2[[#This Row],[weight]]</f>
        <v>3.100828643222421E-3</v>
      </c>
      <c r="R55">
        <f>0.9155*Table2[[#This Row],[J67]]*Table2[[#This Row],[weight]]</f>
        <v>1.3625405861689107E-3</v>
      </c>
      <c r="S55">
        <f>0.9155*Table2[[#This Row],[J67'']]*Table2[[#This Row],[weight]]</f>
        <v>9.929947725707565E-3</v>
      </c>
      <c r="T55">
        <f>0.9155*Table2[[#This Row],[J77'']]*Table2[[#This Row],[weight]]</f>
        <v>-1.2179872508892775E-2</v>
      </c>
    </row>
    <row r="56" spans="1:30" x14ac:dyDescent="0.25">
      <c r="A56" t="s">
        <v>106</v>
      </c>
      <c r="B56">
        <v>7.8449999999999998</v>
      </c>
      <c r="C56">
        <v>8.1020000000000003</v>
      </c>
      <c r="D56">
        <v>6.1379999999999999</v>
      </c>
      <c r="E56">
        <v>1.778</v>
      </c>
      <c r="F56">
        <v>9.8209999999999997</v>
      </c>
      <c r="G56">
        <v>8.9789999999999992</v>
      </c>
      <c r="H56">
        <v>-12.071</v>
      </c>
      <c r="I56">
        <v>1.931</v>
      </c>
      <c r="J56" s="9">
        <f>chloroform!J61</f>
        <v>0</v>
      </c>
      <c r="K56" t="str">
        <f>chloroform!F61</f>
        <v>4H6</v>
      </c>
      <c r="M56">
        <f>0.9155*Table2[[#This Row],[J1,2]]*Table2[[#This Row],[weight]]</f>
        <v>0</v>
      </c>
      <c r="N56">
        <f>0.9155*Table2[[#This Row],[J2,3]]*Table2[[#This Row],[weight]]</f>
        <v>0</v>
      </c>
      <c r="O56">
        <f>0.9155*Table2[[#This Row],[J34]]*Table2[[#This Row],[weight]]</f>
        <v>0</v>
      </c>
      <c r="P56">
        <f>0.9155*Table2[[#This Row],[J45]]*Table2[[#This Row],[weight]]</f>
        <v>0</v>
      </c>
      <c r="Q56">
        <f>0.9155*Table2[[#This Row],[J56]]*Table2[[#This Row],[weight]]</f>
        <v>0</v>
      </c>
      <c r="R56">
        <f>0.9155*Table2[[#This Row],[J67]]*Table2[[#This Row],[weight]]</f>
        <v>0</v>
      </c>
      <c r="S56">
        <f>0.9155*Table2[[#This Row],[J67'']]*Table2[[#This Row],[weight]]</f>
        <v>0</v>
      </c>
      <c r="T56">
        <f>0.9155*Table2[[#This Row],[J77'']]*Table2[[#This Row],[weight]]</f>
        <v>0</v>
      </c>
      <c r="V56">
        <v>6.72</v>
      </c>
    </row>
    <row r="57" spans="1:30" x14ac:dyDescent="0.25">
      <c r="A57" t="s">
        <v>107</v>
      </c>
      <c r="B57">
        <v>9.3529999999999998</v>
      </c>
      <c r="C57">
        <v>2.9329999999999998</v>
      </c>
      <c r="D57">
        <v>9.4260000000000002</v>
      </c>
      <c r="E57">
        <v>11.856</v>
      </c>
      <c r="F57">
        <v>9.3699999999999992</v>
      </c>
      <c r="G57">
        <v>1.784</v>
      </c>
      <c r="H57">
        <v>-13.609</v>
      </c>
      <c r="I57">
        <v>11.305999999999999</v>
      </c>
      <c r="J57" s="9">
        <f>chloroform!J62</f>
        <v>3.3546528592854553E-5</v>
      </c>
      <c r="K57" t="str">
        <f>chloroform!F62</f>
        <v>5C12</v>
      </c>
      <c r="M57">
        <f>0.9155*Table2[[#This Row],[J1,2]]*Table2[[#This Row],[weight]]</f>
        <v>2.8724790430597079E-4</v>
      </c>
      <c r="N57">
        <f>0.9155*Table2[[#This Row],[J2,3]]*Table2[[#This Row],[weight]]</f>
        <v>9.0077847036182214E-5</v>
      </c>
      <c r="O57">
        <f>0.9155*Table2[[#This Row],[J34]]*Table2[[#This Row],[weight]]</f>
        <v>2.8948986913162413E-4</v>
      </c>
      <c r="P57">
        <f>0.9155*Table2[[#This Row],[J45]]*Table2[[#This Row],[weight]]</f>
        <v>3.6411965716364689E-4</v>
      </c>
      <c r="Q57">
        <f>0.9155*Table2[[#This Row],[J56]]*Table2[[#This Row],[weight]]</f>
        <v>2.8777000570372565E-4</v>
      </c>
      <c r="R57">
        <f>0.9155*Table2[[#This Row],[J67]]*Table2[[#This Row],[weight]]</f>
        <v>5.478993491733688E-5</v>
      </c>
      <c r="S57">
        <f>0.9155*Table2[[#This Row],[J67'']]*Table2[[#This Row],[weight]]</f>
        <v>3.472281413539298E-4</v>
      </c>
      <c r="T57">
        <f>0.9155*Table2[[#This Row],[J77'']]*Table2[[#This Row],[weight]]</f>
        <v>-4.1795752482625428E-4</v>
      </c>
      <c r="V57" s="5">
        <v>6.45</v>
      </c>
    </row>
    <row r="58" spans="1:30" x14ac:dyDescent="0.25">
      <c r="A58" t="s">
        <v>108</v>
      </c>
      <c r="B58">
        <v>8.9760000000000009</v>
      </c>
      <c r="C58">
        <v>7.8949999999999996</v>
      </c>
      <c r="D58">
        <v>2.1339999999999999</v>
      </c>
      <c r="E58">
        <v>4.5999999999999996</v>
      </c>
      <c r="F58">
        <v>3.6429999999999998</v>
      </c>
      <c r="G58">
        <v>1.893</v>
      </c>
      <c r="H58">
        <v>-12.87</v>
      </c>
      <c r="I58">
        <v>11.224</v>
      </c>
      <c r="J58" s="9">
        <f>chloroform!J63</f>
        <v>2.3827472586826856E-4</v>
      </c>
      <c r="K58" t="str">
        <f>chloroform!F63</f>
        <v>12C5</v>
      </c>
      <c r="M58">
        <f>0.9155*Table2[[#This Row],[J1,2]]*Table2[[#This Row],[weight]]</f>
        <v>1.9580292315148217E-3</v>
      </c>
      <c r="N58">
        <f>0.9155*Table2[[#This Row],[J2,3]]*Table2[[#This Row],[weight]]</f>
        <v>1.7222193385482967E-3</v>
      </c>
      <c r="O58">
        <f>0.9155*Table2[[#This Row],[J34]]*Table2[[#This Row],[weight]]</f>
        <v>4.6551185161014129E-4</v>
      </c>
      <c r="P58">
        <f>0.9155*Table2[[#This Row],[J45]]*Table2[[#This Row],[weight]]</f>
        <v>1.0034463530490393E-3</v>
      </c>
      <c r="Q58">
        <f>0.9155*Table2[[#This Row],[J56]]*Table2[[#This Row],[weight]]</f>
        <v>7.9468588351253261E-4</v>
      </c>
      <c r="R58">
        <f>0.9155*Table2[[#This Row],[J67]]*Table2[[#This Row],[weight]]</f>
        <v>4.1293998833083294E-4</v>
      </c>
      <c r="S58">
        <f>0.9155*Table2[[#This Row],[J67'']]*Table2[[#This Row],[weight]]</f>
        <v>2.4484091014396561E-3</v>
      </c>
      <c r="T58">
        <f>0.9155*Table2[[#This Row],[J77'']]*Table2[[#This Row],[weight]]</f>
        <v>-2.807468383421986E-3</v>
      </c>
      <c r="V58" s="5">
        <v>6.27</v>
      </c>
    </row>
    <row r="59" spans="1:30" x14ac:dyDescent="0.25">
      <c r="A59" t="s">
        <v>64</v>
      </c>
      <c r="B59">
        <v>9.093</v>
      </c>
      <c r="C59">
        <v>8.0120000000000005</v>
      </c>
      <c r="D59">
        <v>2.827</v>
      </c>
      <c r="E59">
        <v>4.9349999999999996</v>
      </c>
      <c r="F59">
        <v>3.2650000000000001</v>
      </c>
      <c r="G59">
        <v>1.4370000000000001</v>
      </c>
      <c r="H59">
        <v>-13.628</v>
      </c>
      <c r="I59">
        <v>10.891999999999999</v>
      </c>
      <c r="J59" s="9">
        <f>chloroform!J64</f>
        <v>1.3545607204774369E-3</v>
      </c>
      <c r="K59" t="str">
        <f>chloroform!F64</f>
        <v>12C5</v>
      </c>
      <c r="M59">
        <f>0.9155*Table2[[#This Row],[J1,2]]*Table2[[#This Row],[weight]]</f>
        <v>1.1276232387956371E-2</v>
      </c>
      <c r="N59">
        <f>0.9155*Table2[[#This Row],[J2,3]]*Table2[[#This Row],[weight]]</f>
        <v>9.9356839208519145E-3</v>
      </c>
      <c r="O59">
        <f>0.9155*Table2[[#This Row],[J34]]*Table2[[#This Row],[weight]]</f>
        <v>3.5057636600409831E-3</v>
      </c>
      <c r="P59">
        <f>0.9155*Table2[[#This Row],[J45]]*Table2[[#This Row],[weight]]</f>
        <v>6.1198951759116552E-3</v>
      </c>
      <c r="Q59">
        <f>0.9155*Table2[[#This Row],[J56]]*Table2[[#This Row],[weight]]</f>
        <v>4.0489276087845106E-3</v>
      </c>
      <c r="R59">
        <f>0.9155*Table2[[#This Row],[J67]]*Table2[[#This Row],[weight]]</f>
        <v>1.7820241880010233E-3</v>
      </c>
      <c r="S59">
        <f>0.9155*Table2[[#This Row],[J67'']]*Table2[[#This Row],[weight]]</f>
        <v>1.3507172898891541E-2</v>
      </c>
      <c r="T59">
        <f>0.9155*Table2[[#This Row],[J77'']]*Table2[[#This Row],[weight]]</f>
        <v>-1.690008742802919E-2</v>
      </c>
      <c r="V59" s="5">
        <v>4.37</v>
      </c>
    </row>
    <row r="60" spans="1:30" x14ac:dyDescent="0.25">
      <c r="A60" t="s">
        <v>109</v>
      </c>
      <c r="B60">
        <v>9.7249999999999996</v>
      </c>
      <c r="C60">
        <v>7.1920000000000002</v>
      </c>
      <c r="D60">
        <v>2.306</v>
      </c>
      <c r="E60">
        <v>6.1420000000000003</v>
      </c>
      <c r="F60">
        <v>3.9159999999999999</v>
      </c>
      <c r="G60">
        <v>0.90700000000000003</v>
      </c>
      <c r="H60">
        <v>-14.128</v>
      </c>
      <c r="I60">
        <v>11.035</v>
      </c>
      <c r="J60" s="9">
        <f>chloroform!J65</f>
        <v>7.6320176629363033E-5</v>
      </c>
      <c r="K60" t="str">
        <f>chloroform!F65</f>
        <v>12C5</v>
      </c>
      <c r="M60">
        <f>0.9155*Table2[[#This Row],[J1,2]]*Table2[[#This Row],[weight]]</f>
        <v>6.7949665857316847E-4</v>
      </c>
      <c r="N60">
        <f>0.9155*Table2[[#This Row],[J2,3]]*Table2[[#This Row],[weight]]</f>
        <v>5.0251310729647596E-4</v>
      </c>
      <c r="O60">
        <f>0.9155*Table2[[#This Row],[J34]]*Table2[[#This Row],[weight]]</f>
        <v>1.6112280664984339E-4</v>
      </c>
      <c r="P60">
        <f>0.9155*Table2[[#This Row],[J45]]*Table2[[#This Row],[weight]]</f>
        <v>4.2914842950708497E-4</v>
      </c>
      <c r="Q60">
        <f>0.9155*Table2[[#This Row],[J56]]*Table2[[#This Row],[weight]]</f>
        <v>2.7361531259357613E-4</v>
      </c>
      <c r="R60">
        <f>0.9155*Table2[[#This Row],[J67]]*Table2[[#This Row],[weight]]</f>
        <v>6.337310738569294E-5</v>
      </c>
      <c r="S60">
        <f>0.9155*Table2[[#This Row],[J67'']]*Table2[[#This Row],[weight]]</f>
        <v>7.7102782800564677E-4</v>
      </c>
      <c r="T60">
        <f>0.9155*Table2[[#This Row],[J77'']]*Table2[[#This Row],[weight]]</f>
        <v>-9.8713920743668127E-4</v>
      </c>
      <c r="V60" s="5">
        <v>9.73</v>
      </c>
    </row>
    <row r="61" spans="1:30" x14ac:dyDescent="0.25">
      <c r="A61" t="s">
        <v>110</v>
      </c>
      <c r="B61">
        <v>9.9260000000000002</v>
      </c>
      <c r="C61">
        <v>5.8330000000000002</v>
      </c>
      <c r="D61">
        <v>0.61599999999999999</v>
      </c>
      <c r="E61">
        <v>4.4269999999999996</v>
      </c>
      <c r="F61">
        <v>4.6479999999999997</v>
      </c>
      <c r="G61">
        <v>5.8810000000000002</v>
      </c>
      <c r="H61">
        <v>-14.12</v>
      </c>
      <c r="I61">
        <v>0.35099999999999998</v>
      </c>
      <c r="J61" s="9">
        <f>chloroform!J66</f>
        <v>0</v>
      </c>
      <c r="K61" t="str">
        <f>chloroform!F66</f>
        <v>12C5</v>
      </c>
      <c r="M61">
        <f>0.9155*Table2[[#This Row],[J1,2]]*Table2[[#This Row],[weight]]</f>
        <v>0</v>
      </c>
      <c r="N61">
        <f>0.9155*Table2[[#This Row],[J2,3]]*Table2[[#This Row],[weight]]</f>
        <v>0</v>
      </c>
      <c r="O61">
        <f>0.9155*Table2[[#This Row],[J34]]*Table2[[#This Row],[weight]]</f>
        <v>0</v>
      </c>
      <c r="P61">
        <f>0.9155*Table2[[#This Row],[J45]]*Table2[[#This Row],[weight]]</f>
        <v>0</v>
      </c>
      <c r="Q61">
        <f>0.9155*Table2[[#This Row],[J56]]*Table2[[#This Row],[weight]]</f>
        <v>0</v>
      </c>
      <c r="R61">
        <f>0.9155*Table2[[#This Row],[J67]]*Table2[[#This Row],[weight]]</f>
        <v>0</v>
      </c>
      <c r="S61">
        <f>0.9155*Table2[[#This Row],[J67'']]*Table2[[#This Row],[weight]]</f>
        <v>0</v>
      </c>
      <c r="T61">
        <f>0.9155*Table2[[#This Row],[J77'']]*Table2[[#This Row],[weight]]</f>
        <v>0</v>
      </c>
      <c r="V61">
        <v>2.2799999999999998</v>
      </c>
    </row>
    <row r="62" spans="1:30" x14ac:dyDescent="0.25">
      <c r="A62" t="s">
        <v>65</v>
      </c>
      <c r="B62">
        <v>9.1530000000000005</v>
      </c>
      <c r="C62">
        <v>7.7469999999999999</v>
      </c>
      <c r="D62">
        <v>2.589</v>
      </c>
      <c r="E62">
        <v>4.9530000000000003</v>
      </c>
      <c r="F62">
        <v>3.5190000000000001</v>
      </c>
      <c r="G62">
        <v>1.2230000000000001</v>
      </c>
      <c r="H62">
        <v>-14.904999999999999</v>
      </c>
      <c r="I62">
        <v>11.329000000000001</v>
      </c>
      <c r="J62" s="9">
        <f>chloroform!J67</f>
        <v>1.1017794293864231E-3</v>
      </c>
      <c r="K62" t="str">
        <f>chloroform!F67</f>
        <v>12C5</v>
      </c>
      <c r="M62">
        <f>0.9155*Table2[[#This Row],[J1,2]]*Table2[[#This Row],[weight]]</f>
        <v>9.2324395057727347E-3</v>
      </c>
      <c r="N62">
        <f>0.9155*Table2[[#This Row],[J2,3]]*Table2[[#This Row],[weight]]</f>
        <v>7.8142367367225359E-3</v>
      </c>
      <c r="O62">
        <f>0.9155*Table2[[#This Row],[J34]]*Table2[[#This Row],[weight]]</f>
        <v>2.6114701060248667E-3</v>
      </c>
      <c r="P62">
        <f>0.9155*Table2[[#This Row],[J45]]*Table2[[#This Row],[weight]]</f>
        <v>4.995987421838999E-3</v>
      </c>
      <c r="Q62">
        <f>0.9155*Table2[[#This Row],[J56]]*Table2[[#This Row],[weight]]</f>
        <v>3.5495416388959086E-3</v>
      </c>
      <c r="R62">
        <f>0.9155*Table2[[#This Row],[J67]]*Table2[[#This Row],[weight]]</f>
        <v>1.2336144996787997E-3</v>
      </c>
      <c r="S62">
        <f>0.9155*Table2[[#This Row],[J67'']]*Table2[[#This Row],[weight]]</f>
        <v>1.1427325156877451E-2</v>
      </c>
      <c r="T62">
        <f>0.9155*Table2[[#This Row],[J77'']]*Table2[[#This Row],[weight]]</f>
        <v>-1.5034361502626744E-2</v>
      </c>
      <c r="V62">
        <v>5.54</v>
      </c>
    </row>
    <row r="63" spans="1:30" x14ac:dyDescent="0.25">
      <c r="A63" t="s">
        <v>111</v>
      </c>
      <c r="B63">
        <v>6.8360000000000003</v>
      </c>
      <c r="C63">
        <v>3.69</v>
      </c>
      <c r="D63">
        <v>12.138999999999999</v>
      </c>
      <c r="E63">
        <v>10.254</v>
      </c>
      <c r="F63">
        <v>11.066000000000001</v>
      </c>
      <c r="G63">
        <v>2.4900000000000002</v>
      </c>
      <c r="H63">
        <v>-12.907999999999999</v>
      </c>
      <c r="I63">
        <v>1.468</v>
      </c>
      <c r="J63" s="9">
        <f>chloroform!J68</f>
        <v>1.9376116686611894E-4</v>
      </c>
      <c r="K63" t="str">
        <f>chloroform!F68</f>
        <v>5C12</v>
      </c>
      <c r="M63">
        <f>0.9155*Table2[[#This Row],[J1,2]]*Table2[[#This Row],[weight]]</f>
        <v>1.2126267487459104E-3</v>
      </c>
      <c r="N63">
        <f>0.9155*Table2[[#This Row],[J2,3]]*Table2[[#This Row],[weight]]</f>
        <v>6.5456300510128857E-4</v>
      </c>
      <c r="O63">
        <f>0.9155*Table2[[#This Row],[J34]]*Table2[[#This Row],[weight]]</f>
        <v>2.153317159600147E-3</v>
      </c>
      <c r="P63">
        <f>0.9155*Table2[[#This Row],[J45]]*Table2[[#This Row],[weight]]</f>
        <v>1.8189401231188656E-3</v>
      </c>
      <c r="Q63">
        <f>0.9155*Table2[[#This Row],[J56]]*Table2[[#This Row],[weight]]</f>
        <v>1.9629794619108023E-3</v>
      </c>
      <c r="R63">
        <f>0.9155*Table2[[#This Row],[J67]]*Table2[[#This Row],[weight]]</f>
        <v>4.4169698718217042E-4</v>
      </c>
      <c r="S63">
        <f>0.9155*Table2[[#This Row],[J67'']]*Table2[[#This Row],[weight]]</f>
        <v>2.6040609525438801E-4</v>
      </c>
      <c r="T63">
        <f>0.9155*Table2[[#This Row],[J77'']]*Table2[[#This Row],[weight]]</f>
        <v>-2.2897287994166488E-3</v>
      </c>
      <c r="V63">
        <v>-12.34</v>
      </c>
    </row>
    <row r="64" spans="1:30" x14ac:dyDescent="0.25">
      <c r="A64" t="s">
        <v>112</v>
      </c>
      <c r="B64">
        <v>7.8159999999999998</v>
      </c>
      <c r="C64">
        <v>8.5660000000000007</v>
      </c>
      <c r="D64">
        <v>6.1180000000000003</v>
      </c>
      <c r="E64">
        <v>1.002</v>
      </c>
      <c r="F64">
        <v>10.753</v>
      </c>
      <c r="G64">
        <v>2.1549999999999998</v>
      </c>
      <c r="H64">
        <v>-13.507999999999999</v>
      </c>
      <c r="I64">
        <v>1.6220000000000001</v>
      </c>
      <c r="J64" s="9">
        <f>chloroform!J69</f>
        <v>3.6927093872296872E-5</v>
      </c>
      <c r="K64" t="str">
        <f>chloroform!F69</f>
        <v>4H6</v>
      </c>
      <c r="M64">
        <f>0.9155*Table2[[#This Row],[J1,2]]*Table2[[#This Row],[weight]]</f>
        <v>2.6423359270372611E-4</v>
      </c>
      <c r="N64">
        <f>0.9155*Table2[[#This Row],[J2,3]]*Table2[[#This Row],[weight]]</f>
        <v>2.8958865853379202E-4</v>
      </c>
      <c r="O64">
        <f>0.9155*Table2[[#This Row],[J34]]*Table2[[#This Row],[weight]]</f>
        <v>2.0682972366445709E-4</v>
      </c>
      <c r="P64">
        <f>0.9155*Table2[[#This Row],[J45]]*Table2[[#This Row],[weight]]</f>
        <v>3.387436794896796E-5</v>
      </c>
      <c r="Q64">
        <f>0.9155*Table2[[#This Row],[J56]]*Table2[[#This Row],[weight]]</f>
        <v>3.6352403049426396E-4</v>
      </c>
      <c r="R64">
        <f>0.9155*Table2[[#This Row],[J67]]*Table2[[#This Row],[weight]]</f>
        <v>7.2853555818389173E-5</v>
      </c>
      <c r="S64">
        <f>0.9155*Table2[[#This Row],[J67'']]*Table2[[#This Row],[weight]]</f>
        <v>5.4834555701822391E-5</v>
      </c>
      <c r="T64">
        <f>0.9155*Table2[[#This Row],[J77'']]*Table2[[#This Row],[weight]]</f>
        <v>-4.5666163897670577E-4</v>
      </c>
    </row>
    <row r="65" spans="1:20" x14ac:dyDescent="0.25">
      <c r="A65" t="s">
        <v>66</v>
      </c>
      <c r="B65">
        <v>9.4280000000000008</v>
      </c>
      <c r="C65">
        <v>2.9249999999999998</v>
      </c>
      <c r="D65">
        <v>9.5860000000000003</v>
      </c>
      <c r="E65">
        <v>11.978999999999999</v>
      </c>
      <c r="F65">
        <v>9.7940000000000005</v>
      </c>
      <c r="G65">
        <v>10.282</v>
      </c>
      <c r="H65">
        <v>-11.757999999999999</v>
      </c>
      <c r="I65">
        <v>2.0059999999999998</v>
      </c>
      <c r="J65" s="9">
        <f>chloroform!J70</f>
        <v>0</v>
      </c>
      <c r="K65" t="str">
        <f>chloroform!F70</f>
        <v>5C12</v>
      </c>
      <c r="M65">
        <f>0.9155*Table2[[#This Row],[J1,2]]*Table2[[#This Row],[weight]]</f>
        <v>0</v>
      </c>
      <c r="N65">
        <f>0.9155*Table2[[#This Row],[J2,3]]*Table2[[#This Row],[weight]]</f>
        <v>0</v>
      </c>
      <c r="O65">
        <f>0.9155*Table2[[#This Row],[J34]]*Table2[[#This Row],[weight]]</f>
        <v>0</v>
      </c>
      <c r="P65">
        <f>0.9155*Table2[[#This Row],[J45]]*Table2[[#This Row],[weight]]</f>
        <v>0</v>
      </c>
      <c r="Q65">
        <f>0.9155*Table2[[#This Row],[J56]]*Table2[[#This Row],[weight]]</f>
        <v>0</v>
      </c>
      <c r="R65">
        <f>0.9155*Table2[[#This Row],[J67]]*Table2[[#This Row],[weight]]</f>
        <v>0</v>
      </c>
      <c r="S65">
        <f>0.9155*Table2[[#This Row],[J67'']]*Table2[[#This Row],[weight]]</f>
        <v>0</v>
      </c>
      <c r="T65">
        <f>0.9155*Table2[[#This Row],[J77'']]*Table2[[#This Row],[weight]]</f>
        <v>0</v>
      </c>
    </row>
    <row r="66" spans="1:20" x14ac:dyDescent="0.25">
      <c r="A66" t="s">
        <v>113</v>
      </c>
      <c r="B66">
        <v>6.9189999999999996</v>
      </c>
      <c r="C66">
        <v>3.4630000000000001</v>
      </c>
      <c r="D66">
        <v>10.888</v>
      </c>
      <c r="E66">
        <v>10.045</v>
      </c>
      <c r="F66">
        <v>10.724</v>
      </c>
      <c r="G66">
        <v>11.218</v>
      </c>
      <c r="H66">
        <v>-13.159000000000001</v>
      </c>
      <c r="I66">
        <v>2.1509999999999998</v>
      </c>
      <c r="J66" s="9">
        <f>chloroform!J71</f>
        <v>7.1524787727351489E-5</v>
      </c>
      <c r="K66" t="str">
        <f>chloroform!F71</f>
        <v>5C12</v>
      </c>
      <c r="M66">
        <f>0.9155*Table2[[#This Row],[J1,2]]*Table2[[#This Row],[weight]]</f>
        <v>4.5306264575441636E-4</v>
      </c>
      <c r="N66">
        <f>0.9155*Table2[[#This Row],[J2,3]]*Table2[[#This Row],[weight]]</f>
        <v>2.2676050617828359E-4</v>
      </c>
      <c r="O66">
        <f>0.9155*Table2[[#This Row],[J34]]*Table2[[#This Row],[weight]]</f>
        <v>7.1295650917388149E-4</v>
      </c>
      <c r="P66">
        <f>0.9155*Table2[[#This Row],[J45]]*Table2[[#This Row],[weight]]</f>
        <v>6.5775607408630047E-4</v>
      </c>
      <c r="Q66">
        <f>0.9155*Table2[[#This Row],[J56]]*Table2[[#This Row],[weight]]</f>
        <v>7.0221763449492144E-4</v>
      </c>
      <c r="R66">
        <f>0.9155*Table2[[#This Row],[J67]]*Table2[[#This Row],[weight]]</f>
        <v>7.3456522041813021E-4</v>
      </c>
      <c r="S66">
        <f>0.9155*Table2[[#This Row],[J67'']]*Table2[[#This Row],[weight]]</f>
        <v>1.4084950874660349E-4</v>
      </c>
      <c r="T66">
        <f>0.9155*Table2[[#This Row],[J77'']]*Table2[[#This Row],[weight]]</f>
        <v>-8.6166373110021187E-4</v>
      </c>
    </row>
    <row r="67" spans="1:20" x14ac:dyDescent="0.25">
      <c r="A67" t="s">
        <v>114</v>
      </c>
      <c r="B67">
        <v>7.5730000000000004</v>
      </c>
      <c r="C67">
        <v>8.327</v>
      </c>
      <c r="D67">
        <v>6.367</v>
      </c>
      <c r="E67">
        <v>1.2649999999999999</v>
      </c>
      <c r="F67">
        <v>9.9410000000000007</v>
      </c>
      <c r="G67">
        <v>11.356</v>
      </c>
      <c r="H67">
        <v>-12.144</v>
      </c>
      <c r="I67">
        <v>2.9430000000000001</v>
      </c>
      <c r="J67" s="9">
        <f>chloroform!J72</f>
        <v>0</v>
      </c>
      <c r="K67" t="str">
        <f>chloroform!F72</f>
        <v>4H6</v>
      </c>
      <c r="M67">
        <f>0.9155*Table2[[#This Row],[J1,2]]*Table2[[#This Row],[weight]]</f>
        <v>0</v>
      </c>
      <c r="N67">
        <f>0.9155*Table2[[#This Row],[J2,3]]*Table2[[#This Row],[weight]]</f>
        <v>0</v>
      </c>
      <c r="O67">
        <f>0.9155*Table2[[#This Row],[J34]]*Table2[[#This Row],[weight]]</f>
        <v>0</v>
      </c>
      <c r="P67">
        <f>0.9155*Table2[[#This Row],[J45]]*Table2[[#This Row],[weight]]</f>
        <v>0</v>
      </c>
      <c r="Q67">
        <f>0.9155*Table2[[#This Row],[J56]]*Table2[[#This Row],[weight]]</f>
        <v>0</v>
      </c>
      <c r="R67">
        <f>0.9155*Table2[[#This Row],[J67]]*Table2[[#This Row],[weight]]</f>
        <v>0</v>
      </c>
      <c r="S67">
        <f>0.9155*Table2[[#This Row],[J67'']]*Table2[[#This Row],[weight]]</f>
        <v>0</v>
      </c>
      <c r="T67">
        <f>0.9155*Table2[[#This Row],[J77'']]*Table2[[#This Row],[weight]]</f>
        <v>0</v>
      </c>
    </row>
    <row r="68" spans="1:20" x14ac:dyDescent="0.25">
      <c r="A68" t="s">
        <v>115</v>
      </c>
      <c r="B68">
        <v>7.4660000000000002</v>
      </c>
      <c r="C68">
        <v>5.6509999999999998</v>
      </c>
      <c r="D68">
        <v>9.8309999999999995</v>
      </c>
      <c r="E68">
        <v>12.021000000000001</v>
      </c>
      <c r="F68">
        <v>6.8220000000000001</v>
      </c>
      <c r="G68">
        <v>13.111000000000001</v>
      </c>
      <c r="H68">
        <v>-11.866</v>
      </c>
      <c r="I68">
        <v>5.2990000000000004</v>
      </c>
      <c r="J68" s="4">
        <f>chloroform!J73</f>
        <v>0</v>
      </c>
      <c r="K68" t="str">
        <f>chloroform!F73</f>
        <v>56TH</v>
      </c>
      <c r="M68">
        <f>0.9155*Table2[[#This Row],[J1,2]]*Table2[[#This Row],[weight]]</f>
        <v>0</v>
      </c>
      <c r="N68">
        <f>0.9155*Table2[[#This Row],[J2,3]]*Table2[[#This Row],[weight]]</f>
        <v>0</v>
      </c>
      <c r="O68">
        <f>0.9155*Table2[[#This Row],[J34]]*Table2[[#This Row],[weight]]</f>
        <v>0</v>
      </c>
      <c r="P68">
        <f>0.9155*Table2[[#This Row],[J45]]*Table2[[#This Row],[weight]]</f>
        <v>0</v>
      </c>
      <c r="Q68">
        <f>0.9155*Table2[[#This Row],[J56]]*Table2[[#This Row],[weight]]</f>
        <v>0</v>
      </c>
      <c r="R68">
        <f>0.9155*Table2[[#This Row],[J67]]*Table2[[#This Row],[weight]]</f>
        <v>0</v>
      </c>
      <c r="S68">
        <f>0.9155*Table2[[#This Row],[J67'']]*Table2[[#This Row],[weight]]</f>
        <v>0</v>
      </c>
      <c r="T68">
        <f>0.9155*Table2[[#This Row],[J77'']]*Table2[[#This Row],[weight]]</f>
        <v>0</v>
      </c>
    </row>
    <row r="69" spans="1:20" x14ac:dyDescent="0.25">
      <c r="A69" t="s">
        <v>116</v>
      </c>
      <c r="B69">
        <v>7.6929999999999996</v>
      </c>
      <c r="C69">
        <v>8.3089999999999993</v>
      </c>
      <c r="D69">
        <v>6.141</v>
      </c>
      <c r="E69">
        <v>1.3120000000000001</v>
      </c>
      <c r="F69">
        <v>11.090999999999999</v>
      </c>
      <c r="G69">
        <v>1.319</v>
      </c>
      <c r="H69">
        <v>-13.228999999999999</v>
      </c>
      <c r="I69">
        <v>11.021000000000001</v>
      </c>
      <c r="J69" s="4">
        <f>chloroform!J74</f>
        <v>3.395064000996668E-5</v>
      </c>
      <c r="K69" t="str">
        <f>chloroform!F74</f>
        <v>4H6</v>
      </c>
      <c r="M69">
        <f>0.9155*Table2[[#This Row],[J1,2]]*Table2[[#This Row],[weight]]</f>
        <v>2.3911237147775474E-4</v>
      </c>
      <c r="N69">
        <f>0.9155*Table2[[#This Row],[J2,3]]*Table2[[#This Row],[weight]]</f>
        <v>2.5825876701009539E-4</v>
      </c>
      <c r="O69">
        <f>0.9155*Table2[[#This Row],[J34]]*Table2[[#This Row],[weight]]</f>
        <v>1.9087340091575352E-4</v>
      </c>
      <c r="P69">
        <f>0.9155*Table2[[#This Row],[J45]]*Table2[[#This Row],[weight]]</f>
        <v>4.077933593901134E-5</v>
      </c>
      <c r="Q69">
        <f>0.9155*Table2[[#This Row],[J56]]*Table2[[#This Row],[weight]]</f>
        <v>3.4472836501491975E-4</v>
      </c>
      <c r="R69">
        <f>0.9155*Table2[[#This Row],[J67]]*Table2[[#This Row],[weight]]</f>
        <v>4.099690861551521E-5</v>
      </c>
      <c r="S69">
        <f>0.9155*Table2[[#This Row],[J67'']]*Table2[[#This Row],[weight]]</f>
        <v>3.425526382498811E-4</v>
      </c>
      <c r="T69">
        <f>0.9155*Table2[[#This Row],[J77'']]*Table2[[#This Row],[weight]]</f>
        <v>-4.1118127678138795E-4</v>
      </c>
    </row>
    <row r="70" spans="1:20" x14ac:dyDescent="0.25">
      <c r="A70" t="s">
        <v>124</v>
      </c>
      <c r="B70">
        <v>7.6760000000000002</v>
      </c>
      <c r="C70">
        <v>8.3049999999999997</v>
      </c>
      <c r="D70">
        <v>6.2050000000000001</v>
      </c>
      <c r="E70">
        <v>1.274</v>
      </c>
      <c r="F70">
        <v>10.272</v>
      </c>
      <c r="G70">
        <v>11.433999999999999</v>
      </c>
      <c r="H70">
        <v>-11.637</v>
      </c>
      <c r="I70">
        <v>4.8479999999999999</v>
      </c>
      <c r="J70" s="4">
        <f>chloroform!J75</f>
        <v>0</v>
      </c>
      <c r="K70" t="str">
        <f>chloroform!F75</f>
        <v>4H6</v>
      </c>
      <c r="M70">
        <f>0.9155*Table2[[#This Row],[J1,2]]*Table2[[#This Row],[weight]]</f>
        <v>0</v>
      </c>
      <c r="N70">
        <f>0.9155*Table2[[#This Row],[J2,3]]*Table2[[#This Row],[weight]]</f>
        <v>0</v>
      </c>
      <c r="O70">
        <f>0.9155*Table2[[#This Row],[J34]]*Table2[[#This Row],[weight]]</f>
        <v>0</v>
      </c>
      <c r="P70">
        <f>0.9155*Table2[[#This Row],[J45]]*Table2[[#This Row],[weight]]</f>
        <v>0</v>
      </c>
      <c r="Q70">
        <f>0.9155*Table2[[#This Row],[J56]]*Table2[[#This Row],[weight]]</f>
        <v>0</v>
      </c>
      <c r="R70">
        <f>0.9155*Table2[[#This Row],[J67]]*Table2[[#This Row],[weight]]</f>
        <v>0</v>
      </c>
      <c r="S70">
        <f>0.9155*Table2[[#This Row],[J67'']]*Table2[[#This Row],[weight]]</f>
        <v>0</v>
      </c>
      <c r="T70">
        <f>0.9155*Table2[[#This Row],[J77'']]*Table2[[#This Row],[weight]]</f>
        <v>0</v>
      </c>
    </row>
    <row r="71" spans="1:20" x14ac:dyDescent="0.25">
      <c r="J71" s="4"/>
      <c r="M71">
        <f>SUM(M2:M70)</f>
        <v>7.3467959849583675</v>
      </c>
      <c r="N71">
        <f t="shared" ref="N71:T71" si="1">SUM(N2:N70)</f>
        <v>7.4968853907004833</v>
      </c>
      <c r="O71">
        <f t="shared" si="1"/>
        <v>5.4047840528143887</v>
      </c>
      <c r="P71">
        <f t="shared" si="1"/>
        <v>2.1330128705886944</v>
      </c>
      <c r="Q71">
        <f t="shared" si="1"/>
        <v>10.465790882312875</v>
      </c>
      <c r="R71">
        <f t="shared" si="1"/>
        <v>1.6569088790135951</v>
      </c>
      <c r="S71">
        <f t="shared" si="1"/>
        <v>5.3724463181285635</v>
      </c>
      <c r="T71">
        <f t="shared" si="1"/>
        <v>-12.316897845401712</v>
      </c>
    </row>
    <row r="72" spans="1:20" x14ac:dyDescent="0.25">
      <c r="M72">
        <v>6.72</v>
      </c>
      <c r="N72" s="5">
        <v>6.45</v>
      </c>
      <c r="O72" s="5">
        <v>6.27</v>
      </c>
      <c r="P72" s="5">
        <v>4.37</v>
      </c>
      <c r="Q72" s="5">
        <v>9.73</v>
      </c>
      <c r="R72">
        <v>2.2799999999999998</v>
      </c>
      <c r="S72">
        <v>5.54</v>
      </c>
      <c r="T72">
        <v>-12.34</v>
      </c>
    </row>
    <row r="73" spans="1:20" x14ac:dyDescent="0.25">
      <c r="R73" t="s">
        <v>87</v>
      </c>
      <c r="S73">
        <f>SQRT(SUMXMY2(M71:S71,M72:S72)/7)</f>
        <v>1.0822765215899366</v>
      </c>
    </row>
    <row r="74" spans="1:20" x14ac:dyDescent="0.25">
      <c r="S74">
        <f>SQRT(SUMXMY2(M71:Q71,M72:Q72)/5)</f>
        <v>1.2476329991574382</v>
      </c>
    </row>
    <row r="75" spans="1:20" x14ac:dyDescent="0.25">
      <c r="M75">
        <v>7.3467959849583675</v>
      </c>
      <c r="N75">
        <v>7.4968853907004833</v>
      </c>
      <c r="O75">
        <v>5.4047840528143887</v>
      </c>
      <c r="P75">
        <v>2.1330128705886944</v>
      </c>
      <c r="Q75">
        <v>10.465790882312875</v>
      </c>
      <c r="R75">
        <v>1.6569088790135951</v>
      </c>
      <c r="S75">
        <v>5.3724463181285635</v>
      </c>
    </row>
    <row r="76" spans="1:20" x14ac:dyDescent="0.25">
      <c r="H76">
        <v>6.72</v>
      </c>
      <c r="M76">
        <v>6.72</v>
      </c>
      <c r="N76">
        <v>6.45</v>
      </c>
      <c r="O76">
        <v>6.27</v>
      </c>
      <c r="P76">
        <v>4.37</v>
      </c>
      <c r="Q76">
        <v>9.73</v>
      </c>
      <c r="R76">
        <v>2.2799999999999998</v>
      </c>
      <c r="S76">
        <v>5.54</v>
      </c>
    </row>
    <row r="77" spans="1:20" x14ac:dyDescent="0.25">
      <c r="H77" s="5">
        <v>6.45</v>
      </c>
    </row>
    <row r="78" spans="1:20" x14ac:dyDescent="0.25">
      <c r="H78" s="5">
        <v>6.27</v>
      </c>
    </row>
    <row r="79" spans="1:20" x14ac:dyDescent="0.25">
      <c r="H79" s="5">
        <v>4.37</v>
      </c>
    </row>
    <row r="80" spans="1:20" x14ac:dyDescent="0.25">
      <c r="H80" s="5">
        <v>9.73</v>
      </c>
    </row>
    <row r="81" spans="8:8" x14ac:dyDescent="0.25">
      <c r="H81">
        <v>2.2799999999999998</v>
      </c>
    </row>
    <row r="82" spans="8:8" x14ac:dyDescent="0.25">
      <c r="H82">
        <v>5.54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9E84E-9378-4B88-B36C-0D514983F28A}">
  <dimension ref="A1:T70"/>
  <sheetViews>
    <sheetView zoomScaleNormal="100" workbookViewId="0">
      <selection activeCell="H30" sqref="H30"/>
    </sheetView>
  </sheetViews>
  <sheetFormatPr defaultRowHeight="15" x14ac:dyDescent="0.25"/>
  <cols>
    <col min="11" max="11" width="10.5703125" customWidth="1"/>
    <col min="20" max="20" width="14" customWidth="1"/>
  </cols>
  <sheetData>
    <row r="1" spans="1:20" x14ac:dyDescent="0.25">
      <c r="A1" t="s">
        <v>77</v>
      </c>
      <c r="B1">
        <f>SUMIF(Table1[Classification],E1,Table1[weight])</f>
        <v>7.4052338742941315E-2</v>
      </c>
      <c r="D1" t="s">
        <v>11</v>
      </c>
      <c r="E1" t="s">
        <v>19</v>
      </c>
      <c r="G1">
        <f>COUNTIF(Table3[classification],E1)</f>
        <v>11</v>
      </c>
      <c r="K1" t="s">
        <v>76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74</v>
      </c>
      <c r="S1" t="s">
        <v>15</v>
      </c>
      <c r="T1" t="s">
        <v>75</v>
      </c>
    </row>
    <row r="2" spans="1:20" x14ac:dyDescent="0.25">
      <c r="K2">
        <f>chloroform!E7</f>
        <v>2</v>
      </c>
      <c r="L2">
        <f>Table3[[#This Row],[weight]]*(0.9155*Table2[[#This Row],[J1,2]]-A$9)^2</f>
        <v>1.8637989252355772E-2</v>
      </c>
      <c r="M2">
        <f>Table3[[#This Row],[weight]]*(0.9155*Table2[[#This Row],[J2,3]]-B$9)^2</f>
        <v>0.49196236241345392</v>
      </c>
      <c r="N2">
        <f>Table3[[#This Row],[weight]]*(0.9155*Table2[[#This Row],[J34]]-C$9)^2</f>
        <v>0.13646892634052413</v>
      </c>
      <c r="O2">
        <f>Table3[[#This Row],[weight]]*(0.9155*Table2[[#This Row],[J45]]-D$9)^2</f>
        <v>1.7405159054063328</v>
      </c>
      <c r="P2">
        <f>Table3[[#This Row],[weight]]*(0.9155*Table2[[#This Row],[J56]]-E$9)^2</f>
        <v>5.2910186187181373E-2</v>
      </c>
      <c r="Q2">
        <f>Table3[[#This Row],[weight]]*(0.9155*Table2[[#This Row],[J67]]-F$9)^2</f>
        <v>3.628084171541663E-2</v>
      </c>
      <c r="R2">
        <f>Table3[[#This Row],[weight]]*(0.9155*Table2[[#This Row],[J67'']]-G$9)^2</f>
        <v>0.34058518561189638</v>
      </c>
      <c r="S2">
        <f>chloroform!J7</f>
        <v>1.9057249081052711E-2</v>
      </c>
      <c r="T2" t="str">
        <f>chloroform!F7</f>
        <v>4H6</v>
      </c>
    </row>
    <row r="3" spans="1:20" x14ac:dyDescent="0.25">
      <c r="K3">
        <f>chloroform!E8</f>
        <v>3</v>
      </c>
      <c r="L3">
        <f>Table3[[#This Row],[weight]]*(0.9155*Table2[[#This Row],[J1,2]]-A$9)^2</f>
        <v>1.6798572152015023E-2</v>
      </c>
      <c r="M3">
        <f>Table3[[#This Row],[weight]]*(0.9155*Table2[[#This Row],[J2,3]]-B$9)^2</f>
        <v>0.51205084948933932</v>
      </c>
      <c r="N3">
        <f>Table3[[#This Row],[weight]]*(0.9155*Table2[[#This Row],[J34]]-C$9)^2</f>
        <v>0.23221734200468291</v>
      </c>
      <c r="O3">
        <f>Table3[[#This Row],[weight]]*(0.9155*Table2[[#This Row],[J45]]-D$9)^2</f>
        <v>2.2541826863702648</v>
      </c>
      <c r="P3">
        <f>Table3[[#This Row],[weight]]*(0.9155*Table2[[#This Row],[J56]]-E$9)^2</f>
        <v>3.2369374364436918E-2</v>
      </c>
      <c r="Q3">
        <f>Table3[[#This Row],[weight]]*(0.9155*Table2[[#This Row],[J67]]-F$9)^2</f>
        <v>5.6136166488383446E-2</v>
      </c>
      <c r="R3">
        <f>Table3[[#This Row],[weight]]*(0.9155*Table2[[#This Row],[J67'']]-G$9)^2</f>
        <v>0.38929887872817237</v>
      </c>
      <c r="S3">
        <f>chloroform!J8</f>
        <v>2.3063301668355084E-2</v>
      </c>
      <c r="T3" t="str">
        <f>chloroform!F8</f>
        <v>4H6</v>
      </c>
    </row>
    <row r="4" spans="1:20" x14ac:dyDescent="0.25">
      <c r="A4" t="s">
        <v>67</v>
      </c>
      <c r="B4" t="s">
        <v>68</v>
      </c>
      <c r="C4" t="s">
        <v>69</v>
      </c>
      <c r="D4" t="s">
        <v>70</v>
      </c>
      <c r="E4" t="s">
        <v>71</v>
      </c>
      <c r="F4" t="s">
        <v>72</v>
      </c>
      <c r="G4" t="s">
        <v>74</v>
      </c>
      <c r="K4">
        <f>chloroform!E9</f>
        <v>4</v>
      </c>
      <c r="L4">
        <f>Table3[[#This Row],[weight]]*(0.9155*Table2[[#This Row],[J1,2]]-A$9)^2</f>
        <v>4.8316240051764756E-2</v>
      </c>
      <c r="M4">
        <f>Table3[[#This Row],[weight]]*(0.9155*Table2[[#This Row],[J2,3]]-B$9)^2</f>
        <v>2.0764370811774335</v>
      </c>
      <c r="N4">
        <f>Table3[[#This Row],[weight]]*(0.9155*Table2[[#This Row],[J34]]-C$9)^2</f>
        <v>0.57902880056737349</v>
      </c>
      <c r="O4">
        <f>Table3[[#This Row],[weight]]*(0.9155*Table2[[#This Row],[J45]]-D$9)^2</f>
        <v>7.1215901908046728</v>
      </c>
      <c r="P4">
        <f>Table3[[#This Row],[weight]]*(0.9155*Table2[[#This Row],[J56]]-E$9)^2</f>
        <v>0.12707159838620583</v>
      </c>
      <c r="Q4">
        <f>Table3[[#This Row],[weight]]*(0.9155*Table2[[#This Row],[J67]]-F$9)^2</f>
        <v>0.24396881163833614</v>
      </c>
      <c r="R4">
        <f>Table3[[#This Row],[weight]]*(0.9155*Table2[[#This Row],[J67'']]-G$9)^2</f>
        <v>0.35392201115337391</v>
      </c>
      <c r="S4">
        <f>chloroform!J9</f>
        <v>7.1611254903191077E-2</v>
      </c>
      <c r="T4" t="str">
        <f>chloroform!F9</f>
        <v>4H6</v>
      </c>
    </row>
    <row r="5" spans="1:20" x14ac:dyDescent="0.25">
      <c r="A5">
        <f>SUMIF(Table1[Classification],E1,Table2[J1,23])/$B$1</f>
        <v>8.0172323159493395</v>
      </c>
      <c r="B5">
        <f>SUMIF(Table1[Classification],E1,Table2[J2,34])/$B$1</f>
        <v>2.7805548125172099</v>
      </c>
      <c r="C5">
        <f>SUMIF(Table1[Classification],E1,Table2[J345])/$B$1</f>
        <v>8.619430147725442</v>
      </c>
      <c r="D5">
        <f>SUMIF(Table1[Classification],E1,Table2[J456])/$B$1</f>
        <v>10.399896184867449</v>
      </c>
      <c r="E5">
        <f>SUMIF(Table1[Classification],E1,Table2[J567])/$B$1</f>
        <v>9.4222883890254021</v>
      </c>
      <c r="F5">
        <f>SUMIF(Table1[Classification],E1,Table2[J678])/$B$1</f>
        <v>2.728307453658311</v>
      </c>
      <c r="G5">
        <f>SUMIF(Table1[Classification],E1,Table2[J67''9])/$B$1</f>
        <v>5.2140597217426139</v>
      </c>
      <c r="K5">
        <f>chloroform!E10</f>
        <v>6</v>
      </c>
      <c r="L5">
        <f>Table3[[#This Row],[weight]]*(0.9155*Table2[[#This Row],[J1,2]]-A$9)^2</f>
        <v>4.2963538790241361E-2</v>
      </c>
      <c r="M5">
        <f>Table3[[#This Row],[weight]]*(0.9155*Table2[[#This Row],[J2,3]]-B$9)^2</f>
        <v>2.4592841501639957</v>
      </c>
      <c r="N5">
        <f>Table3[[#This Row],[weight]]*(0.9155*Table2[[#This Row],[J34]]-C$9)^2</f>
        <v>1.1468122555507658</v>
      </c>
      <c r="O5">
        <f>Table3[[#This Row],[weight]]*(0.9155*Table2[[#This Row],[J45]]-D$9)^2</f>
        <v>9.7506640205718078</v>
      </c>
      <c r="P5">
        <f>Table3[[#This Row],[weight]]*(0.9155*Table2[[#This Row],[J56]]-E$9)^2</f>
        <v>0.18369424567204054</v>
      </c>
      <c r="Q5">
        <f>Table3[[#This Row],[weight]]*(0.9155*Table2[[#This Row],[J67]]-F$9)^2</f>
        <v>0.25536366347274492</v>
      </c>
      <c r="R5">
        <f>Table3[[#This Row],[weight]]*(0.9155*Table2[[#This Row],[J67'']]-G$9)^2</f>
        <v>0.6574479915628223</v>
      </c>
      <c r="S5">
        <f>chloroform!J10</f>
        <v>9.561004784446335E-2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3.9397691904350053E-5</v>
      </c>
      <c r="M6">
        <f>Table3[[#This Row],[weight]]*(0.9155*Table2[[#This Row],[J2,3]]-B$9)^2</f>
        <v>9.2416320946634975E-2</v>
      </c>
      <c r="N6">
        <f>Table3[[#This Row],[weight]]*(0.9155*Table2[[#This Row],[J34]]-C$9)^2</f>
        <v>8.8568983500392912E-2</v>
      </c>
      <c r="O6">
        <f>Table3[[#This Row],[weight]]*(0.9155*Table2[[#This Row],[J45]]-D$9)^2</f>
        <v>4.7945108795403951E-2</v>
      </c>
      <c r="P6">
        <f>Table3[[#This Row],[weight]]*(0.9155*Table2[[#This Row],[J56]]-E$9)^2</f>
        <v>2.5639933354297414E-3</v>
      </c>
      <c r="Q6">
        <f>Table3[[#This Row],[weight]]*(0.9155*Table2[[#This Row],[J67]]-F$9)^2</f>
        <v>3.3121023166784256E-3</v>
      </c>
      <c r="R6">
        <f>Table3[[#This Row],[weight]]*(0.9155*Table2[[#This Row],[J67'']]-G$9)^2</f>
        <v>2.3068116104543221E-2</v>
      </c>
      <c r="S6">
        <f>chloroform!J11</f>
        <v>2.4965322936553718E-3</v>
      </c>
      <c r="T6" t="str">
        <f>chloroform!F11</f>
        <v>45TH</v>
      </c>
    </row>
    <row r="7" spans="1:20" x14ac:dyDescent="0.25">
      <c r="A7" t="s">
        <v>92</v>
      </c>
      <c r="K7">
        <f>chloroform!E12</f>
        <v>8</v>
      </c>
      <c r="L7">
        <f>Table3[[#This Row],[weight]]*(0.9155*Table2[[#This Row],[J1,2]]-A$9)^2</f>
        <v>2.2660366704473172E-2</v>
      </c>
      <c r="M7">
        <f>Table3[[#This Row],[weight]]*(0.9155*Table2[[#This Row],[J2,3]]-B$9)^2</f>
        <v>1.6761452365701683</v>
      </c>
      <c r="N7">
        <f>Table3[[#This Row],[weight]]*(0.9155*Table2[[#This Row],[J34]]-C$9)^2</f>
        <v>0.68399553934796575</v>
      </c>
      <c r="O7">
        <f>Table3[[#This Row],[weight]]*(0.9155*Table2[[#This Row],[J45]]-D$9)^2</f>
        <v>5.4088323616663665</v>
      </c>
      <c r="P7">
        <f>Table3[[#This Row],[weight]]*(0.9155*Table2[[#This Row],[J56]]-E$9)^2</f>
        <v>9.4088550640442498E-2</v>
      </c>
      <c r="Q7">
        <f>Table3[[#This Row],[weight]]*(0.9155*Table2[[#This Row],[J67]]-F$9)^2</f>
        <v>0.1164776655910571</v>
      </c>
      <c r="R7">
        <f>Table3[[#This Row],[weight]]*(0.9155*Table2[[#This Row],[J67'']]-G$9)^2</f>
        <v>0.42524422624018604</v>
      </c>
      <c r="S7">
        <f>chloroform!J12</f>
        <v>5.4209287132338149E-2</v>
      </c>
      <c r="T7" t="str">
        <f>chloroform!F12</f>
        <v>4H6</v>
      </c>
    </row>
    <row r="8" spans="1:20" x14ac:dyDescent="0.25">
      <c r="A8" t="s">
        <v>67</v>
      </c>
      <c r="B8" t="s">
        <v>68</v>
      </c>
      <c r="C8" t="s">
        <v>69</v>
      </c>
      <c r="D8" t="s">
        <v>70</v>
      </c>
      <c r="E8" t="s">
        <v>71</v>
      </c>
      <c r="F8" t="s">
        <v>72</v>
      </c>
      <c r="G8" t="s">
        <v>74</v>
      </c>
      <c r="K8">
        <f>chloroform!E13</f>
        <v>9</v>
      </c>
      <c r="L8">
        <f>Table3[[#This Row],[weight]]*(0.9155*Table2[[#This Row],[J1,2]]-A$9)^2</f>
        <v>4.1531192628838788E-2</v>
      </c>
      <c r="M8">
        <f>Table3[[#This Row],[weight]]*(0.9155*Table2[[#This Row],[J2,3]]-B$9)^2</f>
        <v>1.2630860466769964</v>
      </c>
      <c r="N8">
        <f>Table3[[#This Row],[weight]]*(0.9155*Table2[[#This Row],[J34]]-C$9)^2</f>
        <v>0.34257964460854207</v>
      </c>
      <c r="O8">
        <f>Table3[[#This Row],[weight]]*(0.9155*Table2[[#This Row],[J45]]-D$9)^2</f>
        <v>4.3828372079513347</v>
      </c>
      <c r="P8">
        <f>Table3[[#This Row],[weight]]*(0.9155*Table2[[#This Row],[J56]]-E$9)^2</f>
        <v>8.4659892273376683E-2</v>
      </c>
      <c r="Q8">
        <f>Table3[[#This Row],[weight]]*(0.9155*Table2[[#This Row],[J67]]-F$9)^2</f>
        <v>5.8455669951081347E-3</v>
      </c>
      <c r="R8">
        <f>Table3[[#This Row],[weight]]*(0.9155*Table2[[#This Row],[J67'']]-G$9)^2</f>
        <v>0.79332843258442587</v>
      </c>
      <c r="S8">
        <f>chloroform!J13</f>
        <v>4.7513988929985589E-2</v>
      </c>
      <c r="T8" t="str">
        <f>chloroform!F13</f>
        <v>4H6</v>
      </c>
    </row>
    <row r="9" spans="1:20" x14ac:dyDescent="0.25">
      <c r="A9">
        <f>A5</f>
        <v>8.0172323159493395</v>
      </c>
      <c r="B9">
        <f t="shared" ref="B9:G9" si="0">B5</f>
        <v>2.7805548125172099</v>
      </c>
      <c r="C9">
        <f t="shared" si="0"/>
        <v>8.619430147725442</v>
      </c>
      <c r="D9">
        <f t="shared" si="0"/>
        <v>10.399896184867449</v>
      </c>
      <c r="E9">
        <f t="shared" si="0"/>
        <v>9.4222883890254021</v>
      </c>
      <c r="F9">
        <f t="shared" si="0"/>
        <v>2.728307453658311</v>
      </c>
      <c r="G9">
        <f t="shared" si="0"/>
        <v>5.2140597217426139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2.6103935868374859E-5</v>
      </c>
      <c r="M10">
        <f>Table3[[#This Row],[weight]]*(0.9155*Table2[[#This Row],[J2,3]]-B$9)^2</f>
        <v>0.40254211572700921</v>
      </c>
      <c r="N10">
        <f>Table3[[#This Row],[weight]]*(0.9155*Table2[[#This Row],[J34]]-C$9)^2</f>
        <v>0.56253321821011815</v>
      </c>
      <c r="O10">
        <f>Table3[[#This Row],[weight]]*(0.9155*Table2[[#This Row],[J45]]-D$9)^2</f>
        <v>0.27393269641084933</v>
      </c>
      <c r="P10">
        <f>Table3[[#This Row],[weight]]*(0.9155*Table2[[#This Row],[J56]]-E$9)^2</f>
        <v>5.4470553835441115E-3</v>
      </c>
      <c r="Q10">
        <f>Table3[[#This Row],[weight]]*(0.9155*Table2[[#This Row],[J67]]-F$9)^2</f>
        <v>2.383385701900867E-6</v>
      </c>
      <c r="R10">
        <f>Table3[[#This Row],[weight]]*(0.9155*Table2[[#This Row],[J67'']]-G$9)^2</f>
        <v>0.3826254196548699</v>
      </c>
      <c r="S10">
        <f>chloroform!J15</f>
        <v>1.2857486644294968E-2</v>
      </c>
      <c r="T10" t="str">
        <f>chloroform!F15</f>
        <v>45TH</v>
      </c>
    </row>
    <row r="11" spans="1:20" x14ac:dyDescent="0.25">
      <c r="A11" t="s">
        <v>93</v>
      </c>
      <c r="K11">
        <f>chloroform!E16</f>
        <v>16</v>
      </c>
      <c r="L11">
        <f>Table3[[#This Row],[weight]]*(0.9155*Table2[[#This Row],[J1,2]]-A$9)^2</f>
        <v>5.9197635161266672E-2</v>
      </c>
      <c r="M11">
        <f>Table3[[#This Row],[weight]]*(0.9155*Table2[[#This Row],[J2,3]]-B$9)^2</f>
        <v>2.3587165651873372</v>
      </c>
      <c r="N11">
        <f>Table3[[#This Row],[weight]]*(0.9155*Table2[[#This Row],[J34]]-C$9)^2</f>
        <v>1.0922084835193271</v>
      </c>
      <c r="O11">
        <f>Table3[[#This Row],[weight]]*(0.9155*Table2[[#This Row],[J45]]-D$9)^2</f>
        <v>9.8888342006913099</v>
      </c>
      <c r="P11">
        <f>Table3[[#This Row],[weight]]*(0.9155*Table2[[#This Row],[J56]]-E$9)^2</f>
        <v>0.21946424519675273</v>
      </c>
      <c r="Q11">
        <f>Table3[[#This Row],[weight]]*(0.9155*Table2[[#This Row],[J67]]-F$9)^2</f>
        <v>2.7371151522313713E-2</v>
      </c>
      <c r="R11">
        <f>Table3[[#This Row],[weight]]*(0.9155*Table2[[#This Row],[J67'']]-G$9)^2</f>
        <v>1.5299498387780432</v>
      </c>
      <c r="S11">
        <f>chloroform!J16</f>
        <v>9.7707504565616082E-2</v>
      </c>
      <c r="T11" t="str">
        <f>chloroform!F16</f>
        <v>4H6</v>
      </c>
    </row>
    <row r="12" spans="1:20" x14ac:dyDescent="0.25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  <c r="G12" t="s">
        <v>74</v>
      </c>
      <c r="K12">
        <f>chloroform!E17</f>
        <v>17</v>
      </c>
      <c r="L12">
        <f>Table3[[#This Row],[weight]]*(0.9155*Table2[[#This Row],[J1,2]]-A$9)^2</f>
        <v>2.9307553722824885E-5</v>
      </c>
      <c r="M12">
        <f>Table3[[#This Row],[weight]]*(0.9155*Table2[[#This Row],[J2,3]]-B$9)^2</f>
        <v>1.2980289786377439</v>
      </c>
      <c r="N12">
        <f>Table3[[#This Row],[weight]]*(0.9155*Table2[[#This Row],[J34]]-C$9)^2</f>
        <v>1.7131857107635842</v>
      </c>
      <c r="O12">
        <f>Table3[[#This Row],[weight]]*(0.9155*Table2[[#This Row],[J45]]-D$9)^2</f>
        <v>1.0174371147819625</v>
      </c>
      <c r="P12">
        <f>Table3[[#This Row],[weight]]*(0.9155*Table2[[#This Row],[J56]]-E$9)^2</f>
        <v>3.5246641152436116E-5</v>
      </c>
      <c r="Q12">
        <f>Table3[[#This Row],[weight]]*(0.9155*Table2[[#This Row],[J67]]-F$9)^2</f>
        <v>2.9066995921589622E-2</v>
      </c>
      <c r="R12">
        <f>Table3[[#This Row],[weight]]*(0.9155*Table2[[#This Row],[J67'']]-G$9)^2</f>
        <v>0.49271439955626012</v>
      </c>
      <c r="S12">
        <f>chloroform!J17</f>
        <v>4.0962521366163178E-2</v>
      </c>
      <c r="T12" t="str">
        <f>chloroform!F17</f>
        <v>45TH</v>
      </c>
    </row>
    <row r="13" spans="1:20" x14ac:dyDescent="0.25">
      <c r="A13">
        <f>SQRT(SUMIF($T$2:$T$70,$E$1,L$2:L$70)/(($G$1-1)*$B$1/$G$1))</f>
        <v>0.83731227084865079</v>
      </c>
      <c r="B13">
        <f>SQRT(SUMIF($T$2:$T$46,$E$1,M$2:M$46)/(($G$1-1)*$B$1/$G$1))</f>
        <v>0.22156886965211389</v>
      </c>
      <c r="C13">
        <f>SQRT(SUMIF($T$2:$T$46,$E$1,N$2:N$46)/(($G$1-1)*$B$1/$G$1))</f>
        <v>1.0180528824281885</v>
      </c>
      <c r="D13">
        <f t="shared" ref="D13" si="1">SQRT(SUMIF($T$2:$T$46,$E$1,O$2:O$46)/(($G$1-1)*$B$1/$G$1))</f>
        <v>0.34753419771029154</v>
      </c>
      <c r="E13">
        <f>SQRT(SUMIF($T$2:$T$70,$E$1,P$2:P$70)/(($G$1-1)*$B$1/$G$1))</f>
        <v>0.62169370118155343</v>
      </c>
      <c r="F13">
        <f>SQRT(SUMIF($T$2:$T$70,$E$1,Q$2:Q$70)/(($G$1-1)*$B$1/$G$1))</f>
        <v>2.4579503962484388</v>
      </c>
      <c r="G13">
        <f>SQRT(SUMIF($T$2:$T$57,$E$1,R$2:R$57)/(($G$1-1)*$B$1/$G$1))</f>
        <v>4.3293143787522572</v>
      </c>
      <c r="K13">
        <f>chloroform!E18</f>
        <v>19</v>
      </c>
      <c r="L13">
        <f>Table3[[#This Row],[weight]]*(0.9155*Table2[[#This Row],[J1,2]]-A$9)^2</f>
        <v>8.9239021599571202E-6</v>
      </c>
      <c r="M13">
        <f>Table3[[#This Row],[weight]]*(0.9155*Table2[[#This Row],[J2,3]]-B$9)^2</f>
        <v>2.1379333791878494E-3</v>
      </c>
      <c r="N13">
        <f>Table3[[#This Row],[weight]]*(0.9155*Table2[[#This Row],[J34]]-C$9)^2</f>
        <v>1.3620616435466198E-2</v>
      </c>
      <c r="O13">
        <f>Table3[[#This Row],[weight]]*(0.9155*Table2[[#This Row],[J45]]-D$9)^2</f>
        <v>8.6900564102164631E-3</v>
      </c>
      <c r="P13">
        <f>Table3[[#This Row],[weight]]*(0.9155*Table2[[#This Row],[J56]]-E$9)^2</f>
        <v>0.20753967774195278</v>
      </c>
      <c r="Q13">
        <f>Table3[[#This Row],[weight]]*(0.9155*Table2[[#This Row],[J67]]-F$9)^2</f>
        <v>0.19639429379963463</v>
      </c>
      <c r="R13">
        <f>Table3[[#This Row],[weight]]*(0.9155*Table2[[#This Row],[J67'']]-G$9)^2</f>
        <v>1.9144120110942939E-4</v>
      </c>
      <c r="S13">
        <f>chloroform!J18</f>
        <v>2.4604409741756255E-3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6.7398084974359188E-2</v>
      </c>
      <c r="M14">
        <f>Table3[[#This Row],[weight]]*(0.9155*Table2[[#This Row],[J2,3]]-B$9)^2</f>
        <v>2.490700558427362</v>
      </c>
      <c r="N14">
        <f>Table3[[#This Row],[weight]]*(0.9155*Table2[[#This Row],[J34]]-C$9)^2</f>
        <v>0.67192178466566355</v>
      </c>
      <c r="O14">
        <f>Table3[[#This Row],[weight]]*(0.9155*Table2[[#This Row],[J45]]-D$9)^2</f>
        <v>8.4287455015397157</v>
      </c>
      <c r="P14">
        <f>Table3[[#This Row],[weight]]*(0.9155*Table2[[#This Row],[J56]]-E$9)^2</f>
        <v>0.16878146459733739</v>
      </c>
      <c r="Q14">
        <f>Table3[[#This Row],[weight]]*(0.9155*Table2[[#This Row],[J67]]-F$9)^2</f>
        <v>9.1049073642473485E-2</v>
      </c>
      <c r="R14">
        <f>Table3[[#This Row],[weight]]*(0.9155*Table2[[#This Row],[J67'']]-G$9)^2</f>
        <v>0.9688236188148418</v>
      </c>
      <c r="S14">
        <f>chloroform!J19</f>
        <v>9.0579273806266847E-2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0</v>
      </c>
      <c r="M15">
        <f>Table3[[#This Row],[weight]]*(0.9155*Table2[[#This Row],[J2,3]]-B$9)^2</f>
        <v>0</v>
      </c>
      <c r="N15">
        <f>Table3[[#This Row],[weight]]*(0.9155*Table2[[#This Row],[J34]]-C$9)^2</f>
        <v>0</v>
      </c>
      <c r="O15">
        <f>Table3[[#This Row],[weight]]*(0.9155*Table2[[#This Row],[J45]]-D$9)^2</f>
        <v>0</v>
      </c>
      <c r="P15">
        <f>Table3[[#This Row],[weight]]*(0.9155*Table2[[#This Row],[J56]]-E$9)^2</f>
        <v>0</v>
      </c>
      <c r="Q15">
        <f>Table3[[#This Row],[weight]]*(0.9155*Table2[[#This Row],[J67]]-F$9)^2</f>
        <v>0</v>
      </c>
      <c r="R15">
        <f>Table3[[#This Row],[weight]]*(0.9155*Table2[[#This Row],[J67'']]-G$9)^2</f>
        <v>0</v>
      </c>
      <c r="S15">
        <f>chloroform!J20</f>
        <v>0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4.8847672134654452E-6</v>
      </c>
      <c r="M16">
        <f>Table3[[#This Row],[weight]]*(0.9155*Table2[[#This Row],[J2,3]]-B$9)^2</f>
        <v>8.3516363817565057E-3</v>
      </c>
      <c r="N16">
        <f>Table3[[#This Row],[weight]]*(0.9155*Table2[[#This Row],[J34]]-C$9)^2</f>
        <v>8.1715750472873567E-3</v>
      </c>
      <c r="O16">
        <f>Table3[[#This Row],[weight]]*(0.9155*Table2[[#This Row],[J45]]-D$9)^2</f>
        <v>3.7578084167183686E-3</v>
      </c>
      <c r="P16">
        <f>Table3[[#This Row],[weight]]*(0.9155*Table2[[#This Row],[J56]]-E$9)^2</f>
        <v>3.7883885532168039E-4</v>
      </c>
      <c r="Q16">
        <f>Table3[[#This Row],[weight]]*(0.9155*Table2[[#This Row],[J67]]-F$9)^2</f>
        <v>8.9257398934319799E-5</v>
      </c>
      <c r="R16">
        <f>Table3[[#This Row],[weight]]*(0.9155*Table2[[#This Row],[J67'']]-G$9)^2</f>
        <v>6.8339038162938117E-3</v>
      </c>
      <c r="S16">
        <f>chloroform!J21</f>
        <v>2.2704350414306422E-4</v>
      </c>
      <c r="T16" t="str">
        <f>chloroform!F21</f>
        <v>45TH</v>
      </c>
    </row>
    <row r="17" spans="11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11:20" x14ac:dyDescent="0.25">
      <c r="K18">
        <f>chloroform!E23</f>
        <v>24</v>
      </c>
      <c r="L18">
        <f>Table3[[#This Row],[weight]]*(0.9155*Table2[[#This Row],[J1,2]]-A$9)^2</f>
        <v>7.1039180591571257E-6</v>
      </c>
      <c r="M18">
        <f>Table3[[#This Row],[weight]]*(0.9155*Table2[[#This Row],[J2,3]]-B$9)^2</f>
        <v>9.1456513533598304E-3</v>
      </c>
      <c r="N18">
        <f>Table3[[#This Row],[weight]]*(0.9155*Table2[[#This Row],[J34]]-C$9)^2</f>
        <v>8.504749285664118E-3</v>
      </c>
      <c r="O18">
        <f>Table3[[#This Row],[weight]]*(0.9155*Table2[[#This Row],[J45]]-D$9)^2</f>
        <v>4.9704393750146219E-3</v>
      </c>
      <c r="P18">
        <f>Table3[[#This Row],[weight]]*(0.9155*Table2[[#This Row],[J56]]-E$9)^2</f>
        <v>5.7688385189514515E-5</v>
      </c>
      <c r="Q18">
        <f>Table3[[#This Row],[weight]]*(0.9155*Table2[[#This Row],[J67]]-F$9)^2</f>
        <v>1.2965015860451739E-2</v>
      </c>
      <c r="R18">
        <f>Table3[[#This Row],[weight]]*(0.9155*Table2[[#This Row],[J67'']]-G$9)^2</f>
        <v>1.9772042723342543E-3</v>
      </c>
      <c r="S18">
        <f>chloroform!J23</f>
        <v>2.497589442962653E-4</v>
      </c>
      <c r="T18" t="str">
        <f>chloroform!F23</f>
        <v>45TH</v>
      </c>
    </row>
    <row r="19" spans="11:20" x14ac:dyDescent="0.25">
      <c r="K19">
        <f>chloroform!E24</f>
        <v>26</v>
      </c>
      <c r="L19">
        <f>Table3[[#This Row],[weight]]*(0.9155*Table2[[#This Row],[J1,2]]-A$9)^2</f>
        <v>1.948587916565182E-6</v>
      </c>
      <c r="M19">
        <f>Table3[[#This Row],[weight]]*(0.9155*Table2[[#This Row],[J2,3]]-B$9)^2</f>
        <v>0.12257796995763387</v>
      </c>
      <c r="N19">
        <f>Table3[[#This Row],[weight]]*(0.9155*Table2[[#This Row],[J34]]-C$9)^2</f>
        <v>0.18421616516172881</v>
      </c>
      <c r="O19">
        <f>Table3[[#This Row],[weight]]*(0.9155*Table2[[#This Row],[J45]]-D$9)^2</f>
        <v>2.9008414241796891E-2</v>
      </c>
      <c r="P19">
        <f>Table3[[#This Row],[weight]]*(0.9155*Table2[[#This Row],[J56]]-E$9)^2</f>
        <v>8.7631179203806406E-3</v>
      </c>
      <c r="Q19">
        <f>Table3[[#This Row],[weight]]*(0.9155*Table2[[#This Row],[J67]]-F$9)^2</f>
        <v>2.9982321384619047E-3</v>
      </c>
      <c r="R19">
        <f>Table3[[#This Row],[weight]]*(0.9155*Table2[[#This Row],[J67'']]-G$9)^2</f>
        <v>4.3206060168150887E-2</v>
      </c>
      <c r="S19">
        <f>chloroform!J24</f>
        <v>3.7853094611890181E-3</v>
      </c>
      <c r="T19" t="str">
        <f>chloroform!F24</f>
        <v>45TH</v>
      </c>
    </row>
    <row r="20" spans="11:20" x14ac:dyDescent="0.25">
      <c r="K20">
        <f>chloroform!E25</f>
        <v>27</v>
      </c>
      <c r="L20">
        <f>Table3[[#This Row],[weight]]*(0.9155*Table2[[#This Row],[J1,2]]-A$9)^2</f>
        <v>7.4323485916759593E-2</v>
      </c>
      <c r="M20">
        <f>Table3[[#This Row],[weight]]*(0.9155*Table2[[#This Row],[J2,3]]-B$9)^2</f>
        <v>1.9898930986585526</v>
      </c>
      <c r="N20">
        <f>Table3[[#This Row],[weight]]*(0.9155*Table2[[#This Row],[J34]]-C$9)^2</f>
        <v>0.55111612279587407</v>
      </c>
      <c r="O20">
        <f>Table3[[#This Row],[weight]]*(0.9155*Table2[[#This Row],[J45]]-D$9)^2</f>
        <v>6.9877039442754674</v>
      </c>
      <c r="P20">
        <f>Table3[[#This Row],[weight]]*(0.9155*Table2[[#This Row],[J56]]-E$9)^2</f>
        <v>0.22505153669001773</v>
      </c>
      <c r="Q20">
        <f>Table3[[#This Row],[weight]]*(0.9155*Table2[[#This Row],[J67]]-F$9)^2</f>
        <v>0.18523546289149595</v>
      </c>
      <c r="R20">
        <f>Table3[[#This Row],[weight]]*(0.9155*Table2[[#This Row],[J67'']]-G$9)^2</f>
        <v>1.7176416649864332</v>
      </c>
      <c r="S20">
        <f>chloroform!J25</f>
        <v>7.7277724589535662E-2</v>
      </c>
      <c r="T20" t="str">
        <f>chloroform!F25</f>
        <v>4H6</v>
      </c>
    </row>
    <row r="21" spans="11:20" x14ac:dyDescent="0.25">
      <c r="K21">
        <f>chloroform!E26</f>
        <v>30</v>
      </c>
      <c r="L21">
        <f>Table3[[#This Row],[weight]]*(0.9155*Table2[[#This Row],[J1,2]]-A$9)^2</f>
        <v>4.5942297833593063E-5</v>
      </c>
      <c r="M21">
        <f>Table3[[#This Row],[weight]]*(0.9155*Table2[[#This Row],[J2,3]]-B$9)^2</f>
        <v>4.329753388996335E-4</v>
      </c>
      <c r="N21">
        <f>Table3[[#This Row],[weight]]*(0.9155*Table2[[#This Row],[J34]]-C$9)^2</f>
        <v>3.8322749193225401E-3</v>
      </c>
      <c r="O21">
        <f>Table3[[#This Row],[weight]]*(0.9155*Table2[[#This Row],[J45]]-D$9)^2</f>
        <v>1.6817569181893381E-3</v>
      </c>
      <c r="P21">
        <f>Table3[[#This Row],[weight]]*(0.9155*Table2[[#This Row],[J56]]-E$9)^2</f>
        <v>4.9401492118192857E-2</v>
      </c>
      <c r="Q21">
        <f>Table3[[#This Row],[weight]]*(0.9155*Table2[[#This Row],[J67]]-F$9)^2</f>
        <v>4.186262833605519E-2</v>
      </c>
      <c r="R21">
        <f>Table3[[#This Row],[weight]]*(0.9155*Table2[[#This Row],[J67'']]-G$9)^2</f>
        <v>1.7007752734692222E-3</v>
      </c>
      <c r="S21">
        <f>chloroform!J26</f>
        <v>5.7700870936292046E-4</v>
      </c>
      <c r="T21" t="str">
        <f>chloroform!F26</f>
        <v>6H4</v>
      </c>
    </row>
    <row r="22" spans="11:20" x14ac:dyDescent="0.25">
      <c r="K22">
        <f>chloroform!E27</f>
        <v>33</v>
      </c>
      <c r="L22">
        <f>Table3[[#This Row],[weight]]*(0.9155*Table2[[#This Row],[J1,2]]-A$9)^2</f>
        <v>1.6430712641959879E-5</v>
      </c>
      <c r="M22">
        <f>Table3[[#This Row],[weight]]*(0.9155*Table2[[#This Row],[J2,3]]-B$9)^2</f>
        <v>3.6063358207383898E-2</v>
      </c>
      <c r="N22">
        <f>Table3[[#This Row],[weight]]*(0.9155*Table2[[#This Row],[J34]]-C$9)^2</f>
        <v>3.6860072289832672E-2</v>
      </c>
      <c r="O22">
        <f>Table3[[#This Row],[weight]]*(0.9155*Table2[[#This Row],[J45]]-D$9)^2</f>
        <v>1.5462610290972061E-2</v>
      </c>
      <c r="P22">
        <f>Table3[[#This Row],[weight]]*(0.9155*Table2[[#This Row],[J56]]-E$9)^2</f>
        <v>1.0968163193041112E-3</v>
      </c>
      <c r="Q22">
        <f>Table3[[#This Row],[weight]]*(0.9155*Table2[[#This Row],[J67]]-F$9)^2</f>
        <v>6.6700907159654779E-4</v>
      </c>
      <c r="R22">
        <f>Table3[[#This Row],[weight]]*(0.9155*Table2[[#This Row],[J67'']]-G$9)^2</f>
        <v>2.949615379433786E-2</v>
      </c>
      <c r="S22">
        <f>chloroform!J27</f>
        <v>9.6924966522932761E-4</v>
      </c>
      <c r="T22" t="str">
        <f>chloroform!F27</f>
        <v>45TH</v>
      </c>
    </row>
    <row r="23" spans="11:20" x14ac:dyDescent="0.25">
      <c r="K23">
        <f>chloroform!E28</f>
        <v>34</v>
      </c>
      <c r="L23">
        <f>Table3[[#This Row],[weight]]*(0.9155*Table2[[#This Row],[J1,2]]-A$9)^2</f>
        <v>2.8807767006120618E-5</v>
      </c>
      <c r="M23">
        <f>Table3[[#This Row],[weight]]*(0.9155*Table2[[#This Row],[J2,3]]-B$9)^2</f>
        <v>2.6462610918291614E-4</v>
      </c>
      <c r="N23">
        <f>Table3[[#This Row],[weight]]*(0.9155*Table2[[#This Row],[J34]]-C$9)^2</f>
        <v>2.9410091104027664E-3</v>
      </c>
      <c r="O23">
        <f>Table3[[#This Row],[weight]]*(0.9155*Table2[[#This Row],[J45]]-D$9)^2</f>
        <v>5.085943097062767E-4</v>
      </c>
      <c r="P23">
        <f>Table3[[#This Row],[weight]]*(0.9155*Table2[[#This Row],[J56]]-E$9)^2</f>
        <v>3.4381482904026338E-2</v>
      </c>
      <c r="Q23">
        <f>Table3[[#This Row],[weight]]*(0.9155*Table2[[#This Row],[J67]]-F$9)^2</f>
        <v>1.1772255382564547E-3</v>
      </c>
      <c r="R23">
        <f>Table3[[#This Row],[weight]]*(0.9155*Table2[[#This Row],[J67'']]-G$9)^2</f>
        <v>8.8822632969240737E-4</v>
      </c>
      <c r="S23">
        <f>chloroform!J28</f>
        <v>4.4725237778474384E-4</v>
      </c>
      <c r="T23" t="str">
        <f>chloroform!F28</f>
        <v>6H4</v>
      </c>
    </row>
    <row r="24" spans="11:20" x14ac:dyDescent="0.25">
      <c r="K24">
        <f>chloroform!E29</f>
        <v>38</v>
      </c>
      <c r="L24">
        <f>Table3[[#This Row],[weight]]*(0.9155*Table2[[#This Row],[J1,2]]-A$9)^2</f>
        <v>7.4637173389433285E-8</v>
      </c>
      <c r="M24">
        <f>Table3[[#This Row],[weight]]*(0.9155*Table2[[#This Row],[J2,3]]-B$9)^2</f>
        <v>0.9090044040025208</v>
      </c>
      <c r="N24">
        <f>Table3[[#This Row],[weight]]*(0.9155*Table2[[#This Row],[J34]]-C$9)^2</f>
        <v>1.2765028438996089</v>
      </c>
      <c r="O24">
        <f>Table3[[#This Row],[weight]]*(0.9155*Table2[[#This Row],[J45]]-D$9)^2</f>
        <v>0.51163230156996864</v>
      </c>
      <c r="P24">
        <f>Table3[[#This Row],[weight]]*(0.9155*Table2[[#This Row],[J56]]-E$9)^2</f>
        <v>5.6600976925296241E-3</v>
      </c>
      <c r="Q24">
        <f>Table3[[#This Row],[weight]]*(0.9155*Table2[[#This Row],[J67]]-F$9)^2</f>
        <v>1.6338016411243314E-2</v>
      </c>
      <c r="R24">
        <f>Table3[[#This Row],[weight]]*(0.9155*Table2[[#This Row],[J67'']]-G$9)^2</f>
        <v>0.34595097674180786</v>
      </c>
      <c r="S24">
        <f>chloroform!J29</f>
        <v>2.8016696422438359E-2</v>
      </c>
      <c r="T24" t="str">
        <f>chloroform!F29</f>
        <v>45TH</v>
      </c>
    </row>
    <row r="25" spans="11:20" x14ac:dyDescent="0.25">
      <c r="K25">
        <f>chloroform!E30</f>
        <v>39</v>
      </c>
      <c r="L25">
        <f>Table3[[#This Row],[weight]]*(0.9155*Table2[[#This Row],[J1,2]]-A$9)^2</f>
        <v>8.6819861895591599E-2</v>
      </c>
      <c r="M25">
        <f>Table3[[#This Row],[weight]]*(0.9155*Table2[[#This Row],[J2,3]]-B$9)^2</f>
        <v>2.7884945139625894</v>
      </c>
      <c r="N25">
        <f>Table3[[#This Row],[weight]]*(0.9155*Table2[[#This Row],[J34]]-C$9)^2</f>
        <v>1.3123935341338542</v>
      </c>
      <c r="O25">
        <f>Table3[[#This Row],[weight]]*(0.9155*Table2[[#This Row],[J45]]-D$9)^2</f>
        <v>12.135338071793907</v>
      </c>
      <c r="P25">
        <f>Table3[[#This Row],[weight]]*(0.9155*Table2[[#This Row],[J56]]-E$9)^2</f>
        <v>0.44724019357303002</v>
      </c>
      <c r="Q25">
        <f>Table3[[#This Row],[weight]]*(0.9155*Table2[[#This Row],[J67]]-F$9)^2</f>
        <v>0.27632749398400147</v>
      </c>
      <c r="R25">
        <f>Table3[[#This Row],[weight]]*(0.9155*Table2[[#This Row],[J67'']]-G$9)^2</f>
        <v>2.8704137902899944</v>
      </c>
      <c r="S25">
        <f>chloroform!J30</f>
        <v>0.12286030176602797</v>
      </c>
      <c r="T25" t="str">
        <f>chloroform!F30</f>
        <v>4H6</v>
      </c>
    </row>
    <row r="26" spans="11:20" x14ac:dyDescent="0.25">
      <c r="K26">
        <f>chloroform!E31</f>
        <v>41</v>
      </c>
      <c r="L26">
        <f>Table3[[#This Row],[weight]]*(0.9155*Table2[[#This Row],[J1,2]]-A$9)^2</f>
        <v>6.7477070419000723E-2</v>
      </c>
      <c r="M26">
        <f>Table3[[#This Row],[weight]]*(0.9155*Table2[[#This Row],[J2,3]]-B$9)^2</f>
        <v>1.9853722923248682</v>
      </c>
      <c r="N26">
        <f>Table3[[#This Row],[weight]]*(0.9155*Table2[[#This Row],[J34]]-C$9)^2</f>
        <v>0.73077080730638466</v>
      </c>
      <c r="O26">
        <f>Table3[[#This Row],[weight]]*(0.9155*Table2[[#This Row],[J45]]-D$9)^2</f>
        <v>7.4692069563021644</v>
      </c>
      <c r="P26">
        <f>Table3[[#This Row],[weight]]*(0.9155*Table2[[#This Row],[J56]]-E$9)^2</f>
        <v>0.19082812830858481</v>
      </c>
      <c r="Q26">
        <f>Table3[[#This Row],[weight]]*(0.9155*Table2[[#This Row],[J67]]-F$9)^2</f>
        <v>0.1809869878120057</v>
      </c>
      <c r="R26">
        <f>Table3[[#This Row],[weight]]*(0.9155*Table2[[#This Row],[J67'']]-G$9)^2</f>
        <v>1.7769471241703634</v>
      </c>
      <c r="S26">
        <f>chloroform!J31</f>
        <v>7.7046547375829472E-2</v>
      </c>
      <c r="T26" t="str">
        <f>chloroform!F31</f>
        <v>4H6</v>
      </c>
    </row>
    <row r="27" spans="11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11:20" x14ac:dyDescent="0.25">
      <c r="K28">
        <f>chloroform!E33</f>
        <v>48</v>
      </c>
      <c r="L28">
        <f>Table3[[#This Row],[weight]]*(0.9155*Table2[[#This Row],[J1,2]]-A$9)^2</f>
        <v>2.1538880294419027E-2</v>
      </c>
      <c r="M28">
        <f>Table3[[#This Row],[weight]]*(0.9155*Table2[[#This Row],[J2,3]]-B$9)^2</f>
        <v>0.10735758673887928</v>
      </c>
      <c r="N28">
        <f>Table3[[#This Row],[weight]]*(0.9155*Table2[[#This Row],[J34]]-C$9)^2</f>
        <v>1.0631922895909477E-2</v>
      </c>
      <c r="O28">
        <f>Table3[[#This Row],[weight]]*(0.9155*Table2[[#This Row],[J45]]-D$9)^2</f>
        <v>1.9324414385150407E-3</v>
      </c>
      <c r="P28">
        <f>Table3[[#This Row],[weight]]*(0.9155*Table2[[#This Row],[J56]]-E$9)^2</f>
        <v>2.9876802289292147E-2</v>
      </c>
      <c r="Q28">
        <f>Table3[[#This Row],[weight]]*(0.9155*Table2[[#This Row],[J67]]-F$9)^2</f>
        <v>1.1088186020559238E-2</v>
      </c>
      <c r="R28">
        <f>Table3[[#This Row],[weight]]*(0.9155*Table2[[#This Row],[J67'']]-G$9)^2</f>
        <v>0.34156495427098132</v>
      </c>
      <c r="S28">
        <f>chloroform!J33</f>
        <v>1.2812878758454401E-2</v>
      </c>
      <c r="T28" t="str">
        <f>chloroform!F33</f>
        <v>56TH</v>
      </c>
    </row>
    <row r="29" spans="11:20" x14ac:dyDescent="0.25">
      <c r="K29">
        <f>chloroform!E34</f>
        <v>57</v>
      </c>
      <c r="L29">
        <f>Table3[[#This Row],[weight]]*(0.9155*Table2[[#This Row],[J1,2]]-A$9)^2</f>
        <v>1.8019958911538791E-5</v>
      </c>
      <c r="M29">
        <f>Table3[[#This Row],[weight]]*(0.9155*Table2[[#This Row],[J2,3]]-B$9)^2</f>
        <v>6.9905700222844529E-4</v>
      </c>
      <c r="N29">
        <f>Table3[[#This Row],[weight]]*(0.9155*Table2[[#This Row],[J34]]-C$9)^2</f>
        <v>6.475791286698414E-3</v>
      </c>
      <c r="O29">
        <f>Table3[[#This Row],[weight]]*(0.9155*Table2[[#This Row],[J45]]-D$9)^2</f>
        <v>1.3299427801831597E-2</v>
      </c>
      <c r="P29">
        <f>Table3[[#This Row],[weight]]*(0.9155*Table2[[#This Row],[J56]]-E$9)^2</f>
        <v>6.7841669225336271E-2</v>
      </c>
      <c r="Q29">
        <f>Table3[[#This Row],[weight]]*(0.9155*Table2[[#This Row],[J67]]-F$9)^2</f>
        <v>1.4157964292228463E-4</v>
      </c>
      <c r="R29">
        <f>Table3[[#This Row],[weight]]*(0.9155*Table2[[#This Row],[J67'']]-G$9)^2</f>
        <v>3.9826160675353994E-2</v>
      </c>
      <c r="S29">
        <f>chloroform!J34</f>
        <v>8.4212558559743436E-4</v>
      </c>
      <c r="T29" t="str">
        <f>chloroform!F34</f>
        <v>6H4</v>
      </c>
    </row>
    <row r="30" spans="11:20" x14ac:dyDescent="0.25">
      <c r="K30">
        <f>chloroform!E35</f>
        <v>59</v>
      </c>
      <c r="L30">
        <f>Table3[[#This Row],[weight]]*(0.9155*Table2[[#This Row],[J1,2]]-A$9)^2</f>
        <v>7.3210887755597169E-5</v>
      </c>
      <c r="M30">
        <f>Table3[[#This Row],[weight]]*(0.9155*Table2[[#This Row],[J2,3]]-B$9)^2</f>
        <v>1.2839208315082234E-5</v>
      </c>
      <c r="N30">
        <f>Table3[[#This Row],[weight]]*(0.9155*Table2[[#This Row],[J34]]-C$9)^2</f>
        <v>1.3531971540842216E-4</v>
      </c>
      <c r="O30">
        <f>Table3[[#This Row],[weight]]*(0.9155*Table2[[#This Row],[J45]]-D$9)^2</f>
        <v>4.6759469802927743E-3</v>
      </c>
      <c r="P30">
        <f>Table3[[#This Row],[weight]]*(0.9155*Table2[[#This Row],[J56]]-E$9)^2</f>
        <v>9.9116471130554539E-4</v>
      </c>
      <c r="Q30">
        <f>Table3[[#This Row],[weight]]*(0.9155*Table2[[#This Row],[J67]]-F$9)^2</f>
        <v>1.7603336237750805E-4</v>
      </c>
      <c r="R30">
        <f>Table3[[#This Row],[weight]]*(0.9155*Table2[[#This Row],[J67'']]-G$9)^2</f>
        <v>8.9202436416952358E-4</v>
      </c>
      <c r="S30">
        <f>chloroform!J35</f>
        <v>5.308266238201859E-5</v>
      </c>
      <c r="T30" t="str">
        <f>chloroform!F35</f>
        <v>45TH</v>
      </c>
    </row>
    <row r="31" spans="11:20" x14ac:dyDescent="0.25">
      <c r="K31">
        <f>chloroform!E36</f>
        <v>72</v>
      </c>
      <c r="L31">
        <f>Table3[[#This Row],[weight]]*(0.9155*Table2[[#This Row],[J1,2]]-A$9)^2</f>
        <v>1.2671951924834719E-3</v>
      </c>
      <c r="M31">
        <f>Table3[[#This Row],[weight]]*(0.9155*Table2[[#This Row],[J2,3]]-B$9)^2</f>
        <v>6.5939254023896221E-2</v>
      </c>
      <c r="N31">
        <f>Table3[[#This Row],[weight]]*(0.9155*Table2[[#This Row],[J34]]-C$9)^2</f>
        <v>3.2174554486677685E-2</v>
      </c>
      <c r="O31">
        <f>Table3[[#This Row],[weight]]*(0.9155*Table2[[#This Row],[J45]]-D$9)^2</f>
        <v>0.25884583621540641</v>
      </c>
      <c r="P31">
        <f>Table3[[#This Row],[weight]]*(0.9155*Table2[[#This Row],[J56]]-E$9)^2</f>
        <v>6.7326056660017173E-3</v>
      </c>
      <c r="Q31">
        <f>Table3[[#This Row],[weight]]*(0.9155*Table2[[#This Row],[J67]]-F$9)^2</f>
        <v>7.1446450419830845E-2</v>
      </c>
      <c r="R31">
        <f>Table3[[#This Row],[weight]]*(0.9155*Table2[[#This Row],[J67'']]-G$9)^2</f>
        <v>5.425672599870103E-2</v>
      </c>
      <c r="S31">
        <f>chloroform!J36</f>
        <v>2.5552234461420523E-3</v>
      </c>
      <c r="T31" t="str">
        <f>chloroform!F36</f>
        <v>4H6</v>
      </c>
    </row>
    <row r="32" spans="11:20" x14ac:dyDescent="0.25">
      <c r="K32">
        <f>chloroform!E37</f>
        <v>73</v>
      </c>
      <c r="L32">
        <f>Table3[[#This Row],[weight]]*(0.9155*Table2[[#This Row],[J1,2]]-A$9)^2</f>
        <v>2.1107981725439581E-2</v>
      </c>
      <c r="M32">
        <f>Table3[[#This Row],[weight]]*(0.9155*Table2[[#This Row],[J2,3]]-B$9)^2</f>
        <v>1.5870352219840764E-3</v>
      </c>
      <c r="N32">
        <f>Table3[[#This Row],[weight]]*(0.9155*Table2[[#This Row],[J34]]-C$9)^2</f>
        <v>3.514464575680442E-2</v>
      </c>
      <c r="O32">
        <f>Table3[[#This Row],[weight]]*(0.9155*Table2[[#This Row],[J45]]-D$9)^2</f>
        <v>4.1236222481007842E-3</v>
      </c>
      <c r="P32">
        <f>Table3[[#This Row],[weight]]*(0.9155*Table2[[#This Row],[J56]]-E$9)^2</f>
        <v>3.9186642385804207E-3</v>
      </c>
      <c r="Q32">
        <f>Table3[[#This Row],[weight]]*(0.9155*Table2[[#This Row],[J67]]-F$9)^2</f>
        <v>3.0590255853307644E-2</v>
      </c>
      <c r="R32">
        <f>Table3[[#This Row],[weight]]*(0.9155*Table2[[#This Row],[J67'']]-G$9)^2</f>
        <v>0.42761751968344713</v>
      </c>
      <c r="S32">
        <f>chloroform!J37</f>
        <v>3.648841376783802E-2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1.2054822427605087E-4</v>
      </c>
      <c r="M33">
        <f>Table3[[#This Row],[weight]]*(0.9155*Table2[[#This Row],[J2,3]]-B$9)^2</f>
        <v>1.920934610452075E-5</v>
      </c>
      <c r="N33">
        <f>Table3[[#This Row],[weight]]*(0.9155*Table2[[#This Row],[J34]]-C$9)^2</f>
        <v>2.4369467332140043E-4</v>
      </c>
      <c r="O33">
        <f>Table3[[#This Row],[weight]]*(0.9155*Table2[[#This Row],[J45]]-D$9)^2</f>
        <v>6.7031385408385926E-3</v>
      </c>
      <c r="P33">
        <f>Table3[[#This Row],[weight]]*(0.9155*Table2[[#This Row],[J56]]-E$9)^2</f>
        <v>1.5359130908855067E-3</v>
      </c>
      <c r="Q33">
        <f>Table3[[#This Row],[weight]]*(0.9155*Table2[[#This Row],[J67]]-F$9)^2</f>
        <v>1.1231232475377283E-4</v>
      </c>
      <c r="R33">
        <f>Table3[[#This Row],[weight]]*(0.9155*Table2[[#This Row],[J67'']]-G$9)^2</f>
        <v>2.0739070466116866E-3</v>
      </c>
      <c r="S33">
        <f>chloroform!J38</f>
        <v>7.6543233743887095E-5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6.7167669097432527E-6</v>
      </c>
      <c r="M34">
        <f>Table3[[#This Row],[weight]]*(0.9155*Table2[[#This Row],[J2,3]]-B$9)^2</f>
        <v>0.70022468789720227</v>
      </c>
      <c r="N34">
        <f>Table3[[#This Row],[weight]]*(0.9155*Table2[[#This Row],[J34]]-C$9)^2</f>
        <v>1.0051396009593527</v>
      </c>
      <c r="O34">
        <f>Table3[[#This Row],[weight]]*(0.9155*Table2[[#This Row],[J45]]-D$9)^2</f>
        <v>0.40722477030875981</v>
      </c>
      <c r="P34">
        <f>Table3[[#This Row],[weight]]*(0.9155*Table2[[#This Row],[J56]]-E$9)^2</f>
        <v>5.5010053530183765E-3</v>
      </c>
      <c r="Q34">
        <f>Table3[[#This Row],[weight]]*(0.9155*Table2[[#This Row],[J67]]-F$9)^2</f>
        <v>1.1907383668066492E-2</v>
      </c>
      <c r="R34">
        <f>Table3[[#This Row],[weight]]*(0.9155*Table2[[#This Row],[J67'']]-G$9)^2</f>
        <v>0.71905696665284258</v>
      </c>
      <c r="S34">
        <f>chloroform!J39</f>
        <v>2.1700256798573677E-2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4.5470991566988398E-7</v>
      </c>
      <c r="M35">
        <f>Table3[[#This Row],[weight]]*(0.9155*Table2[[#This Row],[J2,3]]-B$9)^2</f>
        <v>2.0629030882077246E-3</v>
      </c>
      <c r="N35">
        <f>Table3[[#This Row],[weight]]*(0.9155*Table2[[#This Row],[J34]]-C$9)^2</f>
        <v>2.9250910162998294E-3</v>
      </c>
      <c r="O35">
        <f>Table3[[#This Row],[weight]]*(0.9155*Table2[[#This Row],[J45]]-D$9)^2</f>
        <v>3.2065579139172978E-3</v>
      </c>
      <c r="P35">
        <f>Table3[[#This Row],[weight]]*(0.9155*Table2[[#This Row],[J56]]-E$9)^2</f>
        <v>3.7890578217011743E-3</v>
      </c>
      <c r="Q35">
        <f>Table3[[#This Row],[weight]]*(0.9155*Table2[[#This Row],[J67]]-F$9)^2</f>
        <v>7.7159009657683172E-3</v>
      </c>
      <c r="R35">
        <f>Table3[[#This Row],[weight]]*(0.9155*Table2[[#This Row],[J67'']]-G$9)^2</f>
        <v>4.6078159922892802E-7</v>
      </c>
      <c r="S35">
        <f>chloroform!J40</f>
        <v>8.5231241623590044E-5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2.0437544150819238E-2</v>
      </c>
      <c r="M38">
        <f>Table3[[#This Row],[weight]]*(0.9155*Table2[[#This Row],[J2,3]]-B$9)^2</f>
        <v>1.6857435665111734E-3</v>
      </c>
      <c r="N38">
        <f>Table3[[#This Row],[weight]]*(0.9155*Table2[[#This Row],[J34]]-C$9)^2</f>
        <v>3.3839877123248104E-2</v>
      </c>
      <c r="O38">
        <f>Table3[[#This Row],[weight]]*(0.9155*Table2[[#This Row],[J45]]-D$9)^2</f>
        <v>3.8668257939464021E-3</v>
      </c>
      <c r="P38">
        <f>Table3[[#This Row],[weight]]*(0.9155*Table2[[#This Row],[J56]]-E$9)^2</f>
        <v>6.8079381571388153E-3</v>
      </c>
      <c r="Q38">
        <f>Table3[[#This Row],[weight]]*(0.9155*Table2[[#This Row],[J67]]-F$9)^2</f>
        <v>8.0700994250596392E-3</v>
      </c>
      <c r="R38">
        <f>Table3[[#This Row],[weight]]*(0.9155*Table2[[#This Row],[J67'']]-G$9)^2</f>
        <v>0.67938515882808181</v>
      </c>
      <c r="S38">
        <f>chloroform!J43</f>
        <v>2.6557312069796467E-2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1.1647779772711741E-4</v>
      </c>
      <c r="M42">
        <f>Table3[[#This Row],[weight]]*(0.9155*Table2[[#This Row],[J2,3]]-B$9)^2</f>
        <v>0.39682745342422515</v>
      </c>
      <c r="N42">
        <f>Table3[[#This Row],[weight]]*(0.9155*Table2[[#This Row],[J34]]-C$9)^2</f>
        <v>0.43958819861014048</v>
      </c>
      <c r="O42">
        <f>Table3[[#This Row],[weight]]*(0.9155*Table2[[#This Row],[J45]]-D$9)^2</f>
        <v>0.20079253932369465</v>
      </c>
      <c r="P42">
        <f>Table3[[#This Row],[weight]]*(0.9155*Table2[[#This Row],[J56]]-E$9)^2</f>
        <v>1.4039830079418984E-3</v>
      </c>
      <c r="Q42">
        <f>Table3[[#This Row],[weight]]*(0.9155*Table2[[#This Row],[J67]]-F$9)^2</f>
        <v>4.1452368054174029E-4</v>
      </c>
      <c r="R42">
        <f>Table3[[#This Row],[weight]]*(0.9155*Table2[[#This Row],[J67'']]-G$9)^2</f>
        <v>0.33600587283506739</v>
      </c>
      <c r="S42">
        <f>chloroform!J47</f>
        <v>1.0114490607520146E-2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9.1844145833598926E-4</v>
      </c>
      <c r="M43">
        <f>Table3[[#This Row],[weight]]*(0.9155*Table2[[#This Row],[J2,3]]-B$9)^2</f>
        <v>3.2161201936532396E-5</v>
      </c>
      <c r="N43">
        <f>Table3[[#This Row],[weight]]*(0.9155*Table2[[#This Row],[J34]]-C$9)^2</f>
        <v>7.8837640715847233E-4</v>
      </c>
      <c r="O43">
        <f>Table3[[#This Row],[weight]]*(0.9155*Table2[[#This Row],[J45]]-D$9)^2</f>
        <v>1.4050000261360944E-4</v>
      </c>
      <c r="P43">
        <f>Table3[[#This Row],[weight]]*(0.9155*Table2[[#This Row],[J56]]-E$9)^2</f>
        <v>5.2305476808874952E-7</v>
      </c>
      <c r="Q43">
        <f>Table3[[#This Row],[weight]]*(0.9155*Table2[[#This Row],[J67]]-F$9)^2</f>
        <v>2.5384294313537709E-3</v>
      </c>
      <c r="R43">
        <f>Table3[[#This Row],[weight]]*(0.9155*Table2[[#This Row],[J67'']]-G$9)^2</f>
        <v>4.9305007302506611E-3</v>
      </c>
      <c r="S43">
        <f>chloroform!J48</f>
        <v>9.2026393674751749E-4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2.613349175636789E-7</v>
      </c>
      <c r="M45">
        <f>Table3[[#This Row],[weight]]*(0.9155*Table2[[#This Row],[J2,3]]-B$9)^2</f>
        <v>9.8426543076828767E-3</v>
      </c>
      <c r="N45">
        <f>Table3[[#This Row],[weight]]*(0.9155*Table2[[#This Row],[J34]]-C$9)^2</f>
        <v>1.4450049792948382E-2</v>
      </c>
      <c r="O45">
        <f>Table3[[#This Row],[weight]]*(0.9155*Table2[[#This Row],[J45]]-D$9)^2</f>
        <v>1.5388489682410893E-2</v>
      </c>
      <c r="P45">
        <f>Table3[[#This Row],[weight]]*(0.9155*Table2[[#This Row],[J56]]-E$9)^2</f>
        <v>1.743914904160546E-2</v>
      </c>
      <c r="Q45">
        <f>Table3[[#This Row],[weight]]*(0.9155*Table2[[#This Row],[J67]]-F$9)^2</f>
        <v>7.6495602345969091E-4</v>
      </c>
      <c r="R45">
        <f>Table3[[#This Row],[weight]]*(0.9155*Table2[[#This Row],[J67'']]-G$9)^2</f>
        <v>8.8050390663871169E-3</v>
      </c>
      <c r="S45">
        <f>chloroform!J50</f>
        <v>4.0395005497485294E-4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4.2323240177350729E-3</v>
      </c>
      <c r="M46">
        <f>Table3[[#This Row],[weight]]*(0.9155*Table2[[#This Row],[J2,3]]-B$9)^2</f>
        <v>1.8560386846811758E-2</v>
      </c>
      <c r="N46">
        <f>Table3[[#This Row],[weight]]*(0.9155*Table2[[#This Row],[J34]]-C$9)^2</f>
        <v>3.8757945225322745E-3</v>
      </c>
      <c r="O46">
        <f>Table3[[#This Row],[weight]]*(0.9155*Table2[[#This Row],[J45]]-D$9)^2</f>
        <v>1.0379516596410268E-3</v>
      </c>
      <c r="P46">
        <f>Table3[[#This Row],[weight]]*(0.9155*Table2[[#This Row],[J56]]-E$9)^2</f>
        <v>1.1592662349526023E-2</v>
      </c>
      <c r="Q46">
        <f>Table3[[#This Row],[weight]]*(0.9155*Table2[[#This Row],[J67]]-F$9)^2</f>
        <v>9.4387204998084995E-3</v>
      </c>
      <c r="R46">
        <f>Table3[[#This Row],[weight]]*(0.9155*Table2[[#This Row],[J67'']]-G$9)^2</f>
        <v>5.7907148512268691E-2</v>
      </c>
      <c r="S46">
        <f>chloroform!J51</f>
        <v>3.3042482722126397E-3</v>
      </c>
      <c r="T46" t="str">
        <f>chloroform!F51</f>
        <v>56TH</v>
      </c>
    </row>
    <row r="47" spans="11:20" x14ac:dyDescent="0.25">
      <c r="K47">
        <f>chloroform!E52</f>
        <v>136</v>
      </c>
      <c r="L47" s="4">
        <f>Table3[[#This Row],[weight]]*(0.9155*Table2[[#This Row],[J1,2]]-A$9)^2</f>
        <v>2.0133757265395225E-4</v>
      </c>
      <c r="M47" s="4">
        <f>Table3[[#This Row],[weight]]*(0.9155*Table2[[#This Row],[J2,3]]-B$9)^2</f>
        <v>1.5897587530180042E-5</v>
      </c>
      <c r="N47" s="4">
        <f>Table3[[#This Row],[weight]]*(0.9155*Table2[[#This Row],[J34]]-C$9)^2</f>
        <v>2.8809826640123156E-4</v>
      </c>
      <c r="O47" s="4">
        <f>Table3[[#This Row],[weight]]*(0.9155*Table2[[#This Row],[J45]]-D$9)^2</f>
        <v>9.1644223946947472E-5</v>
      </c>
      <c r="P47" s="4">
        <f>Table3[[#This Row],[weight]]*(0.9155*Table2[[#This Row],[J56]]-E$9)^2</f>
        <v>4.4683622288243114E-4</v>
      </c>
      <c r="Q47" s="4">
        <f>Table3[[#This Row],[weight]]*(0.9155*Table2[[#This Row],[J67]]-F$9)^2</f>
        <v>2.3160032676289085E-4</v>
      </c>
      <c r="R47" s="4">
        <f>Table3[[#This Row],[weight]]*(0.9155*Table2[[#This Row],[J67'']]-G$9)^2</f>
        <v>3.1419606623549791E-2</v>
      </c>
      <c r="S47">
        <f>chloroform!J52</f>
        <v>1.1363251696581539E-3</v>
      </c>
      <c r="T47" t="str">
        <f>chloroform!F52</f>
        <v>5C12</v>
      </c>
    </row>
    <row r="48" spans="11:20" x14ac:dyDescent="0.25">
      <c r="K48">
        <f>chloroform!E53</f>
        <v>142</v>
      </c>
      <c r="L48" s="4">
        <f>Table3[[#This Row],[weight]]*(0.9155*Table2[[#This Row],[J1,2]]-A$9)^2</f>
        <v>3.084225889074632E-3</v>
      </c>
      <c r="M48" s="4">
        <f>Table3[[#This Row],[weight]]*(0.9155*Table2[[#This Row],[J2,3]]-B$9)^2</f>
        <v>8.9881650575842904E-4</v>
      </c>
      <c r="N48" s="4">
        <f>Table3[[#This Row],[weight]]*(0.9155*Table2[[#This Row],[J34]]-C$9)^2</f>
        <v>9.5213198265886832E-3</v>
      </c>
      <c r="O48" s="4">
        <f>Table3[[#This Row],[weight]]*(0.9155*Table2[[#This Row],[J45]]-D$9)^2</f>
        <v>1.4586087850873488E-4</v>
      </c>
      <c r="P48" s="4">
        <f>Table3[[#This Row],[weight]]*(0.9155*Table2[[#This Row],[J56]]-E$9)^2</f>
        <v>9.2103751757016412E-4</v>
      </c>
      <c r="Q48" s="4">
        <f>Table3[[#This Row],[weight]]*(0.9155*Table2[[#This Row],[J67]]-F$9)^2</f>
        <v>0.33522710254575122</v>
      </c>
      <c r="R48" s="4">
        <f>Table3[[#This Row],[weight]]*(0.9155*Table2[[#This Row],[J67'']]-G$9)^2</f>
        <v>6.5157918335177117E-2</v>
      </c>
      <c r="S48">
        <f>chloroform!J53</f>
        <v>6.9012125609283787E-3</v>
      </c>
      <c r="T48" t="str">
        <f>chloroform!F53</f>
        <v>5C12</v>
      </c>
    </row>
    <row r="49" spans="11:20" x14ac:dyDescent="0.25">
      <c r="K49">
        <f>chloroform!E54</f>
        <v>143</v>
      </c>
      <c r="L49" s="4">
        <f>Table3[[#This Row],[weight]]*(0.9155*Table2[[#This Row],[J1,2]]-A$9)^2</f>
        <v>1.3114619453455585E-5</v>
      </c>
      <c r="M49" s="4">
        <f>Table3[[#This Row],[weight]]*(0.9155*Table2[[#This Row],[J2,3]]-B$9)^2</f>
        <v>3.1645896156139637E-3</v>
      </c>
      <c r="N49" s="4">
        <f>Table3[[#This Row],[weight]]*(0.9155*Table2[[#This Row],[J34]]-C$9)^2</f>
        <v>5.9155512687956756E-3</v>
      </c>
      <c r="O49" s="4">
        <f>Table3[[#This Row],[weight]]*(0.9155*Table2[[#This Row],[J45]]-D$9)^2</f>
        <v>9.0552479364813546E-5</v>
      </c>
      <c r="P49" s="4">
        <f>Table3[[#This Row],[weight]]*(0.9155*Table2[[#This Row],[J56]]-E$9)^2</f>
        <v>3.0385116642581302E-4</v>
      </c>
      <c r="Q49" s="4">
        <f>Table3[[#This Row],[weight]]*(0.9155*Table2[[#This Row],[J67]]-F$9)^2</f>
        <v>4.5314264396131053E-3</v>
      </c>
      <c r="R49" s="4">
        <f>Table3[[#This Row],[weight]]*(0.9155*Table2[[#This Row],[J67'']]-G$9)^2</f>
        <v>1.0652630113585442E-3</v>
      </c>
      <c r="S49">
        <f>chloroform!J54</f>
        <v>8.9647423822238471E-5</v>
      </c>
      <c r="T49" t="str">
        <f>chloroform!F54</f>
        <v>45TH</v>
      </c>
    </row>
    <row r="50" spans="11:20" x14ac:dyDescent="0.25">
      <c r="K50">
        <f>chloroform!E55</f>
        <v>144</v>
      </c>
      <c r="L50" s="4">
        <f>Table3[[#This Row],[weight]]*(0.9155*Table2[[#This Row],[J1,2]]-A$9)^2</f>
        <v>7.8201374086149528E-6</v>
      </c>
      <c r="M50" s="4">
        <f>Table3[[#This Row],[weight]]*(0.9155*Table2[[#This Row],[J2,3]]-B$9)^2</f>
        <v>1.767628527210087E-3</v>
      </c>
      <c r="N50" s="4">
        <f>Table3[[#This Row],[weight]]*(0.9155*Table2[[#This Row],[J34]]-C$9)^2</f>
        <v>3.6181786264261905E-3</v>
      </c>
      <c r="O50" s="4">
        <f>Table3[[#This Row],[weight]]*(0.9155*Table2[[#This Row],[J45]]-D$9)^2</f>
        <v>3.4337068712247789E-3</v>
      </c>
      <c r="P50" s="4">
        <f>Table3[[#This Row],[weight]]*(0.9155*Table2[[#This Row],[J56]]-E$9)^2</f>
        <v>3.7911023206053879E-3</v>
      </c>
      <c r="Q50" s="4">
        <f>Table3[[#This Row],[weight]]*(0.9155*Table2[[#This Row],[J67]]-F$9)^2</f>
        <v>8.3194371646614432E-3</v>
      </c>
      <c r="R50" s="4">
        <f>Table3[[#This Row],[weight]]*(0.9155*Table2[[#This Row],[J67'']]-G$9)^2</f>
        <v>1.3108250368725127E-5</v>
      </c>
      <c r="S50">
        <f>chloroform!J55</f>
        <v>9.067247042405327E-5</v>
      </c>
      <c r="T50" t="str">
        <f>chloroform!F55</f>
        <v>12C5</v>
      </c>
    </row>
    <row r="51" spans="11:20" x14ac:dyDescent="0.25">
      <c r="K51">
        <f>chloroform!E56</f>
        <v>145</v>
      </c>
      <c r="L51" s="4">
        <f>Table3[[#This Row],[weight]]*(0.9155*Table2[[#This Row],[J1,2]]-A$9)^2</f>
        <v>3.7103987787225713E-5</v>
      </c>
      <c r="M51" s="4">
        <f>Table3[[#This Row],[weight]]*(0.9155*Table2[[#This Row],[J2,3]]-B$9)^2</f>
        <v>5.2852029283534394E-3</v>
      </c>
      <c r="N51" s="4">
        <f>Table3[[#This Row],[weight]]*(0.9155*Table2[[#This Row],[J34]]-C$9)^2</f>
        <v>9.355309580429608E-3</v>
      </c>
      <c r="O51" s="4">
        <f>Table3[[#This Row],[weight]]*(0.9155*Table2[[#This Row],[J45]]-D$9)^2</f>
        <v>8.9781222257511121E-3</v>
      </c>
      <c r="P51" s="4">
        <f>Table3[[#This Row],[weight]]*(0.9155*Table2[[#This Row],[J56]]-E$9)^2</f>
        <v>1.1887664023083522E-2</v>
      </c>
      <c r="Q51" s="4">
        <f>Table3[[#This Row],[weight]]*(0.9155*Table2[[#This Row],[J67]]-F$9)^2</f>
        <v>2.5226544113968498E-2</v>
      </c>
      <c r="R51" s="4">
        <f>Table3[[#This Row],[weight]]*(0.9155*Table2[[#This Row],[J67'']]-G$9)^2</f>
        <v>1.347139400367082E-5</v>
      </c>
      <c r="S51">
        <f>chloroform!J56</f>
        <v>2.6492234570833355E-4</v>
      </c>
      <c r="T51" t="str">
        <f>chloroform!F56</f>
        <v>5C12</v>
      </c>
    </row>
    <row r="52" spans="11:20" x14ac:dyDescent="0.25">
      <c r="K52">
        <f>chloroform!E57</f>
        <v>166</v>
      </c>
      <c r="L52" s="4">
        <f>Table3[[#This Row],[weight]]*(0.9155*Table2[[#This Row],[J1,2]]-A$9)^2</f>
        <v>5.9911024625246756E-4</v>
      </c>
      <c r="M52" s="4">
        <f>Table3[[#This Row],[weight]]*(0.9155*Table2[[#This Row],[J2,3]]-B$9)^2</f>
        <v>2.0699423457679926E-4</v>
      </c>
      <c r="N52" s="4">
        <f>Table3[[#This Row],[weight]]*(0.9155*Table2[[#This Row],[J34]]-C$9)^2</f>
        <v>1.6375121753218612E-3</v>
      </c>
      <c r="O52" s="4">
        <f>Table3[[#This Row],[weight]]*(0.9155*Table2[[#This Row],[J45]]-D$9)^2</f>
        <v>3.4594872777316275E-4</v>
      </c>
      <c r="P52" s="4">
        <f>Table3[[#This Row],[weight]]*(0.9155*Table2[[#This Row],[J56]]-E$9)^2</f>
        <v>1.9044527381125208E-3</v>
      </c>
      <c r="Q52" s="4">
        <f>Table3[[#This Row],[weight]]*(0.9155*Table2[[#This Row],[J67]]-F$9)^2</f>
        <v>6.8551605019229037E-4</v>
      </c>
      <c r="R52" s="4">
        <f>Table3[[#This Row],[weight]]*(0.9155*Table2[[#This Row],[J67'']]-G$9)^2</f>
        <v>5.2372756783913232E-2</v>
      </c>
      <c r="S52">
        <f>chloroform!J57</f>
        <v>1.4850564090781132E-3</v>
      </c>
      <c r="T52" t="str">
        <f>chloroform!F57</f>
        <v>5C12</v>
      </c>
    </row>
    <row r="53" spans="11:20" x14ac:dyDescent="0.25">
      <c r="K53">
        <f>chloroform!E58</f>
        <v>173</v>
      </c>
      <c r="L53" s="4">
        <f>Table3[[#This Row],[weight]]*(0.9155*Table2[[#This Row],[J1,2]]-A$9)^2</f>
        <v>2.3055550039039616E-5</v>
      </c>
      <c r="M53" s="4">
        <f>Table3[[#This Row],[weight]]*(0.9155*Table2[[#This Row],[J2,3]]-B$9)^2</f>
        <v>6.3434082446830074E-3</v>
      </c>
      <c r="N53" s="4">
        <f>Table3[[#This Row],[weight]]*(0.9155*Table2[[#This Row],[J34]]-C$9)^2</f>
        <v>1.2160649467781386E-2</v>
      </c>
      <c r="O53" s="4">
        <f>Table3[[#This Row],[weight]]*(0.9155*Table2[[#This Row],[J45]]-D$9)^2</f>
        <v>1.0734290581702938E-2</v>
      </c>
      <c r="P53" s="4">
        <f>Table3[[#This Row],[weight]]*(0.9155*Table2[[#This Row],[J56]]-E$9)^2</f>
        <v>1.2210518803847081E-2</v>
      </c>
      <c r="Q53" s="4">
        <f>Table3[[#This Row],[weight]]*(0.9155*Table2[[#This Row],[J67]]-F$9)^2</f>
        <v>7.5570148903137562E-4</v>
      </c>
      <c r="R53" s="4">
        <f>Table3[[#This Row],[weight]]*(0.9155*Table2[[#This Row],[J67'']]-G$9)^2</f>
        <v>8.3490884273302382E-3</v>
      </c>
      <c r="S53">
        <f>chloroform!J58</f>
        <v>3.1230665349553491E-4</v>
      </c>
      <c r="T53" t="str">
        <f>chloroform!F58</f>
        <v>12C5</v>
      </c>
    </row>
    <row r="54" spans="11:20" x14ac:dyDescent="0.25">
      <c r="K54">
        <f>chloroform!E59</f>
        <v>191</v>
      </c>
      <c r="L54" s="4">
        <f>Table3[[#This Row],[weight]]*(0.9155*Table2[[#This Row],[J1,2]]-A$9)^2</f>
        <v>2.1705092082140176E-7</v>
      </c>
      <c r="M54" s="4">
        <f>Table3[[#This Row],[weight]]*(0.9155*Table2[[#This Row],[J2,3]]-B$9)^2</f>
        <v>2.0195495212383626E-3</v>
      </c>
      <c r="N54" s="4">
        <f>Table3[[#This Row],[weight]]*(0.9155*Table2[[#This Row],[J34]]-C$9)^2</f>
        <v>2.819688856450397E-3</v>
      </c>
      <c r="O54" s="4">
        <f>Table3[[#This Row],[weight]]*(0.9155*Table2[[#This Row],[J45]]-D$9)^2</f>
        <v>3.1732080241169132E-3</v>
      </c>
      <c r="P54" s="4">
        <f>Table3[[#This Row],[weight]]*(0.9155*Table2[[#This Row],[J56]]-E$9)^2</f>
        <v>3.7497346636362733E-3</v>
      </c>
      <c r="Q54" s="4">
        <f>Table3[[#This Row],[weight]]*(0.9155*Table2[[#This Row],[J67]]-F$9)^2</f>
        <v>7.633017243932649E-3</v>
      </c>
      <c r="R54" s="4">
        <f>Table3[[#This Row],[weight]]*(0.9155*Table2[[#This Row],[J67'']]-G$9)^2</f>
        <v>1.1306052310498833E-6</v>
      </c>
      <c r="S54">
        <f>chloroform!J59</f>
        <v>8.3223081917846813E-5</v>
      </c>
      <c r="T54" t="str">
        <f>chloroform!F59</f>
        <v>12C5</v>
      </c>
    </row>
    <row r="55" spans="11:20" x14ac:dyDescent="0.25">
      <c r="K55">
        <f>chloroform!E60</f>
        <v>193</v>
      </c>
      <c r="L55" s="4">
        <f>Table3[[#This Row],[weight]]*(0.9155*Table2[[#This Row],[J1,2]]-A$9)^2</f>
        <v>1.0568836460187409E-4</v>
      </c>
      <c r="M55" s="4">
        <f>Table3[[#This Row],[weight]]*(0.9155*Table2[[#This Row],[J2,3]]-B$9)^2</f>
        <v>1.8631188565905839E-2</v>
      </c>
      <c r="N55" s="4">
        <f>Table3[[#This Row],[weight]]*(0.9155*Table2[[#This Row],[J34]]-C$9)^2</f>
        <v>3.8516979689828396E-2</v>
      </c>
      <c r="O55" s="4">
        <f>Table3[[#This Row],[weight]]*(0.9155*Table2[[#This Row],[J45]]-D$9)^2</f>
        <v>3.5339346214906635E-2</v>
      </c>
      <c r="P55" s="4">
        <f>Table3[[#This Row],[weight]]*(0.9155*Table2[[#This Row],[J56]]-E$9)^2</f>
        <v>3.965907299701258E-2</v>
      </c>
      <c r="Q55" s="4">
        <f>Table3[[#This Row],[weight]]*(0.9155*Table2[[#This Row],[J67]]-F$9)^2</f>
        <v>1.8440377370040563E-3</v>
      </c>
      <c r="R55" s="4">
        <f>Table3[[#This Row],[weight]]*(0.9155*Table2[[#This Row],[J67'']]-G$9)^2</f>
        <v>2.2513414482421223E-2</v>
      </c>
      <c r="S55">
        <f>chloroform!J60</f>
        <v>9.9618615453542616E-4</v>
      </c>
      <c r="T55" t="str">
        <f>chloroform!F60</f>
        <v>12C5</v>
      </c>
    </row>
    <row r="56" spans="11:20" x14ac:dyDescent="0.25">
      <c r="K56">
        <f>chloroform!E61</f>
        <v>197</v>
      </c>
      <c r="L56" s="4">
        <f>Table3[[#This Row],[weight]]*(0.9155*Table2[[#This Row],[J1,2]]-A$9)^2</f>
        <v>0</v>
      </c>
      <c r="M56" s="4">
        <f>Table3[[#This Row],[weight]]*(0.9155*Table2[[#This Row],[J2,3]]-B$9)^2</f>
        <v>0</v>
      </c>
      <c r="N56" s="4">
        <f>Table3[[#This Row],[weight]]*(0.9155*Table2[[#This Row],[J34]]-C$9)^2</f>
        <v>0</v>
      </c>
      <c r="O56" s="4">
        <f>Table3[[#This Row],[weight]]*(0.9155*Table2[[#This Row],[J45]]-D$9)^2</f>
        <v>0</v>
      </c>
      <c r="P56" s="4">
        <f>Table3[[#This Row],[weight]]*(0.9155*Table2[[#This Row],[J56]]-E$9)^2</f>
        <v>0</v>
      </c>
      <c r="Q56" s="4">
        <f>Table3[[#This Row],[weight]]*(0.9155*Table2[[#This Row],[J67]]-F$9)^2</f>
        <v>0</v>
      </c>
      <c r="R56" s="4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 s="4">
        <f>Table3[[#This Row],[weight]]*(0.9155*Table2[[#This Row],[J1,2]]-A$9)^2</f>
        <v>9.980223205176492E-6</v>
      </c>
      <c r="M57" s="4">
        <f>Table3[[#This Row],[weight]]*(0.9155*Table2[[#This Row],[J2,3]]-B$9)^2</f>
        <v>3.0526952124676038E-7</v>
      </c>
      <c r="N57" s="4">
        <f>Table3[[#This Row],[weight]]*(0.9155*Table2[[#This Row],[J34]]-C$9)^2</f>
        <v>3.4037097241698142E-9</v>
      </c>
      <c r="O57" s="4">
        <f>Table3[[#This Row],[weight]]*(0.9155*Table2[[#This Row],[J45]]-D$9)^2</f>
        <v>6.9227583223160121E-6</v>
      </c>
      <c r="P57" s="4">
        <f>Table3[[#This Row],[weight]]*(0.9155*Table2[[#This Row],[J56]]-E$9)^2</f>
        <v>2.3899423323136927E-5</v>
      </c>
      <c r="Q57" s="4">
        <f>Table3[[#This Row],[weight]]*(0.9155*Table2[[#This Row],[J67]]-F$9)^2</f>
        <v>4.0227200557444336E-5</v>
      </c>
      <c r="R57" s="4">
        <f>Table3[[#This Row],[weight]]*(0.9155*Table2[[#This Row],[J67'']]-G$9)^2</f>
        <v>8.8510797353419303E-4</v>
      </c>
      <c r="S57">
        <f>chloroform!J62</f>
        <v>3.3546528592854553E-5</v>
      </c>
      <c r="T57" t="str">
        <f>chloroform!F62</f>
        <v>5C12</v>
      </c>
    </row>
    <row r="58" spans="11:20" x14ac:dyDescent="0.25">
      <c r="K58">
        <f>chloroform!E63</f>
        <v>212</v>
      </c>
      <c r="L58" s="4">
        <f>Table3[[#This Row],[weight]]*(0.9155*Table2[[#This Row],[J1,2]]-A$9)^2</f>
        <v>9.5591914813115699E-6</v>
      </c>
      <c r="M58" s="4">
        <f>Table3[[#This Row],[weight]]*(0.9155*Table2[[#This Row],[J2,3]]-B$9)^2</f>
        <v>4.7127487405558806E-3</v>
      </c>
      <c r="N58" s="4">
        <f>Table3[[#This Row],[weight]]*(0.9155*Table2[[#This Row],[J34]]-C$9)^2</f>
        <v>1.058708576887449E-2</v>
      </c>
      <c r="O58" s="4">
        <f>Table3[[#This Row],[weight]]*(0.9155*Table2[[#This Row],[J45]]-D$9)^2</f>
        <v>9.1256176618248631E-3</v>
      </c>
      <c r="P58" s="4">
        <f>Table3[[#This Row],[weight]]*(0.9155*Table2[[#This Row],[J56]]-E$9)^2</f>
        <v>8.8288060203885344E-3</v>
      </c>
      <c r="Q58" s="4">
        <f>Table3[[#This Row],[weight]]*(0.9155*Table2[[#This Row],[J67]]-F$9)^2</f>
        <v>2.3602405870093039E-4</v>
      </c>
      <c r="R58" s="4">
        <f>Table3[[#This Row],[weight]]*(0.9155*Table2[[#This Row],[J67'']]-G$9)^2</f>
        <v>6.104337933566269E-3</v>
      </c>
      <c r="S58">
        <f>chloroform!J63</f>
        <v>2.3827472586826856E-4</v>
      </c>
      <c r="T58" t="str">
        <f>chloroform!F63</f>
        <v>12C5</v>
      </c>
    </row>
    <row r="59" spans="11:20" x14ac:dyDescent="0.25">
      <c r="K59">
        <f>chloroform!E64</f>
        <v>215</v>
      </c>
      <c r="L59" s="4">
        <f>Table3[[#This Row],[weight]]*(0.9155*Table2[[#This Row],[J1,2]]-A$9)^2</f>
        <v>1.2800653863100664E-4</v>
      </c>
      <c r="M59" s="4">
        <f>Table3[[#This Row],[weight]]*(0.9155*Table2[[#This Row],[J2,3]]-B$9)^2</f>
        <v>2.8097440956890467E-2</v>
      </c>
      <c r="N59" s="4">
        <f>Table3[[#This Row],[weight]]*(0.9155*Table2[[#This Row],[J34]]-C$9)^2</f>
        <v>4.9274476311866183E-2</v>
      </c>
      <c r="O59" s="4">
        <f>Table3[[#This Row],[weight]]*(0.9155*Table2[[#This Row],[J45]]-D$9)^2</f>
        <v>4.6863454086353361E-2</v>
      </c>
      <c r="P59" s="4">
        <f>Table3[[#This Row],[weight]]*(0.9155*Table2[[#This Row],[J56]]-E$9)^2</f>
        <v>5.6059601213851333E-2</v>
      </c>
      <c r="Q59" s="4">
        <f>Table3[[#This Row],[weight]]*(0.9155*Table2[[#This Row],[J67]]-F$9)^2</f>
        <v>2.7034556166376008E-3</v>
      </c>
      <c r="R59" s="4">
        <f>Table3[[#This Row],[weight]]*(0.9155*Table2[[#This Row],[J67'']]-G$9)^2</f>
        <v>3.0659719144044615E-2</v>
      </c>
      <c r="S59">
        <f>chloroform!J64</f>
        <v>1.3545607204774369E-3</v>
      </c>
      <c r="T59" t="str">
        <f>chloroform!F64</f>
        <v>12C5</v>
      </c>
    </row>
    <row r="60" spans="11:20" x14ac:dyDescent="0.25">
      <c r="K60">
        <f>chloroform!E65</f>
        <v>219</v>
      </c>
      <c r="L60" s="4">
        <f>Table3[[#This Row],[weight]]*(0.9155*Table2[[#This Row],[J1,2]]-A$9)^2</f>
        <v>5.9911734463051632E-5</v>
      </c>
      <c r="M60" s="4">
        <f>Table3[[#This Row],[weight]]*(0.9155*Table2[[#This Row],[J2,3]]-B$9)^2</f>
        <v>1.1042228201647982E-3</v>
      </c>
      <c r="N60" s="4">
        <f>Table3[[#This Row],[weight]]*(0.9155*Table2[[#This Row],[J34]]-C$9)^2</f>
        <v>3.2327548995334959E-3</v>
      </c>
      <c r="O60" s="4">
        <f>Table3[[#This Row],[weight]]*(0.9155*Table2[[#This Row],[J45]]-D$9)^2</f>
        <v>1.7415293214395758E-3</v>
      </c>
      <c r="P60" s="4">
        <f>Table3[[#This Row],[weight]]*(0.9155*Table2[[#This Row],[J56]]-E$9)^2</f>
        <v>2.600441476047077E-3</v>
      </c>
      <c r="Q60" s="4">
        <f>Table3[[#This Row],[weight]]*(0.9155*Table2[[#This Row],[J67]]-F$9)^2</f>
        <v>2.7492132106256371E-4</v>
      </c>
      <c r="R60" s="4">
        <f>Table3[[#This Row],[weight]]*(0.9155*Table2[[#This Row],[J67'']]-G$9)^2</f>
        <v>1.8238433997702064E-3</v>
      </c>
      <c r="S60">
        <f>chloroform!J65</f>
        <v>7.6320176629363033E-5</v>
      </c>
      <c r="T60" t="str">
        <f>chloroform!F65</f>
        <v>12C5</v>
      </c>
    </row>
    <row r="61" spans="11:20" x14ac:dyDescent="0.25">
      <c r="K61">
        <f>chloroform!E66</f>
        <v>220</v>
      </c>
      <c r="L61" s="4">
        <f>Table3[[#This Row],[weight]]*(0.9155*Table2[[#This Row],[J1,2]]-A$9)^2</f>
        <v>0</v>
      </c>
      <c r="M61" s="4">
        <f>Table3[[#This Row],[weight]]*(0.9155*Table2[[#This Row],[J2,3]]-B$9)^2</f>
        <v>0</v>
      </c>
      <c r="N61" s="4">
        <f>Table3[[#This Row],[weight]]*(0.9155*Table2[[#This Row],[J34]]-C$9)^2</f>
        <v>0</v>
      </c>
      <c r="O61" s="4">
        <f>Table3[[#This Row],[weight]]*(0.9155*Table2[[#This Row],[J45]]-D$9)^2</f>
        <v>0</v>
      </c>
      <c r="P61" s="4">
        <f>Table3[[#This Row],[weight]]*(0.9155*Table2[[#This Row],[J56]]-E$9)^2</f>
        <v>0</v>
      </c>
      <c r="Q61" s="4">
        <f>Table3[[#This Row],[weight]]*(0.9155*Table2[[#This Row],[J67]]-F$9)^2</f>
        <v>0</v>
      </c>
      <c r="R61" s="4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 s="4">
        <f>Table3[[#This Row],[weight]]*(0.9155*Table2[[#This Row],[J1,2]]-A$9)^2</f>
        <v>1.4465227345072392E-4</v>
      </c>
      <c r="M62" s="4">
        <f>Table3[[#This Row],[weight]]*(0.9155*Table2[[#This Row],[J2,3]]-B$9)^2</f>
        <v>2.048408870023578E-2</v>
      </c>
      <c r="N62" s="4">
        <f>Table3[[#This Row],[weight]]*(0.9155*Table2[[#This Row],[J34]]-C$9)^2</f>
        <v>4.3027250790742849E-2</v>
      </c>
      <c r="O62" s="4">
        <f>Table3[[#This Row],[weight]]*(0.9155*Table2[[#This Row],[J45]]-D$9)^2</f>
        <v>3.7904745484287065E-2</v>
      </c>
      <c r="P62" s="4">
        <f>Table3[[#This Row],[weight]]*(0.9155*Table2[[#This Row],[J56]]-E$9)^2</f>
        <v>4.2361198576073372E-2</v>
      </c>
      <c r="Q62" s="4">
        <f>Table3[[#This Row],[weight]]*(0.9155*Table2[[#This Row],[J67]]-F$9)^2</f>
        <v>2.8511384122120423E-3</v>
      </c>
      <c r="R62" s="4">
        <f>Table3[[#This Row],[weight]]*(0.9155*Table2[[#This Row],[J67'']]-G$9)^2</f>
        <v>2.9308707933042299E-2</v>
      </c>
      <c r="S62">
        <f>chloroform!J67</f>
        <v>1.1017794293864231E-3</v>
      </c>
      <c r="T62" t="str">
        <f>chloroform!F67</f>
        <v>12C5</v>
      </c>
    </row>
    <row r="63" spans="11:20" x14ac:dyDescent="0.25">
      <c r="K63">
        <f>chloroform!E68</f>
        <v>272</v>
      </c>
      <c r="L63" s="4">
        <f>Table3[[#This Row],[weight]]*(0.9155*Table2[[#This Row],[J1,2]]-A$9)^2</f>
        <v>5.9942707524154924E-4</v>
      </c>
      <c r="M63" s="4">
        <f>Table3[[#This Row],[weight]]*(0.9155*Table2[[#This Row],[J2,3]]-B$9)^2</f>
        <v>6.9206411040237831E-5</v>
      </c>
      <c r="N63" s="4">
        <f>Table3[[#This Row],[weight]]*(0.9155*Table2[[#This Row],[J34]]-C$9)^2</f>
        <v>1.2050316791505141E-3</v>
      </c>
      <c r="O63" s="4">
        <f>Table3[[#This Row],[weight]]*(0.9155*Table2[[#This Row],[J45]]-D$9)^2</f>
        <v>1.9858022394076511E-4</v>
      </c>
      <c r="P63" s="4">
        <f>Table3[[#This Row],[weight]]*(0.9155*Table2[[#This Row],[J56]]-E$9)^2</f>
        <v>9.7299691137153155E-5</v>
      </c>
      <c r="Q63" s="4">
        <f>Table3[[#This Row],[weight]]*(0.9155*Table2[[#This Row],[J67]]-F$9)^2</f>
        <v>3.9012428669516359E-5</v>
      </c>
      <c r="R63" s="4">
        <f>Table3[[#This Row],[weight]]*(0.9155*Table2[[#This Row],[J67'']]-G$9)^2</f>
        <v>2.9021001743088229E-3</v>
      </c>
      <c r="S63">
        <f>chloroform!J68</f>
        <v>1.9376116686611894E-4</v>
      </c>
      <c r="T63" t="str">
        <f>chloroform!F68</f>
        <v>5C12</v>
      </c>
    </row>
    <row r="64" spans="11:20" x14ac:dyDescent="0.25">
      <c r="K64">
        <f>chloroform!E69</f>
        <v>276</v>
      </c>
      <c r="L64" s="4">
        <f>Table3[[#This Row],[weight]]*(0.9155*Table2[[#This Row],[J1,2]]-A$9)^2</f>
        <v>2.7418362043425574E-5</v>
      </c>
      <c r="M64" s="4">
        <f>Table3[[#This Row],[weight]]*(0.9155*Table2[[#This Row],[J2,3]]-B$9)^2</f>
        <v>9.4607135756959984E-4</v>
      </c>
      <c r="N64" s="4">
        <f>Table3[[#This Row],[weight]]*(0.9155*Table2[[#This Row],[J34]]-C$9)^2</f>
        <v>3.3643335390377789E-4</v>
      </c>
      <c r="O64" s="4">
        <f>Table3[[#This Row],[weight]]*(0.9155*Table2[[#This Row],[J45]]-D$9)^2</f>
        <v>3.3204489227602555E-3</v>
      </c>
      <c r="P64" s="4">
        <f>Table3[[#This Row],[weight]]*(0.9155*Table2[[#This Row],[J56]]-E$9)^2</f>
        <v>6.5787151156916745E-6</v>
      </c>
      <c r="Q64" s="4">
        <f>Table3[[#This Row],[weight]]*(0.9155*Table2[[#This Row],[J67]]-F$9)^2</f>
        <v>2.1071952920385678E-5</v>
      </c>
      <c r="R64" s="4">
        <f>Table3[[#This Row],[weight]]*(0.9155*Table2[[#This Row],[J67'']]-G$9)^2</f>
        <v>5.1352022190011878E-4</v>
      </c>
      <c r="S64">
        <f>chloroform!J69</f>
        <v>3.6927093872296872E-5</v>
      </c>
      <c r="T64" t="str">
        <f>chloroform!F69</f>
        <v>4H6</v>
      </c>
    </row>
    <row r="65" spans="11:20" x14ac:dyDescent="0.25">
      <c r="K65">
        <f>chloroform!E70</f>
        <v>278</v>
      </c>
      <c r="L65" s="4">
        <f>Table3[[#This Row],[weight]]*(0.9155*Table2[[#This Row],[J1,2]]-A$9)^2</f>
        <v>0</v>
      </c>
      <c r="M65" s="4">
        <f>Table3[[#This Row],[weight]]*(0.9155*Table2[[#This Row],[J2,3]]-B$9)^2</f>
        <v>0</v>
      </c>
      <c r="N65" s="4">
        <f>Table3[[#This Row],[weight]]*(0.9155*Table2[[#This Row],[J34]]-C$9)^2</f>
        <v>0</v>
      </c>
      <c r="O65" s="4">
        <f>Table3[[#This Row],[weight]]*(0.9155*Table2[[#This Row],[J45]]-D$9)^2</f>
        <v>0</v>
      </c>
      <c r="P65" s="4">
        <f>Table3[[#This Row],[weight]]*(0.9155*Table2[[#This Row],[J56]]-E$9)^2</f>
        <v>0</v>
      </c>
      <c r="Q65" s="4">
        <f>Table3[[#This Row],[weight]]*(0.9155*Table2[[#This Row],[J67]]-F$9)^2</f>
        <v>0</v>
      </c>
      <c r="R65" s="4">
        <f>Table3[[#This Row],[weight]]*(0.9155*Table2[[#This Row],[J67'']]-G$9)^2</f>
        <v>0</v>
      </c>
      <c r="S65">
        <f>chloroform!J70</f>
        <v>0</v>
      </c>
      <c r="T65" t="str">
        <f>chloroform!F70</f>
        <v>5C12</v>
      </c>
    </row>
    <row r="66" spans="11:20" x14ac:dyDescent="0.25">
      <c r="K66">
        <f>chloroform!E71</f>
        <v>283</v>
      </c>
      <c r="L66" s="4">
        <f>Table3[[#This Row],[weight]]*(0.9155*Table2[[#This Row],[J1,2]]-A$9)^2</f>
        <v>2.025661667817967E-4</v>
      </c>
      <c r="M66" s="4">
        <f>Table3[[#This Row],[weight]]*(0.9155*Table2[[#This Row],[J2,3]]-B$9)^2</f>
        <v>1.0868974550830897E-5</v>
      </c>
      <c r="N66" s="4">
        <f>Table3[[#This Row],[weight]]*(0.9155*Table2[[#This Row],[J34]]-C$9)^2</f>
        <v>1.3007094143894021E-4</v>
      </c>
      <c r="O66" s="4">
        <f>Table3[[#This Row],[weight]]*(0.9155*Table2[[#This Row],[J45]]-D$9)^2</f>
        <v>1.0363158716581117E-4</v>
      </c>
      <c r="P66" s="4">
        <f>Table3[[#This Row],[weight]]*(0.9155*Table2[[#This Row],[J56]]-E$9)^2</f>
        <v>1.1189826836408939E-5</v>
      </c>
      <c r="Q66" s="4">
        <f>Table3[[#This Row],[weight]]*(0.9155*Table2[[#This Row],[J67]]-F$9)^2</f>
        <v>4.0682096253306637E-3</v>
      </c>
      <c r="R66" s="4">
        <f>Table3[[#This Row],[weight]]*(0.9155*Table2[[#This Row],[J67'']]-G$9)^2</f>
        <v>7.530738887053008E-4</v>
      </c>
      <c r="S66">
        <f>chloroform!J71</f>
        <v>7.1524787727351489E-5</v>
      </c>
      <c r="T66" t="str">
        <f>chloroform!F71</f>
        <v>5C12</v>
      </c>
    </row>
    <row r="67" spans="11:20" x14ac:dyDescent="0.25">
      <c r="K67">
        <f>chloroform!E72</f>
        <v>290</v>
      </c>
      <c r="L67" s="4">
        <f>Table3[[#This Row],[weight]]*(0.9155*Table2[[#This Row],[J1,2]]-A$9)^2</f>
        <v>0</v>
      </c>
      <c r="M67" s="4">
        <f>Table3[[#This Row],[weight]]*(0.9155*Table2[[#This Row],[J2,3]]-B$9)^2</f>
        <v>0</v>
      </c>
      <c r="N67" s="4">
        <f>Table3[[#This Row],[weight]]*(0.9155*Table2[[#This Row],[J34]]-C$9)^2</f>
        <v>0</v>
      </c>
      <c r="O67" s="4">
        <f>Table3[[#This Row],[weight]]*(0.9155*Table2[[#This Row],[J45]]-D$9)^2</f>
        <v>0</v>
      </c>
      <c r="P67" s="4">
        <f>Table3[[#This Row],[weight]]*(0.9155*Table2[[#This Row],[J56]]-E$9)^2</f>
        <v>0</v>
      </c>
      <c r="Q67" s="4">
        <f>Table3[[#This Row],[weight]]*(0.9155*Table2[[#This Row],[J67]]-F$9)^2</f>
        <v>0</v>
      </c>
      <c r="R67" s="4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 s="4">
        <f>Table3[[#This Row],[weight]]*(0.9155*Table2[[#This Row],[J1,2]]-A$9)^2</f>
        <v>0</v>
      </c>
      <c r="M68" s="4">
        <f>Table3[[#This Row],[weight]]*(0.9155*Table2[[#This Row],[J2,3]]-B$9)^2</f>
        <v>0</v>
      </c>
      <c r="N68" s="4">
        <f>Table3[[#This Row],[weight]]*(0.9155*Table2[[#This Row],[J34]]-C$9)^2</f>
        <v>0</v>
      </c>
      <c r="O68" s="4">
        <f>Table3[[#This Row],[weight]]*(0.9155*Table2[[#This Row],[J45]]-D$9)^2</f>
        <v>0</v>
      </c>
      <c r="P68" s="4">
        <f>Table3[[#This Row],[weight]]*(0.9155*Table2[[#This Row],[J56]]-E$9)^2</f>
        <v>0</v>
      </c>
      <c r="Q68" s="4">
        <f>Table3[[#This Row],[weight]]*(0.9155*Table2[[#This Row],[J67]]-F$9)^2</f>
        <v>0</v>
      </c>
      <c r="R68" s="4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 s="4">
        <f>Table3[[#This Row],[weight]]*(0.9155*Table2[[#This Row],[J1,2]]-A$9)^2</f>
        <v>3.2227393592488667E-5</v>
      </c>
      <c r="M69" s="4">
        <f>Table3[[#This Row],[weight]]*(0.9155*Table2[[#This Row],[J2,3]]-B$9)^2</f>
        <v>7.908294542809353E-4</v>
      </c>
      <c r="N69" s="4">
        <f>Table3[[#This Row],[weight]]*(0.9155*Table2[[#This Row],[J34]]-C$9)^2</f>
        <v>3.0501509401708292E-4</v>
      </c>
      <c r="O69" s="4">
        <f>Table3[[#This Row],[weight]]*(0.9155*Table2[[#This Row],[J45]]-D$9)^2</f>
        <v>2.8728077203132273E-3</v>
      </c>
      <c r="P69" s="4">
        <f>Table3[[#This Row],[weight]]*(0.9155*Table2[[#This Row],[J56]]-E$9)^2</f>
        <v>1.8167822615855263E-5</v>
      </c>
      <c r="Q69" s="4">
        <f>Table3[[#This Row],[weight]]*(0.9155*Table2[[#This Row],[J67]]-F$9)^2</f>
        <v>7.8518322847229049E-5</v>
      </c>
      <c r="R69" s="4">
        <f>Table3[[#This Row],[weight]]*(0.9155*Table2[[#This Row],[J67'']]-G$9)^2</f>
        <v>8.0707857911579246E-4</v>
      </c>
      <c r="S69">
        <f>chloroform!J74</f>
        <v>3.395064000996668E-5</v>
      </c>
      <c r="T69" t="str">
        <f>chloroform!F74</f>
        <v>4H6</v>
      </c>
    </row>
    <row r="70" spans="11:20" x14ac:dyDescent="0.25">
      <c r="K70">
        <f>chloroform!E75</f>
        <v>396</v>
      </c>
      <c r="L70" s="4">
        <f>Table3[[#This Row],[weight]]*(0.9155*Table2[[#This Row],[J1,2]]-A$9)^2</f>
        <v>0</v>
      </c>
      <c r="M70" s="4">
        <f>Table3[[#This Row],[weight]]*(0.9155*Table2[[#This Row],[J2,3]]-B$9)^2</f>
        <v>0</v>
      </c>
      <c r="N70" s="4">
        <f>Table3[[#This Row],[weight]]*(0.9155*Table2[[#This Row],[J34]]-C$9)^2</f>
        <v>0</v>
      </c>
      <c r="O70" s="4">
        <f>Table3[[#This Row],[weight]]*(0.9155*Table2[[#This Row],[J45]]-D$9)^2</f>
        <v>0</v>
      </c>
      <c r="P70" s="4">
        <f>Table3[[#This Row],[weight]]*(0.9155*Table2[[#This Row],[J56]]-E$9)^2</f>
        <v>0</v>
      </c>
      <c r="Q70" s="4">
        <f>Table3[[#This Row],[weight]]*(0.9155*Table2[[#This Row],[J67]]-F$9)^2</f>
        <v>0</v>
      </c>
      <c r="R70" s="4">
        <f>Table3[[#This Row],[weight]]*(0.9155*Table2[[#This Row],[J67'']]-G$9)^2</f>
        <v>0</v>
      </c>
      <c r="S70">
        <f>chloroform!J75</f>
        <v>0</v>
      </c>
      <c r="T70" t="str">
        <f>chloroform!F75</f>
        <v>4H6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0C877-BDD3-45E1-BA89-4846EDD764E0}">
  <dimension ref="A1:T70"/>
  <sheetViews>
    <sheetView workbookViewId="0">
      <selection activeCell="H6" sqref="H6"/>
    </sheetView>
  </sheetViews>
  <sheetFormatPr defaultRowHeight="15" x14ac:dyDescent="0.25"/>
  <cols>
    <col min="1" max="1" width="14.5703125" customWidth="1"/>
    <col min="11" max="11" width="10.5703125" customWidth="1"/>
    <col min="20" max="20" width="14" customWidth="1"/>
  </cols>
  <sheetData>
    <row r="1" spans="1:20" x14ac:dyDescent="0.25">
      <c r="A1" t="s">
        <v>77</v>
      </c>
      <c r="B1">
        <f>SUMIF(Table1[Classification],E1,Table1[weight])</f>
        <v>0.77916258284268636</v>
      </c>
      <c r="D1" t="s">
        <v>11</v>
      </c>
      <c r="E1" t="s">
        <v>17</v>
      </c>
      <c r="G1">
        <f>COUNTIF(Table3[classification],E1)</f>
        <v>17</v>
      </c>
      <c r="K1" t="s">
        <v>76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74</v>
      </c>
      <c r="S1" t="s">
        <v>15</v>
      </c>
      <c r="T1" t="s">
        <v>75</v>
      </c>
    </row>
    <row r="2" spans="1:20" x14ac:dyDescent="0.25">
      <c r="K2">
        <f>chloroform!E7</f>
        <v>2</v>
      </c>
      <c r="L2">
        <f>Table3[[#This Row],[weight]]*(0.9155*Table2[[#This Row],[J1,2]]-A$9)^2</f>
        <v>4.7037054349680779E-4</v>
      </c>
      <c r="M2">
        <f>Table3[[#This Row],[weight]]*(0.9155*Table2[[#This Row],[J2,3]]-B$9)^2</f>
        <v>1.0118988673933682E-8</v>
      </c>
      <c r="N2">
        <f>Table3[[#This Row],[weight]]*(0.9155*Table2[[#This Row],[J34]]-C$9)^2</f>
        <v>3.2527034186613222E-3</v>
      </c>
      <c r="O2">
        <f>Table3[[#This Row],[weight]]*(0.9155*Table2[[#This Row],[J45]]-D$9)^2</f>
        <v>1.7929738240024134E-3</v>
      </c>
      <c r="P2">
        <f>Table3[[#This Row],[weight]]*(0.9155*Table2[[#This Row],[J56]]-E$9)^2</f>
        <v>4.1249083814277426E-4</v>
      </c>
      <c r="Q2">
        <f>Table3[[#This Row],[weight]]*(0.9155*Table2[[#This Row],[J67]]-F$9)^2</f>
        <v>1.8686022069340906E-4</v>
      </c>
      <c r="R2">
        <f>Table3[[#This Row],[weight]]*(0.9155*Table2[[#This Row],[J67'']]-G$9)^2</f>
        <v>0.32971393284764527</v>
      </c>
      <c r="S2">
        <f>chloroform!J7</f>
        <v>1.9057249081052711E-2</v>
      </c>
      <c r="T2" t="str">
        <f>chloroform!F7</f>
        <v>4H6</v>
      </c>
    </row>
    <row r="3" spans="1:20" x14ac:dyDescent="0.25">
      <c r="A3" t="s">
        <v>91</v>
      </c>
      <c r="K3">
        <f>chloroform!E8</f>
        <v>3</v>
      </c>
      <c r="L3">
        <f>Table3[[#This Row],[weight]]*(0.9155*Table2[[#This Row],[J1,2]]-A$9)^2</f>
        <v>1.0771357068767323E-5</v>
      </c>
      <c r="M3">
        <f>Table3[[#This Row],[weight]]*(0.9155*Table2[[#This Row],[J2,3]]-B$9)^2</f>
        <v>3.1518248255214911E-3</v>
      </c>
      <c r="N3">
        <f>Table3[[#This Row],[weight]]*(0.9155*Table2[[#This Row],[J34]]-C$9)^2</f>
        <v>1.6266247227126853E-4</v>
      </c>
      <c r="O3">
        <f>Table3[[#This Row],[weight]]*(0.9155*Table2[[#This Row],[J45]]-D$9)^2</f>
        <v>1.2041411025888706E-5</v>
      </c>
      <c r="P3">
        <f>Table3[[#This Row],[weight]]*(0.9155*Table2[[#This Row],[J56]]-E$9)^2</f>
        <v>2.5794970626665538E-3</v>
      </c>
      <c r="Q3">
        <f>Table3[[#This Row],[weight]]*(0.9155*Table2[[#This Row],[J67]]-F$9)^2</f>
        <v>1.8000962452539631E-3</v>
      </c>
      <c r="R3">
        <f>Table3[[#This Row],[weight]]*(0.9155*Table2[[#This Row],[J67'']]-G$9)^2</f>
        <v>0.37651575804863202</v>
      </c>
      <c r="S3">
        <f>chloroform!J8</f>
        <v>2.3063301668355084E-2</v>
      </c>
      <c r="T3" t="str">
        <f>chloroform!F8</f>
        <v>4H6</v>
      </c>
    </row>
    <row r="4" spans="1:20" x14ac:dyDescent="0.25">
      <c r="A4" t="s">
        <v>67</v>
      </c>
      <c r="B4" t="s">
        <v>68</v>
      </c>
      <c r="C4" t="s">
        <v>69</v>
      </c>
      <c r="D4" t="s">
        <v>70</v>
      </c>
      <c r="E4" t="s">
        <v>71</v>
      </c>
      <c r="F4" t="s">
        <v>72</v>
      </c>
      <c r="G4" t="s">
        <v>74</v>
      </c>
      <c r="K4">
        <f>chloroform!E9</f>
        <v>4</v>
      </c>
      <c r="L4">
        <f>Table3[[#This Row],[weight]]*(0.9155*Table2[[#This Row],[J1,2]]-A$9)^2</f>
        <v>7.7924932005807133E-6</v>
      </c>
      <c r="M4">
        <f>Table3[[#This Row],[weight]]*(0.9155*Table2[[#This Row],[J2,3]]-B$9)^2</f>
        <v>6.5839918769679887E-3</v>
      </c>
      <c r="N4">
        <f>Table3[[#This Row],[weight]]*(0.9155*Table2[[#This Row],[J34]]-C$9)^2</f>
        <v>4.3194969457107379E-3</v>
      </c>
      <c r="O4">
        <f>Table3[[#This Row],[weight]]*(0.9155*Table2[[#This Row],[J45]]-D$9)^2</f>
        <v>8.4935531879007397E-4</v>
      </c>
      <c r="P4">
        <f>Table3[[#This Row],[weight]]*(0.9155*Table2[[#This Row],[J56]]-E$9)^2</f>
        <v>2.5051300350341843E-3</v>
      </c>
      <c r="Q4">
        <f>Table3[[#This Row],[weight]]*(0.9155*Table2[[#This Row],[J67]]-F$9)^2</f>
        <v>2.2860971261635717E-2</v>
      </c>
      <c r="R4">
        <f>Table3[[#This Row],[weight]]*(0.9155*Table2[[#This Row],[J67'']]-G$9)^2</f>
        <v>0.37590983258836691</v>
      </c>
      <c r="S4">
        <f>chloroform!J9</f>
        <v>7.1611254903191077E-2</v>
      </c>
      <c r="T4" t="str">
        <f>chloroform!F9</f>
        <v>4H6</v>
      </c>
    </row>
    <row r="5" spans="1:20" x14ac:dyDescent="0.25">
      <c r="A5">
        <f>SUMIF(Table1[Classification],E1,Table2[J1,23])/$B$1</f>
        <v>7.1853984805092068</v>
      </c>
      <c r="B5">
        <f>SUMIF(Table1[Classification],E1,Table2[J2,34])/$B$1</f>
        <v>7.8621271826847243</v>
      </c>
      <c r="C5">
        <f>SUMIF(Table1[Classification],E1,Table2[J345])/$B$1</f>
        <v>5.5302908679706384</v>
      </c>
      <c r="D5">
        <f>SUMIF(Table1[Classification],E1,Table2[J456])/$B$1</f>
        <v>0.536445065742993</v>
      </c>
      <c r="E5">
        <f>SUMIF(Table1[Classification],E1,Table2[J567])/$B$1</f>
        <v>10.941414193724865</v>
      </c>
      <c r="F5">
        <f>SUMIF(Table1[Classification],E1,Table2[J678])/$B$1</f>
        <v>1.4475527315770094</v>
      </c>
      <c r="G5">
        <f>SUMIF(Table1[Classification],E1,Table2[J67''9])/$B$1</f>
        <v>5.2820762479321184</v>
      </c>
      <c r="K5">
        <f>chloroform!E10</f>
        <v>6</v>
      </c>
      <c r="L5">
        <f>Table3[[#This Row],[weight]]*(0.9155*Table2[[#This Row],[J1,2]]-A$9)^2</f>
        <v>2.4933860813346857E-3</v>
      </c>
      <c r="M5">
        <f>Table3[[#This Row],[weight]]*(0.9155*Table2[[#This Row],[J2,3]]-B$9)^2</f>
        <v>9.339876279842438E-6</v>
      </c>
      <c r="N5">
        <f>Table3[[#This Row],[weight]]*(0.9155*Table2[[#This Row],[J34]]-C$9)^2</f>
        <v>1.3387490922267882E-2</v>
      </c>
      <c r="O5">
        <f>Table3[[#This Row],[weight]]*(0.9155*Table2[[#This Row],[J45]]-D$9)^2</f>
        <v>5.2911055773838273E-3</v>
      </c>
      <c r="P5">
        <f>Table3[[#This Row],[weight]]*(0.9155*Table2[[#This Row],[J56]]-E$9)^2</f>
        <v>1.691785183857159E-3</v>
      </c>
      <c r="Q5">
        <f>Table3[[#This Row],[weight]]*(0.9155*Table2[[#This Row],[J67]]-F$9)^2</f>
        <v>1.1949690331499084E-2</v>
      </c>
      <c r="R5">
        <f>Table3[[#This Row],[weight]]*(0.9155*Table2[[#This Row],[J67'']]-G$9)^2</f>
        <v>0.69199600299982567</v>
      </c>
      <c r="S5">
        <f>chloroform!J10</f>
        <v>9.561004784446335E-2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1.2451073101346743E-3</v>
      </c>
      <c r="M6">
        <f>Table3[[#This Row],[weight]]*(0.9155*Table2[[#This Row],[J2,3]]-B$9)^2</f>
        <v>2.5098280921666415E-3</v>
      </c>
      <c r="N6">
        <f>Table3[[#This Row],[weight]]*(0.9155*Table2[[#This Row],[J34]]-C$9)^2</f>
        <v>2.0522170152232653E-2</v>
      </c>
      <c r="O6">
        <f>Table3[[#This Row],[weight]]*(0.9155*Table2[[#This Row],[J45]]-D$9)^2</f>
        <v>7.500296172286855E-2</v>
      </c>
      <c r="P6">
        <f>Table3[[#This Row],[weight]]*(0.9155*Table2[[#This Row],[J56]]-E$9)^2</f>
        <v>1.6012240739909124E-2</v>
      </c>
      <c r="Q6">
        <f>Table3[[#This Row],[weight]]*(0.9155*Table2[[#This Row],[J67]]-F$9)^2</f>
        <v>4.1505041774583389E-5</v>
      </c>
      <c r="R6">
        <f>Table3[[#This Row],[weight]]*(0.9155*Table2[[#This Row],[J67'']]-G$9)^2</f>
        <v>2.411199699654476E-2</v>
      </c>
      <c r="S6">
        <f>chloroform!J11</f>
        <v>2.4965322936553718E-3</v>
      </c>
      <c r="T6" t="str">
        <f>chloroform!F11</f>
        <v>45TH</v>
      </c>
    </row>
    <row r="7" spans="1:20" x14ac:dyDescent="0.25">
      <c r="A7" t="s">
        <v>92</v>
      </c>
      <c r="K7">
        <f>chloroform!E12</f>
        <v>8</v>
      </c>
      <c r="L7">
        <f>Table3[[#This Row],[weight]]*(0.9155*Table2[[#This Row],[J1,2]]-A$9)^2</f>
        <v>1.8611746371391201E-3</v>
      </c>
      <c r="M7">
        <f>Table3[[#This Row],[weight]]*(0.9155*Table2[[#This Row],[J2,3]]-B$9)^2</f>
        <v>1.2437486002846837E-2</v>
      </c>
      <c r="N7">
        <f>Table3[[#This Row],[weight]]*(0.9155*Table2[[#This Row],[J34]]-C$9)^2</f>
        <v>1.1620708749133297E-2</v>
      </c>
      <c r="O7">
        <f>Table3[[#This Row],[weight]]*(0.9155*Table2[[#This Row],[J45]]-D$9)^2</f>
        <v>8.5225348126405798E-4</v>
      </c>
      <c r="P7">
        <f>Table3[[#This Row],[weight]]*(0.9155*Table2[[#This Row],[J56]]-E$9)^2</f>
        <v>2.2050338937416756E-3</v>
      </c>
      <c r="Q7">
        <f>Table3[[#This Row],[weight]]*(0.9155*Table2[[#This Row],[J67]]-F$9)^2</f>
        <v>1.8568823087425888E-3</v>
      </c>
      <c r="R7">
        <f>Table3[[#This Row],[weight]]*(0.9155*Table2[[#This Row],[J67'']]-G$9)^2</f>
        <v>0.44614883736634409</v>
      </c>
      <c r="S7">
        <f>chloroform!J12</f>
        <v>5.4209287132338149E-2</v>
      </c>
      <c r="T7" t="str">
        <f>chloroform!F12</f>
        <v>4H6</v>
      </c>
    </row>
    <row r="8" spans="1:20" x14ac:dyDescent="0.25">
      <c r="A8" t="s">
        <v>67</v>
      </c>
      <c r="B8" t="s">
        <v>68</v>
      </c>
      <c r="C8" t="s">
        <v>69</v>
      </c>
      <c r="D8" t="s">
        <v>70</v>
      </c>
      <c r="E8" t="s">
        <v>71</v>
      </c>
      <c r="F8" t="s">
        <v>72</v>
      </c>
      <c r="G8" t="s">
        <v>74</v>
      </c>
      <c r="K8">
        <f>chloroform!E13</f>
        <v>9</v>
      </c>
      <c r="L8">
        <f>Table3[[#This Row],[weight]]*(0.9155*Table2[[#This Row],[J1,2]]-A$9)^2</f>
        <v>5.0496191006411104E-4</v>
      </c>
      <c r="M8">
        <f>Table3[[#This Row],[weight]]*(0.9155*Table2[[#This Row],[J2,3]]-B$9)^2</f>
        <v>2.6259937057122353E-4</v>
      </c>
      <c r="N8">
        <f>Table3[[#This Row],[weight]]*(0.9155*Table2[[#This Row],[J34]]-C$9)^2</f>
        <v>7.7542804786701414E-3</v>
      </c>
      <c r="O8">
        <f>Table3[[#This Row],[weight]]*(0.9155*Table2[[#This Row],[J45]]-D$9)^2</f>
        <v>3.1903492336908192E-3</v>
      </c>
      <c r="P8">
        <f>Table3[[#This Row],[weight]]*(0.9155*Table2[[#This Row],[J56]]-E$9)^2</f>
        <v>1.6136941780101339E-3</v>
      </c>
      <c r="Q8">
        <f>Table3[[#This Row],[weight]]*(0.9155*Table2[[#This Row],[J67]]-F$9)^2</f>
        <v>4.1094916935737712E-2</v>
      </c>
      <c r="R8">
        <f>Table3[[#This Row],[weight]]*(0.9155*Table2[[#This Row],[J67'']]-G$9)^2</f>
        <v>0.81995905273654435</v>
      </c>
      <c r="S8">
        <f>chloroform!J13</f>
        <v>4.7513988929985589E-2</v>
      </c>
      <c r="T8" t="str">
        <f>chloroform!F13</f>
        <v>4H6</v>
      </c>
    </row>
    <row r="9" spans="1:20" x14ac:dyDescent="0.25">
      <c r="A9">
        <f>A5</f>
        <v>7.1853984805092068</v>
      </c>
      <c r="B9">
        <f t="shared" ref="B9:G9" si="0">B5</f>
        <v>7.8621271826847243</v>
      </c>
      <c r="C9">
        <f>C5</f>
        <v>5.5302908679706384</v>
      </c>
      <c r="D9">
        <f t="shared" si="0"/>
        <v>0.536445065742993</v>
      </c>
      <c r="E9">
        <f t="shared" si="0"/>
        <v>10.941414193724865</v>
      </c>
      <c r="F9">
        <f t="shared" si="0"/>
        <v>1.4475527315770094</v>
      </c>
      <c r="G9">
        <f t="shared" si="0"/>
        <v>5.2820762479321184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7.9589863276937779E-3</v>
      </c>
      <c r="M10">
        <f>Table3[[#This Row],[weight]]*(0.9155*Table2[[#This Row],[J2,3]]-B$9)^2</f>
        <v>3.394019930664341E-3</v>
      </c>
      <c r="N10">
        <f>Table3[[#This Row],[weight]]*(0.9155*Table2[[#This Row],[J34]]-C$9)^2</f>
        <v>0.15979366032192294</v>
      </c>
      <c r="O10">
        <f>Table3[[#This Row],[weight]]*(0.9155*Table2[[#This Row],[J45]]-D$9)^2</f>
        <v>0.35407186736724494</v>
      </c>
      <c r="P10">
        <f>Table3[[#This Row],[weight]]*(0.9155*Table2[[#This Row],[J56]]-E$9)^2</f>
        <v>6.0545103983111193E-2</v>
      </c>
      <c r="Q10">
        <f>Table3[[#This Row],[weight]]*(0.9155*Table2[[#This Row],[J67]]-F$9)^2</f>
        <v>2.154134437385944E-2</v>
      </c>
      <c r="R10">
        <f>Table3[[#This Row],[weight]]*(0.9155*Table2[[#This Row],[J67'']]-G$9)^2</f>
        <v>0.37314356110143249</v>
      </c>
      <c r="S10">
        <f>chloroform!J15</f>
        <v>1.2857486644294968E-2</v>
      </c>
      <c r="T10" t="str">
        <f>chloroform!F15</f>
        <v>45TH</v>
      </c>
    </row>
    <row r="11" spans="1:20" x14ac:dyDescent="0.25">
      <c r="A11" t="s">
        <v>93</v>
      </c>
      <c r="K11">
        <f>chloroform!E16</f>
        <v>16</v>
      </c>
      <c r="L11">
        <f>Table3[[#This Row],[weight]]*(0.9155*Table2[[#This Row],[J1,2]]-A$9)^2</f>
        <v>2.7924547677354107E-4</v>
      </c>
      <c r="M11">
        <f>Table3[[#This Row],[weight]]*(0.9155*Table2[[#This Row],[J2,3]]-B$9)^2</f>
        <v>2.7664093535281855E-3</v>
      </c>
      <c r="N11">
        <f>Table3[[#This Row],[weight]]*(0.9155*Table2[[#This Row],[J34]]-C$9)^2</f>
        <v>6.3168262066008868E-3</v>
      </c>
      <c r="O11">
        <f>Table3[[#This Row],[weight]]*(0.9155*Table2[[#This Row],[J45]]-D$9)^2</f>
        <v>3.7840261156295188E-3</v>
      </c>
      <c r="P11">
        <f>Table3[[#This Row],[weight]]*(0.9155*Table2[[#This Row],[J56]]-E$9)^2</f>
        <v>4.0720552232943398E-5</v>
      </c>
      <c r="Q11">
        <f>Table3[[#This Row],[weight]]*(0.9155*Table2[[#This Row],[J67]]-F$9)^2</f>
        <v>5.5177341714206192E-2</v>
      </c>
      <c r="R11">
        <f>Table3[[#This Row],[weight]]*(0.9155*Table2[[#This Row],[J67'']]-G$9)^2</f>
        <v>1.5829971655817516</v>
      </c>
      <c r="S11">
        <f>chloroform!J16</f>
        <v>9.7707504565616082E-2</v>
      </c>
      <c r="T11" t="str">
        <f>chloroform!F16</f>
        <v>4H6</v>
      </c>
    </row>
    <row r="12" spans="1:20" x14ac:dyDescent="0.25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  <c r="G12" t="s">
        <v>74</v>
      </c>
      <c r="K12">
        <f>chloroform!E17</f>
        <v>17</v>
      </c>
      <c r="L12">
        <f>Table3[[#This Row],[weight]]*(0.9155*Table2[[#This Row],[J1,2]]-A$9)^2</f>
        <v>2.6550378189180501E-2</v>
      </c>
      <c r="M12">
        <f>Table3[[#This Row],[weight]]*(0.9155*Table2[[#This Row],[J2,3]]-B$9)^2</f>
        <v>1.228576181356272E-2</v>
      </c>
      <c r="N12">
        <f>Table3[[#This Row],[weight]]*(0.9155*Table2[[#This Row],[J34]]-C$9)^2</f>
        <v>0.46740484445121938</v>
      </c>
      <c r="O12">
        <f>Table3[[#This Row],[weight]]*(0.9155*Table2[[#This Row],[J45]]-D$9)^2</f>
        <v>0.97535911888245264</v>
      </c>
      <c r="P12">
        <f>Table3[[#This Row],[weight]]*(0.9155*Table2[[#This Row],[J56]]-E$9)^2</f>
        <v>9.0915528892345762E-2</v>
      </c>
      <c r="Q12">
        <f>Table3[[#This Row],[weight]]*(0.9155*Table2[[#This Row],[J67]]-F$9)^2</f>
        <v>7.8719573656994852E-3</v>
      </c>
      <c r="R12">
        <f>Table3[[#This Row],[weight]]*(0.9155*Table2[[#This Row],[J67'']]-G$9)^2</f>
        <v>0.5122296102242303</v>
      </c>
      <c r="S12">
        <f>chloroform!J17</f>
        <v>4.0962521366163178E-2</v>
      </c>
      <c r="T12" t="str">
        <f>chloroform!F17</f>
        <v>45TH</v>
      </c>
    </row>
    <row r="13" spans="1:20" x14ac:dyDescent="0.25">
      <c r="A13">
        <f>SQRT(SUMIF($T$2:$T$46,$E$1,L$2:L$46)/(($G$1-1)*$B$1/$G$1))</f>
        <v>0.10645470264267276</v>
      </c>
      <c r="B13">
        <f>SQRT(SUMIF($T$2:$T$46,$E$1,M$2:M$46)/(($G$1-1)*$B$1/$G$1))</f>
        <v>0.23350982355570923</v>
      </c>
      <c r="C13">
        <f>SQRT(SUMIF($T$2:$T$46,$E$1,N$2:N$46)/(($G$1-1)*$B$1/$G$1))</f>
        <v>0.32393371208215332</v>
      </c>
      <c r="D13">
        <f t="shared" ref="D13:F13" si="1">SQRT(SUMIF($T$2:$T$46,$E$1,O$2:O$46)/(($G$1-1)*$B$1/$G$1))</f>
        <v>0.20413659140168536</v>
      </c>
      <c r="E13">
        <f t="shared" si="1"/>
        <v>0.21766619876043042</v>
      </c>
      <c r="F13">
        <f t="shared" si="1"/>
        <v>0.60508341547808719</v>
      </c>
      <c r="G13">
        <f>SQRT(SUMIF($T$2:$T$46,$E$1,R$2:R$46)/(($G$1-1)*$B$1/$G$1))</f>
        <v>4.0239601565324188</v>
      </c>
      <c r="K13">
        <f>chloroform!E18</f>
        <v>19</v>
      </c>
      <c r="L13">
        <f>Table3[[#This Row],[weight]]*(0.9155*Table2[[#This Row],[J1,2]]-A$9)^2</f>
        <v>1.9579389878608515E-3</v>
      </c>
      <c r="M13">
        <f>Table3[[#This Row],[weight]]*(0.9155*Table2[[#This Row],[J2,3]]-B$9)^2</f>
        <v>8.8981800538409844E-2</v>
      </c>
      <c r="N13">
        <f>Table3[[#This Row],[weight]]*(0.9155*Table2[[#This Row],[J34]]-C$9)^2</f>
        <v>7.2866229270911867E-2</v>
      </c>
      <c r="O13">
        <f>Table3[[#This Row],[weight]]*(0.9155*Table2[[#This Row],[J45]]-D$9)^2</f>
        <v>0.15684343600395542</v>
      </c>
      <c r="P13">
        <f>Table3[[#This Row],[weight]]*(0.9155*Table2[[#This Row],[J56]]-E$9)^2</f>
        <v>0.28187410474279639</v>
      </c>
      <c r="Q13">
        <f>Table3[[#This Row],[weight]]*(0.9155*Table2[[#This Row],[J67]]-F$9)^2</f>
        <v>0.25673781638353765</v>
      </c>
      <c r="R13">
        <f>Table3[[#This Row],[weight]]*(0.9155*Table2[[#This Row],[J67'']]-G$9)^2</f>
        <v>1.0946213822330261E-4</v>
      </c>
      <c r="S13">
        <f>chloroform!J18</f>
        <v>2.4604409741756255E-3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8.5737409149791192E-5</v>
      </c>
      <c r="M14">
        <f>Table3[[#This Row],[weight]]*(0.9155*Table2[[#This Row],[J2,3]]-B$9)^2</f>
        <v>2.3839265465985067E-3</v>
      </c>
      <c r="N14">
        <f>Table3[[#This Row],[weight]]*(0.9155*Table2[[#This Row],[J34]]-C$9)^2</f>
        <v>1.2102436841614892E-2</v>
      </c>
      <c r="O14">
        <f>Table3[[#This Row],[weight]]*(0.9155*Table2[[#This Row],[J45]]-D$9)^2</f>
        <v>4.2657369328119891E-3</v>
      </c>
      <c r="P14">
        <f>Table3[[#This Row],[weight]]*(0.9155*Table2[[#This Row],[J56]]-E$9)^2</f>
        <v>2.1503461362371895E-3</v>
      </c>
      <c r="Q14">
        <f>Table3[[#This Row],[weight]]*(0.9155*Table2[[#This Row],[J67]]-F$9)^2</f>
        <v>7.0086291358269961E-3</v>
      </c>
      <c r="R14">
        <f>Table3[[#This Row],[weight]]*(0.9155*Table2[[#This Row],[J67'']]-G$9)^2</f>
        <v>1.0095404500514753</v>
      </c>
      <c r="S14">
        <f>chloroform!J19</f>
        <v>9.0579273806266847E-2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0</v>
      </c>
      <c r="M15">
        <f>Table3[[#This Row],[weight]]*(0.9155*Table2[[#This Row],[J2,3]]-B$9)^2</f>
        <v>0</v>
      </c>
      <c r="N15">
        <f>Table3[[#This Row],[weight]]*(0.9155*Table2[[#This Row],[J34]]-C$9)^2</f>
        <v>0</v>
      </c>
      <c r="O15">
        <f>Table3[[#This Row],[weight]]*(0.9155*Table2[[#This Row],[J45]]-D$9)^2</f>
        <v>0</v>
      </c>
      <c r="P15">
        <f>Table3[[#This Row],[weight]]*(0.9155*Table2[[#This Row],[J56]]-E$9)^2</f>
        <v>0</v>
      </c>
      <c r="Q15">
        <f>Table3[[#This Row],[weight]]*(0.9155*Table2[[#This Row],[J67]]-F$9)^2</f>
        <v>0</v>
      </c>
      <c r="R15">
        <f>Table3[[#This Row],[weight]]*(0.9155*Table2[[#This Row],[J67'']]-G$9)^2</f>
        <v>0</v>
      </c>
      <c r="S15">
        <f>chloroform!J20</f>
        <v>0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1.0658271243832955E-4</v>
      </c>
      <c r="M16">
        <f>Table3[[#This Row],[weight]]*(0.9155*Table2[[#This Row],[J2,3]]-B$9)^2</f>
        <v>2.1958332526702889E-4</v>
      </c>
      <c r="N16">
        <f>Table3[[#This Row],[weight]]*(0.9155*Table2[[#This Row],[J34]]-C$9)^2</f>
        <v>1.9227987079156622E-3</v>
      </c>
      <c r="O16">
        <f>Table3[[#This Row],[weight]]*(0.9155*Table2[[#This Row],[J45]]-D$9)^2</f>
        <v>7.6249830739665136E-3</v>
      </c>
      <c r="P16">
        <f>Table3[[#This Row],[weight]]*(0.9155*Table2[[#This Row],[J56]]-E$9)^2</f>
        <v>1.7938540603531015E-3</v>
      </c>
      <c r="Q16">
        <f>Table3[[#This Row],[weight]]*(0.9155*Table2[[#This Row],[J67]]-F$9)^2</f>
        <v>8.2633124876998392E-4</v>
      </c>
      <c r="R16">
        <f>Table3[[#This Row],[weight]]*(0.9155*Table2[[#This Row],[J67'']]-G$9)^2</f>
        <v>6.6655073590409716E-3</v>
      </c>
      <c r="S16">
        <f>chloroform!J21</f>
        <v>2.2704350414306422E-4</v>
      </c>
      <c r="T16" t="str">
        <f>chloroform!F21</f>
        <v>45TH</v>
      </c>
    </row>
    <row r="17" spans="7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7:20" x14ac:dyDescent="0.25">
      <c r="G18" t="s">
        <v>67</v>
      </c>
      <c r="K18">
        <f>chloroform!E23</f>
        <v>24</v>
      </c>
      <c r="L18">
        <f>Table3[[#This Row],[weight]]*(0.9155*Table2[[#This Row],[J1,2]]-A$9)^2</f>
        <v>1.0984691021219701E-4</v>
      </c>
      <c r="M18">
        <f>Table3[[#This Row],[weight]]*(0.9155*Table2[[#This Row],[J2,3]]-B$9)^2</f>
        <v>2.3485349154597613E-4</v>
      </c>
      <c r="N18">
        <f>Table3[[#This Row],[weight]]*(0.9155*Table2[[#This Row],[J34]]-C$9)^2</f>
        <v>1.8836616140442452E-3</v>
      </c>
      <c r="O18">
        <f>Table3[[#This Row],[weight]]*(0.9155*Table2[[#This Row],[J45]]-D$9)^2</f>
        <v>7.2894552738000228E-3</v>
      </c>
      <c r="P18">
        <f>Table3[[#This Row],[weight]]*(0.9155*Table2[[#This Row],[J56]]-E$9)^2</f>
        <v>9.9876175419514094E-4</v>
      </c>
      <c r="Q18">
        <f>Table3[[#This Row],[weight]]*(0.9155*Table2[[#This Row],[J67]]-F$9)^2</f>
        <v>1.798408891534483E-2</v>
      </c>
      <c r="R18">
        <f>Table3[[#This Row],[weight]]*(0.9155*Table2[[#This Row],[J67'']]-G$9)^2</f>
        <v>2.0739537419471074E-3</v>
      </c>
      <c r="S18">
        <f>chloroform!J23</f>
        <v>2.497589442962653E-4</v>
      </c>
      <c r="T18" t="str">
        <f>chloroform!F23</f>
        <v>45TH</v>
      </c>
    </row>
    <row r="19" spans="7:20" x14ac:dyDescent="0.25">
      <c r="G19" t="s">
        <v>68</v>
      </c>
      <c r="K19">
        <f>chloroform!E24</f>
        <v>26</v>
      </c>
      <c r="L19">
        <f>Table3[[#This Row],[weight]]*(0.9155*Table2[[#This Row],[J1,2]]-A$9)^2</f>
        <v>2.7640660382232097E-3</v>
      </c>
      <c r="M19">
        <f>Table3[[#This Row],[weight]]*(0.9155*Table2[[#This Row],[J2,3]]-B$9)^2</f>
        <v>1.4038731583402191E-3</v>
      </c>
      <c r="N19">
        <f>Table3[[#This Row],[weight]]*(0.9155*Table2[[#This Row],[J34]]-C$9)^2</f>
        <v>5.7190435410813235E-2</v>
      </c>
      <c r="O19">
        <f>Table3[[#This Row],[weight]]*(0.9155*Table2[[#This Row],[J45]]-D$9)^2</f>
        <v>0.19055753947595677</v>
      </c>
      <c r="P19">
        <f>Table3[[#This Row],[weight]]*(0.9155*Table2[[#This Row],[J56]]-E$9)^2</f>
        <v>3.49972584986777E-2</v>
      </c>
      <c r="Q19">
        <f>Table3[[#This Row],[weight]]*(0.9155*Table2[[#This Row],[J67]]-F$9)^2</f>
        <v>5.7802502269079176E-4</v>
      </c>
      <c r="R19">
        <f>Table3[[#This Row],[weight]]*(0.9155*Table2[[#This Row],[J67'']]-G$9)^2</f>
        <v>4.4963244339233314E-2</v>
      </c>
      <c r="S19">
        <f>chloroform!J24</f>
        <v>3.7853094611890181E-3</v>
      </c>
      <c r="T19" t="str">
        <f>chloroform!F24</f>
        <v>45TH</v>
      </c>
    </row>
    <row r="20" spans="7:20" x14ac:dyDescent="0.25">
      <c r="G20" t="s">
        <v>69</v>
      </c>
      <c r="K20">
        <f>chloroform!E25</f>
        <v>27</v>
      </c>
      <c r="L20">
        <f>Table3[[#This Row],[weight]]*(0.9155*Table2[[#This Row],[J1,2]]-A$9)^2</f>
        <v>1.7125463446627397E-3</v>
      </c>
      <c r="M20">
        <f>Table3[[#This Row],[weight]]*(0.9155*Table2[[#This Row],[J2,3]]-B$9)^2</f>
        <v>3.9364791214633062E-6</v>
      </c>
      <c r="N20">
        <f>Table3[[#This Row],[weight]]*(0.9155*Table2[[#This Row],[J34]]-C$9)^2</f>
        <v>1.3542883594376042E-2</v>
      </c>
      <c r="O20">
        <f>Table3[[#This Row],[weight]]*(0.9155*Table2[[#This Row],[J45]]-D$9)^2</f>
        <v>9.7025512842637343E-3</v>
      </c>
      <c r="P20">
        <f>Table3[[#This Row],[weight]]*(0.9155*Table2[[#This Row],[J56]]-E$9)^2</f>
        <v>2.7140081081031306E-3</v>
      </c>
      <c r="Q20">
        <f>Table3[[#This Row],[weight]]*(0.9155*Table2[[#This Row],[J67]]-F$9)^2</f>
        <v>5.5285975330247308E-3</v>
      </c>
      <c r="R20">
        <f>Table3[[#This Row],[weight]]*(0.9155*Table2[[#This Row],[J67'']]-G$9)^2</f>
        <v>1.6684384186891674</v>
      </c>
      <c r="S20">
        <f>chloroform!J25</f>
        <v>7.7277724589535662E-2</v>
      </c>
      <c r="T20" t="str">
        <f>chloroform!F25</f>
        <v>4H6</v>
      </c>
    </row>
    <row r="21" spans="7:20" x14ac:dyDescent="0.25">
      <c r="G21" t="s">
        <v>70</v>
      </c>
      <c r="K21">
        <f>chloroform!E26</f>
        <v>30</v>
      </c>
      <c r="L21">
        <f>Table3[[#This Row],[weight]]*(0.9155*Table2[[#This Row],[J1,2]]-A$9)^2</f>
        <v>1.7433004670834782E-4</v>
      </c>
      <c r="M21">
        <f>Table3[[#This Row],[weight]]*(0.9155*Table2[[#This Row],[J2,3]]-B$9)^2</f>
        <v>2.0412562045784913E-2</v>
      </c>
      <c r="N21">
        <f>Table3[[#This Row],[weight]]*(0.9155*Table2[[#This Row],[J34]]-C$9)^2</f>
        <v>1.8525823913755256E-2</v>
      </c>
      <c r="O21">
        <f>Table3[[#This Row],[weight]]*(0.9155*Table2[[#This Row],[J45]]-D$9)^2</f>
        <v>3.8384953900590643E-2</v>
      </c>
      <c r="P21">
        <f>Table3[[#This Row],[weight]]*(0.9155*Table2[[#This Row],[J56]]-E$9)^2</f>
        <v>6.6954353821980006E-2</v>
      </c>
      <c r="Q21">
        <f>Table3[[#This Row],[weight]]*(0.9155*Table2[[#This Row],[J67]]-F$9)^2</f>
        <v>5.5398380036521179E-2</v>
      </c>
      <c r="R21">
        <f>Table3[[#This Row],[weight]]*(0.9155*Table2[[#This Row],[J67'']]-G$9)^2</f>
        <v>1.8382040666065505E-3</v>
      </c>
      <c r="S21">
        <f>chloroform!J26</f>
        <v>5.7700870936292046E-4</v>
      </c>
      <c r="T21" t="str">
        <f>chloroform!F26</f>
        <v>6H4</v>
      </c>
    </row>
    <row r="22" spans="7:20" x14ac:dyDescent="0.25">
      <c r="G22" t="s">
        <v>71</v>
      </c>
      <c r="K22">
        <f>chloroform!E27</f>
        <v>33</v>
      </c>
      <c r="L22">
        <f>Table3[[#This Row],[weight]]*(0.9155*Table2[[#This Row],[J1,2]]-A$9)^2</f>
        <v>4.7715220586026877E-4</v>
      </c>
      <c r="M22">
        <f>Table3[[#This Row],[weight]]*(0.9155*Table2[[#This Row],[J2,3]]-B$9)^2</f>
        <v>1.0048964441683676E-3</v>
      </c>
      <c r="N22">
        <f>Table3[[#This Row],[weight]]*(0.9155*Table2[[#This Row],[J34]]-C$9)^2</f>
        <v>9.1807621706991079E-3</v>
      </c>
      <c r="O22">
        <f>Table3[[#This Row],[weight]]*(0.9155*Table2[[#This Row],[J45]]-D$9)^2</f>
        <v>3.3389469932983147E-2</v>
      </c>
      <c r="P22">
        <f>Table3[[#This Row],[weight]]*(0.9155*Table2[[#This Row],[J56]]-E$9)^2</f>
        <v>6.4662214380340789E-3</v>
      </c>
      <c r="Q22">
        <f>Table3[[#This Row],[weight]]*(0.9155*Table2[[#This Row],[J67]]-F$9)^2</f>
        <v>1.9731622946976736E-4</v>
      </c>
      <c r="R22">
        <f>Table3[[#This Row],[weight]]*(0.9155*Table2[[#This Row],[J67'']]-G$9)^2</f>
        <v>2.8773285230665486E-2</v>
      </c>
      <c r="S22">
        <f>chloroform!J27</f>
        <v>9.6924966522932761E-4</v>
      </c>
      <c r="T22" t="str">
        <f>chloroform!F27</f>
        <v>45TH</v>
      </c>
    </row>
    <row r="23" spans="7:20" x14ac:dyDescent="0.25">
      <c r="G23" t="s">
        <v>72</v>
      </c>
      <c r="K23">
        <f>chloroform!E28</f>
        <v>34</v>
      </c>
      <c r="L23">
        <f>Table3[[#This Row],[weight]]*(0.9155*Table2[[#This Row],[J1,2]]-A$9)^2</f>
        <v>1.4944133071361735E-4</v>
      </c>
      <c r="M23">
        <f>Table3[[#This Row],[weight]]*(0.9155*Table2[[#This Row],[J2,3]]-B$9)^2</f>
        <v>1.5310143334075526E-2</v>
      </c>
      <c r="N23">
        <f>Table3[[#This Row],[weight]]*(0.9155*Table2[[#This Row],[J34]]-C$9)^2</f>
        <v>1.4294891554168458E-2</v>
      </c>
      <c r="O23">
        <f>Table3[[#This Row],[weight]]*(0.9155*Table2[[#This Row],[J45]]-D$9)^2</f>
        <v>3.4612222564998754E-2</v>
      </c>
      <c r="P23">
        <f>Table3[[#This Row],[weight]]*(0.9155*Table2[[#This Row],[J56]]-E$9)^2</f>
        <v>4.7327757455029762E-2</v>
      </c>
      <c r="Q23">
        <f>Table3[[#This Row],[weight]]*(0.9155*Table2[[#This Row],[J67]]-F$9)^2</f>
        <v>5.2198910096065151E-5</v>
      </c>
      <c r="R23">
        <f>Table3[[#This Row],[weight]]*(0.9155*Table2[[#This Row],[J67'']]-G$9)^2</f>
        <v>9.7603525519754375E-4</v>
      </c>
      <c r="S23">
        <f>chloroform!J28</f>
        <v>4.4725237778474384E-4</v>
      </c>
      <c r="T23" t="str">
        <f>chloroform!F28</f>
        <v>6H4</v>
      </c>
    </row>
    <row r="24" spans="7:20" x14ac:dyDescent="0.25">
      <c r="G24" t="s">
        <v>74</v>
      </c>
      <c r="K24">
        <f>chloroform!E29</f>
        <v>38</v>
      </c>
      <c r="L24">
        <f>Table3[[#This Row],[weight]]*(0.9155*Table2[[#This Row],[J1,2]]-A$9)^2</f>
        <v>1.9462235388488396E-2</v>
      </c>
      <c r="M24">
        <f>Table3[[#This Row],[weight]]*(0.9155*Table2[[#This Row],[J2,3]]-B$9)^2</f>
        <v>1.0578955047963363E-2</v>
      </c>
      <c r="N24">
        <f>Table3[[#This Row],[weight]]*(0.9155*Table2[[#This Row],[J34]]-C$9)^2</f>
        <v>0.37547272034487045</v>
      </c>
      <c r="O24">
        <f>Table3[[#This Row],[weight]]*(0.9155*Table2[[#This Row],[J45]]-D$9)^2</f>
        <v>0.87549388242900317</v>
      </c>
      <c r="P24">
        <f>Table3[[#This Row],[weight]]*(0.9155*Table2[[#This Row],[J56]]-E$9)^2</f>
        <v>0.10857536786941603</v>
      </c>
      <c r="Q24">
        <f>Table3[[#This Row],[weight]]*(0.9155*Table2[[#This Row],[J67]]-F$9)^2</f>
        <v>7.4917495057832319E-3</v>
      </c>
      <c r="R24">
        <f>Table3[[#This Row],[weight]]*(0.9155*Table2[[#This Row],[J67'']]-G$9)^2</f>
        <v>0.35947304361532417</v>
      </c>
      <c r="S24">
        <f>chloroform!J29</f>
        <v>2.8016696422438359E-2</v>
      </c>
      <c r="T24" t="str">
        <f>chloroform!F29</f>
        <v>45TH</v>
      </c>
    </row>
    <row r="25" spans="7:20" x14ac:dyDescent="0.25">
      <c r="K25">
        <f>chloroform!E30</f>
        <v>39</v>
      </c>
      <c r="L25">
        <f>Table3[[#This Row],[weight]]*(0.9155*Table2[[#This Row],[J1,2]]-A$9)^2</f>
        <v>9.5012900269010745E-6</v>
      </c>
      <c r="M25">
        <f>Table3[[#This Row],[weight]]*(0.9155*Table2[[#This Row],[J2,3]]-B$9)^2</f>
        <v>1.2384437417306866E-2</v>
      </c>
      <c r="N25">
        <f>Table3[[#This Row],[weight]]*(0.9155*Table2[[#This Row],[J34]]-C$9)^2</f>
        <v>3.9450766172823698E-3</v>
      </c>
      <c r="O25">
        <f>Table3[[#This Row],[weight]]*(0.9155*Table2[[#This Row],[J45]]-D$9)^2</f>
        <v>6.9169870183673828E-4</v>
      </c>
      <c r="P25">
        <f>Table3[[#This Row],[weight]]*(0.9155*Table2[[#This Row],[J56]]-E$9)^2</f>
        <v>1.8573550597070533E-2</v>
      </c>
      <c r="Q25">
        <f>Table3[[#This Row],[weight]]*(0.9155*Table2[[#This Row],[J67]]-F$9)^2</f>
        <v>5.8899057596650843E-3</v>
      </c>
      <c r="R25">
        <f>Table3[[#This Row],[weight]]*(0.9155*Table2[[#This Row],[J67'']]-G$9)^2</f>
        <v>2.7901987058821529</v>
      </c>
      <c r="S25">
        <f>chloroform!J30</f>
        <v>0.12286030176602797</v>
      </c>
      <c r="T25" t="str">
        <f>chloroform!F30</f>
        <v>4H6</v>
      </c>
    </row>
    <row r="26" spans="7:20" x14ac:dyDescent="0.25">
      <c r="K26">
        <f>chloroform!E31</f>
        <v>41</v>
      </c>
      <c r="L26">
        <f>Table3[[#This Row],[weight]]*(0.9155*Table2[[#This Row],[J1,2]]-A$9)^2</f>
        <v>8.3343130091053448E-4</v>
      </c>
      <c r="M26">
        <f>Table3[[#This Row],[weight]]*(0.9155*Table2[[#This Row],[J2,3]]-B$9)^2</f>
        <v>2.169289818758179E-6</v>
      </c>
      <c r="N26">
        <f>Table3[[#This Row],[weight]]*(0.9155*Table2[[#This Row],[J34]]-C$9)^2</f>
        <v>6.8072999402565411E-6</v>
      </c>
      <c r="O26">
        <f>Table3[[#This Row],[weight]]*(0.9155*Table2[[#This Row],[J45]]-D$9)^2</f>
        <v>2.3413657108676592E-5</v>
      </c>
      <c r="P26">
        <f>Table3[[#This Row],[weight]]*(0.9155*Table2[[#This Row],[J56]]-E$9)^2</f>
        <v>2.3016206133016922E-4</v>
      </c>
      <c r="Q26">
        <f>Table3[[#This Row],[weight]]*(0.9155*Table2[[#This Row],[J67]]-F$9)^2</f>
        <v>4.8892593177142923E-3</v>
      </c>
      <c r="R26">
        <f>Table3[[#This Row],[weight]]*(0.9155*Table2[[#This Row],[J67'']]-G$9)^2</f>
        <v>1.7269699266387351</v>
      </c>
      <c r="S26">
        <f>chloroform!J31</f>
        <v>7.7046547375829472E-2</v>
      </c>
      <c r="T26" t="str">
        <f>chloroform!F31</f>
        <v>4H6</v>
      </c>
    </row>
    <row r="27" spans="7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7:20" x14ac:dyDescent="0.25">
      <c r="K28">
        <f>chloroform!E33</f>
        <v>48</v>
      </c>
      <c r="L28">
        <f>Table3[[#This Row],[weight]]*(0.9155*Table2[[#This Row],[J1,2]]-A$9)^2</f>
        <v>2.7670456473528971E-3</v>
      </c>
      <c r="M28">
        <f>Table3[[#This Row],[weight]]*(0.9155*Table2[[#This Row],[J2,3]]-B$9)^2</f>
        <v>6.1280389679764742E-2</v>
      </c>
      <c r="N28">
        <f>Table3[[#This Row],[weight]]*(0.9155*Table2[[#This Row],[J34]]-C$9)^2</f>
        <v>0.20501263391530269</v>
      </c>
      <c r="O28">
        <f>Table3[[#This Row],[weight]]*(0.9155*Table2[[#This Row],[J45]]-D$9)^2</f>
        <v>1.3466277330002812</v>
      </c>
      <c r="P28">
        <f>Table3[[#This Row],[weight]]*(0.9155*Table2[[#This Row],[J56]]-E$9)^2</f>
        <v>0.11889047475548971</v>
      </c>
      <c r="Q28">
        <f>Table3[[#This Row],[weight]]*(0.9155*Table2[[#This Row],[J67]]-F$9)^2</f>
        <v>1.573968970992459E-3</v>
      </c>
      <c r="R28">
        <f>Table3[[#This Row],[weight]]*(0.9155*Table2[[#This Row],[J67'']]-G$9)^2</f>
        <v>0.33262501843185277</v>
      </c>
      <c r="S28">
        <f>chloroform!J33</f>
        <v>1.2812878758454401E-2</v>
      </c>
      <c r="T28" t="str">
        <f>chloroform!F33</f>
        <v>56TH</v>
      </c>
    </row>
    <row r="29" spans="7:20" x14ac:dyDescent="0.25">
      <c r="K29">
        <f>chloroform!E34</f>
        <v>57</v>
      </c>
      <c r="L29">
        <f>Table3[[#This Row],[weight]]*(0.9155*Table2[[#This Row],[J1,2]]-A$9)^2</f>
        <v>8.0566911958987659E-4</v>
      </c>
      <c r="M29">
        <f>Table3[[#This Row],[weight]]*(0.9155*Table2[[#This Row],[J2,3]]-B$9)^2</f>
        <v>3.0242555364347275E-2</v>
      </c>
      <c r="N29">
        <f>Table3[[#This Row],[weight]]*(0.9155*Table2[[#This Row],[J34]]-C$9)^2</f>
        <v>2.8939885644060803E-2</v>
      </c>
      <c r="O29">
        <f>Table3[[#This Row],[weight]]*(0.9155*Table2[[#This Row],[J45]]-D$9)^2</f>
        <v>2.9209643539397069E-2</v>
      </c>
      <c r="P29">
        <f>Table3[[#This Row],[weight]]*(0.9155*Table2[[#This Row],[J56]]-E$9)^2</f>
        <v>9.2749760530523251E-2</v>
      </c>
      <c r="Q29">
        <f>Table3[[#This Row],[weight]]*(0.9155*Table2[[#This Row],[J67]]-F$9)^2</f>
        <v>2.4074191893551236E-3</v>
      </c>
      <c r="R29">
        <f>Table3[[#This Row],[weight]]*(0.9155*Table2[[#This Row],[J67'']]-G$9)^2</f>
        <v>3.9042254527967994E-2</v>
      </c>
      <c r="S29">
        <f>chloroform!J34</f>
        <v>8.4212558559743436E-4</v>
      </c>
      <c r="T29" t="str">
        <f>chloroform!F34</f>
        <v>6H4</v>
      </c>
    </row>
    <row r="30" spans="7:20" x14ac:dyDescent="0.25">
      <c r="K30">
        <f>chloroform!E35</f>
        <v>59</v>
      </c>
      <c r="L30">
        <f>Table3[[#This Row],[weight]]*(0.9155*Table2[[#This Row],[J1,2]]-A$9)^2</f>
        <v>2.1365372348939682E-4</v>
      </c>
      <c r="M30">
        <f>Table3[[#This Row],[weight]]*(0.9155*Table2[[#This Row],[J2,3]]-B$9)^2</f>
        <v>1.6488819636724841E-3</v>
      </c>
      <c r="N30">
        <f>Table3[[#This Row],[weight]]*(0.9155*Table2[[#This Row],[J34]]-C$9)^2</f>
        <v>1.1824614257251169E-4</v>
      </c>
      <c r="O30">
        <f>Table3[[#This Row],[weight]]*(0.9155*Table2[[#This Row],[J45]]-D$9)^2</f>
        <v>1.2124932924725458E-5</v>
      </c>
      <c r="P30">
        <f>Table3[[#This Row],[weight]]*(0.9155*Table2[[#This Row],[J56]]-E$9)^2</f>
        <v>1.8105699348797157E-3</v>
      </c>
      <c r="Q30">
        <f>Table3[[#This Row],[weight]]*(0.9155*Table2[[#This Row],[J67]]-F$9)^2</f>
        <v>1.5495662308369477E-5</v>
      </c>
      <c r="R30">
        <f>Table3[[#This Row],[weight]]*(0.9155*Table2[[#This Row],[J67'']]-G$9)^2</f>
        <v>8.6266874913018619E-4</v>
      </c>
      <c r="S30">
        <f>chloroform!J35</f>
        <v>5.308266238201859E-5</v>
      </c>
      <c r="T30" t="str">
        <f>chloroform!F35</f>
        <v>45TH</v>
      </c>
    </row>
    <row r="31" spans="7:20" x14ac:dyDescent="0.25">
      <c r="K31">
        <f>chloroform!E36</f>
        <v>72</v>
      </c>
      <c r="L31">
        <f>Table3[[#This Row],[weight]]*(0.9155*Table2[[#This Row],[J1,2]]-A$9)^2</f>
        <v>4.1613655663568885E-5</v>
      </c>
      <c r="M31">
        <f>Table3[[#This Row],[weight]]*(0.9155*Table2[[#This Row],[J2,3]]-B$9)^2</f>
        <v>6.9076293205629902E-9</v>
      </c>
      <c r="N31">
        <f>Table3[[#This Row],[weight]]*(0.9155*Table2[[#This Row],[J34]]-C$9)^2</f>
        <v>5.3912633667179961E-4</v>
      </c>
      <c r="O31">
        <f>Table3[[#This Row],[weight]]*(0.9155*Table2[[#This Row],[J45]]-D$9)^2</f>
        <v>1.0361612204084135E-4</v>
      </c>
      <c r="P31">
        <f>Table3[[#This Row],[weight]]*(0.9155*Table2[[#This Row],[J56]]-E$9)^2</f>
        <v>2.7686910062837602E-5</v>
      </c>
      <c r="Q31">
        <f>Table3[[#This Row],[weight]]*(0.9155*Table2[[#This Row],[J67]]-F$9)^2</f>
        <v>0.11024779776488333</v>
      </c>
      <c r="R31">
        <f>Table3[[#This Row],[weight]]*(0.9155*Table2[[#This Row],[J67'']]-G$9)^2</f>
        <v>5.5870263696569757E-2</v>
      </c>
      <c r="S31">
        <f>chloroform!J36</f>
        <v>2.5552234461420523E-3</v>
      </c>
      <c r="T31" t="str">
        <f>chloroform!F36</f>
        <v>4H6</v>
      </c>
    </row>
    <row r="32" spans="7:20" x14ac:dyDescent="0.25">
      <c r="K32">
        <f>chloroform!E37</f>
        <v>73</v>
      </c>
      <c r="L32">
        <f>Table3[[#This Row],[weight]]*(0.9155*Table2[[#This Row],[J1,2]]-A$9)^2</f>
        <v>9.252685209604361E-2</v>
      </c>
      <c r="M32">
        <f>Table3[[#This Row],[weight]]*(0.9155*Table2[[#This Row],[J2,3]]-B$9)^2</f>
        <v>0.86646557982979044</v>
      </c>
      <c r="N32">
        <f>Table3[[#This Row],[weight]]*(0.9155*Table2[[#This Row],[J34]]-C$9)^2</f>
        <v>0.16210004598542382</v>
      </c>
      <c r="O32">
        <f>Table3[[#This Row],[weight]]*(0.9155*Table2[[#This Row],[J45]]-D$9)^2</f>
        <v>3.7959742717325091</v>
      </c>
      <c r="P32">
        <f>Table3[[#This Row],[weight]]*(0.9155*Table2[[#This Row],[J56]]-E$9)^2</f>
        <v>0.12445495972563556</v>
      </c>
      <c r="Q32">
        <f>Table3[[#This Row],[weight]]*(0.9155*Table2[[#This Row],[J67]]-F$9)^2</f>
        <v>4.86482596787873E-3</v>
      </c>
      <c r="R32">
        <f>Table3[[#This Row],[weight]]*(0.9155*Table2[[#This Row],[J67'']]-G$9)^2</f>
        <v>0.44477852683041008</v>
      </c>
      <c r="S32">
        <f>chloroform!J37</f>
        <v>3.648841376783802E-2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3.3332081488523835E-4</v>
      </c>
      <c r="M33">
        <f>Table3[[#This Row],[weight]]*(0.9155*Table2[[#This Row],[J2,3]]-B$9)^2</f>
        <v>2.3854442813289779E-3</v>
      </c>
      <c r="N33">
        <f>Table3[[#This Row],[weight]]*(0.9155*Table2[[#This Row],[J34]]-C$9)^2</f>
        <v>1.3032150650305402E-4</v>
      </c>
      <c r="O33">
        <f>Table3[[#This Row],[weight]]*(0.9155*Table2[[#This Row],[J45]]-D$9)^2</f>
        <v>1.9550904595768159E-5</v>
      </c>
      <c r="P33">
        <f>Table3[[#This Row],[weight]]*(0.9155*Table2[[#This Row],[J56]]-E$9)^2</f>
        <v>2.7542979064259523E-3</v>
      </c>
      <c r="Q33">
        <f>Table3[[#This Row],[weight]]*(0.9155*Table2[[#This Row],[J67]]-F$9)^2</f>
        <v>3.6898673164336538E-7</v>
      </c>
      <c r="R33">
        <f>Table3[[#This Row],[weight]]*(0.9155*Table2[[#This Row],[J67'']]-G$9)^2</f>
        <v>2.0200620028177937E-3</v>
      </c>
      <c r="S33">
        <f>chloroform!J38</f>
        <v>7.6543233743887095E-5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1.4387001685975892E-2</v>
      </c>
      <c r="M34">
        <f>Table3[[#This Row],[weight]]*(0.9155*Table2[[#This Row],[J2,3]]-B$9)^2</f>
        <v>7.7840934513101452E-3</v>
      </c>
      <c r="N34">
        <f>Table3[[#This Row],[weight]]*(0.9155*Table2[[#This Row],[J34]]-C$9)^2</f>
        <v>0.29976192505269789</v>
      </c>
      <c r="O34">
        <f>Table3[[#This Row],[weight]]*(0.9155*Table2[[#This Row],[J45]]-D$9)^2</f>
        <v>0.66397078266775811</v>
      </c>
      <c r="P34">
        <f>Table3[[#This Row],[weight]]*(0.9155*Table2[[#This Row],[J56]]-E$9)^2</f>
        <v>8.8774972205782732E-2</v>
      </c>
      <c r="Q34">
        <f>Table3[[#This Row],[weight]]*(0.9155*Table2[[#This Row],[J67]]-F$9)^2</f>
        <v>6.3277425827144417E-3</v>
      </c>
      <c r="R34">
        <f>Table3[[#This Row],[weight]]*(0.9155*Table2[[#This Row],[J67'']]-G$9)^2</f>
        <v>0.70216480849858043</v>
      </c>
      <c r="S34">
        <f>chloroform!J39</f>
        <v>2.1700256798573677E-2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6.9787238440482773E-5</v>
      </c>
      <c r="M35">
        <f>Table3[[#This Row],[weight]]*(0.9155*Table2[[#This Row],[J2,3]]-B$9)^2</f>
        <v>2.2328527592830946E-6</v>
      </c>
      <c r="N35">
        <f>Table3[[#This Row],[weight]]*(0.9155*Table2[[#This Row],[J34]]-C$9)^2</f>
        <v>6.5356613494481147E-4</v>
      </c>
      <c r="O35">
        <f>Table3[[#This Row],[weight]]*(0.9155*Table2[[#This Row],[J45]]-D$9)^2</f>
        <v>1.1856770013375874E-3</v>
      </c>
      <c r="P35">
        <f>Table3[[#This Row],[weight]]*(0.9155*Table2[[#This Row],[J56]]-E$9)^2</f>
        <v>5.7123378094112096E-3</v>
      </c>
      <c r="Q35">
        <f>Table3[[#This Row],[weight]]*(0.9155*Table2[[#This Row],[J67]]-F$9)^2</f>
        <v>9.9329581903310031E-3</v>
      </c>
      <c r="R35">
        <f>Table3[[#This Row],[weight]]*(0.9155*Table2[[#This Row],[J67'']]-G$9)^2</f>
        <v>1.707576610152564E-6</v>
      </c>
      <c r="S35">
        <f>chloroform!J40</f>
        <v>8.5231241623590044E-5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5.4772587191457726E-5</v>
      </c>
      <c r="M38">
        <f>Table3[[#This Row],[weight]]*(0.9155*Table2[[#This Row],[J2,3]]-B$9)^2</f>
        <v>0.75545978584873774</v>
      </c>
      <c r="N38">
        <f>Table3[[#This Row],[weight]]*(0.9155*Table2[[#This Row],[J34]]-C$9)^2</f>
        <v>0.47248455494135827</v>
      </c>
      <c r="O38">
        <f>Table3[[#This Row],[weight]]*(0.9155*Table2[[#This Row],[J45]]-D$9)^2</f>
        <v>2.3876586686457153</v>
      </c>
      <c r="P38">
        <f>Table3[[#This Row],[weight]]*(0.9155*Table2[[#This Row],[J56]]-E$9)^2</f>
        <v>2.7242428446631266E-2</v>
      </c>
      <c r="Q38">
        <f>Table3[[#This Row],[weight]]*(0.9155*Table2[[#This Row],[J67]]-F$9)^2</f>
        <v>1.4133254287882353E-2</v>
      </c>
      <c r="R38">
        <f>Table3[[#This Row],[weight]]*(0.9155*Table2[[#This Row],[J67'']]-G$9)^2</f>
        <v>0.66123566432296199</v>
      </c>
      <c r="S38">
        <f>chloroform!J43</f>
        <v>2.6557312069796467E-2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5.3094140406320838E-3</v>
      </c>
      <c r="M42">
        <f>Table3[[#This Row],[weight]]*(0.9155*Table2[[#This Row],[J2,3]]-B$9)^2</f>
        <v>1.4133524592160407E-2</v>
      </c>
      <c r="N42">
        <f>Table3[[#This Row],[weight]]*(0.9155*Table2[[#This Row],[J34]]-C$9)^2</f>
        <v>0.12414149976651774</v>
      </c>
      <c r="O42">
        <f>Table3[[#This Row],[weight]]*(0.9155*Table2[[#This Row],[J45]]-D$9)^2</f>
        <v>0.29580175562029154</v>
      </c>
      <c r="P42">
        <f>Table3[[#This Row],[weight]]*(0.9155*Table2[[#This Row],[J56]]-E$9)^2</f>
        <v>3.6194870324983038E-2</v>
      </c>
      <c r="Q42">
        <f>Table3[[#This Row],[weight]]*(0.9155*Table2[[#This Row],[J67]]-F$9)^2</f>
        <v>1.1760687370936117E-2</v>
      </c>
      <c r="R42">
        <f>Table3[[#This Row],[weight]]*(0.9155*Table2[[#This Row],[J67'']]-G$9)^2</f>
        <v>0.32812236007966522</v>
      </c>
      <c r="S42">
        <f>chloroform!J47</f>
        <v>1.0114490607520146E-2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2.5719206390346642E-5</v>
      </c>
      <c r="M43">
        <f>Table3[[#This Row],[weight]]*(0.9155*Table2[[#This Row],[J2,3]]-B$9)^2</f>
        <v>2.55440030590635E-2</v>
      </c>
      <c r="N43">
        <f>Table3[[#This Row],[weight]]*(0.9155*Table2[[#This Row],[J34]]-C$9)^2</f>
        <v>1.4832734532485405E-2</v>
      </c>
      <c r="O43">
        <f>Table3[[#This Row],[weight]]*(0.9155*Table2[[#This Row],[J45]]-D$9)^2</f>
        <v>8.2577451778694994E-2</v>
      </c>
      <c r="P43">
        <f>Table3[[#This Row],[weight]]*(0.9155*Table2[[#This Row],[J56]]-E$9)^2</f>
        <v>2.0575977160441554E-3</v>
      </c>
      <c r="Q43">
        <f>Table3[[#This Row],[weight]]*(0.9155*Table2[[#This Row],[J67]]-F$9)^2</f>
        <v>1.329418826287296E-4</v>
      </c>
      <c r="R43">
        <f>Table3[[#This Row],[weight]]*(0.9155*Table2[[#This Row],[J67'']]-G$9)^2</f>
        <v>5.224523253755808E-3</v>
      </c>
      <c r="S43">
        <f>chloroform!J48</f>
        <v>9.2026393674751749E-4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2.9686700429158708E-4</v>
      </c>
      <c r="M45">
        <f>Table3[[#This Row],[weight]]*(0.9155*Table2[[#This Row],[J2,3]]-B$9)^2</f>
        <v>8.5373513599475843E-6</v>
      </c>
      <c r="N45">
        <f>Table3[[#This Row],[weight]]*(0.9155*Table2[[#This Row],[J34]]-C$9)^2</f>
        <v>3.3780816767375304E-3</v>
      </c>
      <c r="O45">
        <f>Table3[[#This Row],[weight]]*(0.9155*Table2[[#This Row],[J45]]-D$9)^2</f>
        <v>5.5042017223093948E-3</v>
      </c>
      <c r="P45">
        <f>Table3[[#This Row],[weight]]*(0.9155*Table2[[#This Row],[J56]]-E$9)^2</f>
        <v>2.6435356430432669E-2</v>
      </c>
      <c r="Q45">
        <f>Table3[[#This Row],[weight]]*(0.9155*Table2[[#This Row],[J67]]-F$9)^2</f>
        <v>3.6732725817259551E-6</v>
      </c>
      <c r="R45">
        <f>Table3[[#This Row],[weight]]*(0.9155*Table2[[#This Row],[J67'']]-G$9)^2</f>
        <v>8.5503567150118816E-3</v>
      </c>
      <c r="S45">
        <f>chloroform!J50</f>
        <v>4.0395005497485294E-4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2.9722966918831661E-4</v>
      </c>
      <c r="M46">
        <f>Table3[[#This Row],[weight]]*(0.9155*Table2[[#This Row],[J2,3]]-B$9)^2</f>
        <v>2.4294034038938317E-2</v>
      </c>
      <c r="N46">
        <f>Table3[[#This Row],[weight]]*(0.9155*Table2[[#This Row],[J34]]-C$9)^2</f>
        <v>5.7517282179103985E-2</v>
      </c>
      <c r="O46">
        <f>Table3[[#This Row],[weight]]*(0.9155*Table2[[#This Row],[J45]]-D$9)^2</f>
        <v>0.35903343052836267</v>
      </c>
      <c r="P46">
        <f>Table3[[#This Row],[weight]]*(0.9155*Table2[[#This Row],[J56]]-E$9)^2</f>
        <v>3.8022080489028082E-2</v>
      </c>
      <c r="Q46">
        <f>Table3[[#This Row],[weight]]*(0.9155*Table2[[#This Row],[J67]]-F$9)^2</f>
        <v>5.5375397721744242E-4</v>
      </c>
      <c r="R46">
        <f>Table3[[#This Row],[weight]]*(0.9155*Table2[[#This Row],[J67'']]-G$9)^2</f>
        <v>5.6040750018329241E-2</v>
      </c>
      <c r="S46">
        <f>chloroform!J51</f>
        <v>3.3042482722126397E-3</v>
      </c>
      <c r="T46" t="str">
        <f>chloroform!F51</f>
        <v>56TH</v>
      </c>
    </row>
    <row r="47" spans="11:20" x14ac:dyDescent="0.25">
      <c r="K47">
        <f>chloroform!E52</f>
        <v>136</v>
      </c>
      <c r="L47">
        <f>Table3[[#This Row],[weight]]*(0.9155*Table2[[#This Row],[J1,2]]-A$9)^2</f>
        <v>1.7833716682798977E-3</v>
      </c>
      <c r="M47">
        <f>Table3[[#This Row],[weight]]*(0.9155*Table2[[#This Row],[J2,3]]-B$9)^2</f>
        <v>3.072449755705917E-2</v>
      </c>
      <c r="N47">
        <f>Table3[[#This Row],[weight]]*(0.9155*Table2[[#This Row],[J34]]-C$9)^2</f>
        <v>7.5968034794307495E-3</v>
      </c>
      <c r="O47">
        <f>Table3[[#This Row],[weight]]*(0.9155*Table2[[#This Row],[J45]]-D$9)^2</f>
        <v>0.11700801317557349</v>
      </c>
      <c r="P47">
        <f>Table3[[#This Row],[weight]]*(0.9155*Table2[[#This Row],[J56]]-E$9)^2</f>
        <v>5.2341397235418372E-3</v>
      </c>
      <c r="Q47">
        <f>Table3[[#This Row],[weight]]*(0.9155*Table2[[#This Row],[J67]]-F$9)^2</f>
        <v>7.8148658105907734E-4</v>
      </c>
      <c r="R47">
        <f>Table3[[#This Row],[weight]]*(0.9155*Table2[[#This Row],[J67'']]-G$9)^2</f>
        <v>3.0612040276147591E-2</v>
      </c>
      <c r="S47">
        <f>chloroform!J52</f>
        <v>1.1363251696581539E-3</v>
      </c>
      <c r="T47" t="str">
        <f>chloroform!F52</f>
        <v>5C12</v>
      </c>
    </row>
    <row r="48" spans="11:20" x14ac:dyDescent="0.25">
      <c r="K48">
        <f>chloroform!E53</f>
        <v>142</v>
      </c>
      <c r="L48">
        <f>Table3[[#This Row],[weight]]*(0.9155*Table2[[#This Row],[J1,2]]-A$9)^2</f>
        <v>1.8407900164621111E-4</v>
      </c>
      <c r="M48">
        <f>Table3[[#This Row],[weight]]*(0.9155*Table2[[#This Row],[J2,3]]-B$9)^2</f>
        <v>0.20441652666311586</v>
      </c>
      <c r="N48">
        <f>Table3[[#This Row],[weight]]*(0.9155*Table2[[#This Row],[J34]]-C$9)^2</f>
        <v>0.12545974893158471</v>
      </c>
      <c r="O48">
        <f>Table3[[#This Row],[weight]]*(0.9155*Table2[[#This Row],[J45]]-D$9)^2</f>
        <v>0.65175667679659388</v>
      </c>
      <c r="P48">
        <f>Table3[[#This Row],[weight]]*(0.9155*Table2[[#This Row],[J56]]-E$9)^2</f>
        <v>9.1873286866617897E-3</v>
      </c>
      <c r="Q48">
        <f>Table3[[#This Row],[weight]]*(0.9155*Table2[[#This Row],[J67]]-F$9)^2</f>
        <v>0.46975235628298262</v>
      </c>
      <c r="R48">
        <f>Table3[[#This Row],[weight]]*(0.9155*Table2[[#This Row],[J67'']]-G$9)^2</f>
        <v>6.8074479238129981E-2</v>
      </c>
      <c r="S48">
        <f>chloroform!J53</f>
        <v>6.9012125609283787E-3</v>
      </c>
      <c r="T48" t="str">
        <f>chloroform!F53</f>
        <v>5C12</v>
      </c>
    </row>
    <row r="49" spans="11:20" x14ac:dyDescent="0.25">
      <c r="K49">
        <f>chloroform!E54</f>
        <v>143</v>
      </c>
      <c r="L49">
        <f>Table3[[#This Row],[weight]]*(0.9155*Table2[[#This Row],[J1,2]]-A$9)^2</f>
        <v>1.3219037420068007E-4</v>
      </c>
      <c r="M49">
        <f>Table3[[#This Row],[weight]]*(0.9155*Table2[[#This Row],[J2,3]]-B$9)^2</f>
        <v>6.6278769066774936E-5</v>
      </c>
      <c r="N49">
        <f>Table3[[#This Row],[weight]]*(0.9155*Table2[[#This Row],[J34]]-C$9)^2</f>
        <v>2.2718504649593746E-3</v>
      </c>
      <c r="O49">
        <f>Table3[[#This Row],[weight]]*(0.9155*Table2[[#This Row],[J45]]-D$9)^2</f>
        <v>7.0347707646664769E-3</v>
      </c>
      <c r="P49">
        <f>Table3[[#This Row],[weight]]*(0.9155*Table2[[#This Row],[J56]]-E$9)^2</f>
        <v>1.0121791602110625E-3</v>
      </c>
      <c r="Q49">
        <f>Table3[[#This Row],[weight]]*(0.9155*Table2[[#This Row],[J67]]-F$9)^2</f>
        <v>6.3110875976576256E-3</v>
      </c>
      <c r="R49">
        <f>Table3[[#This Row],[weight]]*(0.9155*Table2[[#This Row],[J67'']]-G$9)^2</f>
        <v>1.1077157162208584E-3</v>
      </c>
      <c r="S49">
        <f>chloroform!J54</f>
        <v>8.9647423822238471E-5</v>
      </c>
      <c r="T49" t="str">
        <f>chloroform!F54</f>
        <v>45TH</v>
      </c>
    </row>
    <row r="50" spans="11:20" x14ac:dyDescent="0.25">
      <c r="K50">
        <f>chloroform!E55</f>
        <v>144</v>
      </c>
      <c r="L50">
        <f>Table3[[#This Row],[weight]]*(0.9155*Table2[[#This Row],[J1,2]]-A$9)^2</f>
        <v>1.1486152165513895E-4</v>
      </c>
      <c r="M50">
        <f>Table3[[#This Row],[weight]]*(0.9155*Table2[[#This Row],[J2,3]]-B$9)^2</f>
        <v>4.0254218755252334E-5</v>
      </c>
      <c r="N50">
        <f>Table3[[#This Row],[weight]]*(0.9155*Table2[[#This Row],[J34]]-C$9)^2</f>
        <v>9.4469351654999226E-4</v>
      </c>
      <c r="O50">
        <f>Table3[[#This Row],[weight]]*(0.9155*Table2[[#This Row],[J45]]-D$9)^2</f>
        <v>1.2477854042841372E-3</v>
      </c>
      <c r="P50">
        <f>Table3[[#This Row],[weight]]*(0.9155*Table2[[#This Row],[J56]]-E$9)^2</f>
        <v>5.7816804088262558E-3</v>
      </c>
      <c r="Q50">
        <f>Table3[[#This Row],[weight]]*(0.9155*Table2[[#This Row],[J67]]-F$9)^2</f>
        <v>1.0692917326848399E-2</v>
      </c>
      <c r="R50">
        <f>Table3[[#This Row],[weight]]*(0.9155*Table2[[#This Row],[J67'']]-G$9)^2</f>
        <v>1.8217525945238918E-5</v>
      </c>
      <c r="S50">
        <f>chloroform!J55</f>
        <v>9.067247042405327E-5</v>
      </c>
      <c r="T50" t="str">
        <f>chloroform!F55</f>
        <v>12C5</v>
      </c>
    </row>
    <row r="51" spans="11:20" x14ac:dyDescent="0.25">
      <c r="K51">
        <f>chloroform!E56</f>
        <v>145</v>
      </c>
      <c r="L51">
        <f>Table3[[#This Row],[weight]]*(0.9155*Table2[[#This Row],[J1,2]]-A$9)^2</f>
        <v>3.8536021568426446E-4</v>
      </c>
      <c r="M51">
        <f>Table3[[#This Row],[weight]]*(0.9155*Table2[[#This Row],[J2,3]]-B$9)^2</f>
        <v>1.0020976373985817E-4</v>
      </c>
      <c r="N51">
        <f>Table3[[#This Row],[weight]]*(0.9155*Table2[[#This Row],[J34]]-C$9)^2</f>
        <v>2.1569219436009721E-3</v>
      </c>
      <c r="O51">
        <f>Table3[[#This Row],[weight]]*(0.9155*Table2[[#This Row],[J45]]-D$9)^2</f>
        <v>4.3281754437922704E-3</v>
      </c>
      <c r="P51">
        <f>Table3[[#This Row],[weight]]*(0.9155*Table2[[#This Row],[J56]]-E$9)^2</f>
        <v>1.7890805969329474E-2</v>
      </c>
      <c r="Q51">
        <f>Table3[[#This Row],[weight]]*(0.9155*Table2[[#This Row],[J67]]-F$9)^2</f>
        <v>3.2283028046480249E-2</v>
      </c>
      <c r="R51">
        <f>Table3[[#This Row],[weight]]*(0.9155*Table2[[#This Row],[J67'']]-G$9)^2</f>
        <v>2.282361147006114E-5</v>
      </c>
      <c r="S51">
        <f>chloroform!J56</f>
        <v>2.6492234570833355E-4</v>
      </c>
      <c r="T51" t="str">
        <f>chloroform!F56</f>
        <v>5C12</v>
      </c>
    </row>
    <row r="52" spans="11:20" x14ac:dyDescent="0.25">
      <c r="K52">
        <f>chloroform!E57</f>
        <v>166</v>
      </c>
      <c r="L52">
        <f>Table3[[#This Row],[weight]]*(0.9155*Table2[[#This Row],[J1,2]]-A$9)^2</f>
        <v>3.1959387901314756E-3</v>
      </c>
      <c r="M52">
        <f>Table3[[#This Row],[weight]]*(0.9155*Table2[[#This Row],[J2,3]]-B$9)^2</f>
        <v>3.2919879160303367E-2</v>
      </c>
      <c r="N52">
        <f>Table3[[#This Row],[weight]]*(0.9155*Table2[[#This Row],[J34]]-C$9)^2</f>
        <v>6.1745355442057916E-3</v>
      </c>
      <c r="O52">
        <f>Table3[[#This Row],[weight]]*(0.9155*Table2[[#This Row],[J45]]-D$9)^2</f>
        <v>0.15896319469686362</v>
      </c>
      <c r="P52">
        <f>Table3[[#This Row],[weight]]*(0.9155*Table2[[#This Row],[J56]]-E$9)^2</f>
        <v>1.0441104031994431E-2</v>
      </c>
      <c r="Q52">
        <f>Table3[[#This Row],[weight]]*(0.9155*Table2[[#This Row],[J67]]-F$9)^2</f>
        <v>5.3700427978756659E-4</v>
      </c>
      <c r="R52">
        <f>Table3[[#This Row],[weight]]*(0.9155*Table2[[#This Row],[J67'']]-G$9)^2</f>
        <v>5.1179938136495531E-2</v>
      </c>
      <c r="S52">
        <f>chloroform!J57</f>
        <v>1.4850564090781132E-3</v>
      </c>
      <c r="T52" t="str">
        <f>chloroform!F57</f>
        <v>5C12</v>
      </c>
    </row>
    <row r="53" spans="11:20" x14ac:dyDescent="0.25">
      <c r="K53">
        <f>chloroform!E58</f>
        <v>173</v>
      </c>
      <c r="L53">
        <f>Table3[[#This Row],[weight]]*(0.9155*Table2[[#This Row],[J1,2]]-A$9)^2</f>
        <v>3.8032618815583759E-4</v>
      </c>
      <c r="M53">
        <f>Table3[[#This Row],[weight]]*(0.9155*Table2[[#This Row],[J2,3]]-B$9)^2</f>
        <v>1.0316560726440779E-4</v>
      </c>
      <c r="N53">
        <f>Table3[[#This Row],[weight]]*(0.9155*Table2[[#This Row],[J34]]-C$9)^2</f>
        <v>3.1006463337810634E-3</v>
      </c>
      <c r="O53">
        <f>Table3[[#This Row],[weight]]*(0.9155*Table2[[#This Row],[J45]]-D$9)^2</f>
        <v>4.9988377825985241E-3</v>
      </c>
      <c r="P53">
        <f>Table3[[#This Row],[weight]]*(0.9155*Table2[[#This Row],[J56]]-E$9)^2</f>
        <v>1.886433888071113E-2</v>
      </c>
      <c r="Q53">
        <f>Table3[[#This Row],[weight]]*(0.9155*Table2[[#This Row],[J67]]-F$9)^2</f>
        <v>2.3583374250908009E-5</v>
      </c>
      <c r="R53">
        <f>Table3[[#This Row],[weight]]*(0.9155*Table2[[#This Row],[J67'']]-G$9)^2</f>
        <v>8.1308714081133986E-3</v>
      </c>
      <c r="S53">
        <f>chloroform!J58</f>
        <v>3.1230665349553491E-4</v>
      </c>
      <c r="T53" t="str">
        <f>chloroform!F58</f>
        <v>12C5</v>
      </c>
    </row>
    <row r="54" spans="11:20" x14ac:dyDescent="0.25">
      <c r="K54">
        <f>chloroform!E59</f>
        <v>191</v>
      </c>
      <c r="L54">
        <f>Table3[[#This Row],[weight]]*(0.9155*Table2[[#This Row],[J1,2]]-A$9)^2</f>
        <v>6.48738688843969E-5</v>
      </c>
      <c r="M54">
        <f>Table3[[#This Row],[weight]]*(0.9155*Table2[[#This Row],[J2,3]]-B$9)^2</f>
        <v>2.0110139946352506E-6</v>
      </c>
      <c r="N54">
        <f>Table3[[#This Row],[weight]]*(0.9155*Table2[[#This Row],[J34]]-C$9)^2</f>
        <v>6.2098390707827824E-4</v>
      </c>
      <c r="O54">
        <f>Table3[[#This Row],[weight]]*(0.9155*Table2[[#This Row],[J45]]-D$9)^2</f>
        <v>1.1323063931699725E-3</v>
      </c>
      <c r="P54">
        <f>Table3[[#This Row],[weight]]*(0.9155*Table2[[#This Row],[J56]]-E$9)^2</f>
        <v>5.6390424993521832E-3</v>
      </c>
      <c r="Q54">
        <f>Table3[[#This Row],[weight]]*(0.9155*Table2[[#This Row],[J67]]-F$9)^2</f>
        <v>9.8111087988587073E-3</v>
      </c>
      <c r="R54">
        <f>Table3[[#This Row],[weight]]*(0.9155*Table2[[#This Row],[J67'']]-G$9)^2</f>
        <v>2.8351536333252799E-6</v>
      </c>
      <c r="S54">
        <f>chloroform!J59</f>
        <v>8.3223081917846813E-5</v>
      </c>
      <c r="T54" t="str">
        <f>chloroform!F59</f>
        <v>12C5</v>
      </c>
    </row>
    <row r="55" spans="11:20" x14ac:dyDescent="0.25">
      <c r="K55">
        <f>chloroform!E60</f>
        <v>193</v>
      </c>
      <c r="L55">
        <f>Table3[[#This Row],[weight]]*(0.9155*Table2[[#This Row],[J1,2]]-A$9)^2</f>
        <v>1.3348187108197065E-3</v>
      </c>
      <c r="M55">
        <f>Table3[[#This Row],[weight]]*(0.9155*Table2[[#This Row],[J2,3]]-B$9)^2</f>
        <v>5.7076044637974785E-4</v>
      </c>
      <c r="N55">
        <f>Table3[[#This Row],[weight]]*(0.9155*Table2[[#This Row],[J34]]-C$9)^2</f>
        <v>9.752891853720861E-3</v>
      </c>
      <c r="O55">
        <f>Table3[[#This Row],[weight]]*(0.9155*Table2[[#This Row],[J45]]-D$9)^2</f>
        <v>1.5209483034768857E-2</v>
      </c>
      <c r="P55">
        <f>Table3[[#This Row],[weight]]*(0.9155*Table2[[#This Row],[J56]]-E$9)^2</f>
        <v>6.105502004506904E-2</v>
      </c>
      <c r="Q55">
        <f>Table3[[#This Row],[weight]]*(0.9155*Table2[[#This Row],[J67]]-F$9)^2</f>
        <v>6.3430746555136996E-6</v>
      </c>
      <c r="R55">
        <f>Table3[[#This Row],[weight]]*(0.9155*Table2[[#This Row],[J67'']]-G$9)^2</f>
        <v>2.1873801345286936E-2</v>
      </c>
      <c r="S55">
        <f>chloroform!J60</f>
        <v>9.9618615453542616E-4</v>
      </c>
      <c r="T55" t="str">
        <f>chloroform!F60</f>
        <v>12C5</v>
      </c>
    </row>
    <row r="56" spans="11:20" x14ac:dyDescent="0.25">
      <c r="K56">
        <f>chloroform!E61</f>
        <v>197</v>
      </c>
      <c r="L56">
        <f>Table3[[#This Row],[weight]]*(0.9155*Table2[[#This Row],[J1,2]]-A$9)^2</f>
        <v>0</v>
      </c>
      <c r="M56">
        <f>Table3[[#This Row],[weight]]*(0.9155*Table2[[#This Row],[J2,3]]-B$9)^2</f>
        <v>0</v>
      </c>
      <c r="N56">
        <f>Table3[[#This Row],[weight]]*(0.9155*Table2[[#This Row],[J34]]-C$9)^2</f>
        <v>0</v>
      </c>
      <c r="O56">
        <f>Table3[[#This Row],[weight]]*(0.9155*Table2[[#This Row],[J45]]-D$9)^2</f>
        <v>0</v>
      </c>
      <c r="P56">
        <f>Table3[[#This Row],[weight]]*(0.9155*Table2[[#This Row],[J56]]-E$9)^2</f>
        <v>0</v>
      </c>
      <c r="Q56">
        <f>Table3[[#This Row],[weight]]*(0.9155*Table2[[#This Row],[J67]]-F$9)^2</f>
        <v>0</v>
      </c>
      <c r="R56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>
        <f>Table3[[#This Row],[weight]]*(0.9155*Table2[[#This Row],[J1,2]]-A$9)^2</f>
        <v>6.3633771704635936E-5</v>
      </c>
      <c r="M57">
        <f>Table3[[#This Row],[weight]]*(0.9155*Table2[[#This Row],[J2,3]]-B$9)^2</f>
        <v>8.9907962986224103E-4</v>
      </c>
      <c r="N57">
        <f>Table3[[#This Row],[weight]]*(0.9155*Table2[[#This Row],[J34]]-C$9)^2</f>
        <v>3.2221829314136078E-4</v>
      </c>
      <c r="O57">
        <f>Table3[[#This Row],[weight]]*(0.9155*Table2[[#This Row],[J45]]-D$9)^2</f>
        <v>3.5712093396295577E-3</v>
      </c>
      <c r="P57">
        <f>Table3[[#This Row],[weight]]*(0.9155*Table2[[#This Row],[J56]]-E$9)^2</f>
        <v>1.8734447702494975E-4</v>
      </c>
      <c r="Q57">
        <f>Table3[[#This Row],[weight]]*(0.9155*Table2[[#This Row],[J67]]-F$9)^2</f>
        <v>1.1568258149627905E-6</v>
      </c>
      <c r="R57">
        <f>Table3[[#This Row],[weight]]*(0.9155*Table2[[#This Row],[J67'']]-G$9)^2</f>
        <v>8.6182269554139612E-4</v>
      </c>
      <c r="S57">
        <f>chloroform!J62</f>
        <v>3.3546528592854553E-5</v>
      </c>
      <c r="T57" t="str">
        <f>chloroform!F62</f>
        <v>5C12</v>
      </c>
    </row>
    <row r="58" spans="11:20" x14ac:dyDescent="0.25">
      <c r="K58">
        <f>chloroform!E63</f>
        <v>212</v>
      </c>
      <c r="L58">
        <f>Table3[[#This Row],[weight]]*(0.9155*Table2[[#This Row],[J1,2]]-A$9)^2</f>
        <v>2.5383200320073834E-4</v>
      </c>
      <c r="M58">
        <f>Table3[[#This Row],[weight]]*(0.9155*Table2[[#This Row],[J2,3]]-B$9)^2</f>
        <v>9.5852919045035377E-5</v>
      </c>
      <c r="N58">
        <f>Table3[[#This Row],[weight]]*(0.9155*Table2[[#This Row],[J34]]-C$9)^2</f>
        <v>3.0480500281335854E-3</v>
      </c>
      <c r="O58">
        <f>Table3[[#This Row],[weight]]*(0.9155*Table2[[#This Row],[J45]]-D$9)^2</f>
        <v>3.2177950431428416E-3</v>
      </c>
      <c r="P58">
        <f>Table3[[#This Row],[weight]]*(0.9155*Table2[[#This Row],[J56]]-E$9)^2</f>
        <v>1.3785385213035789E-2</v>
      </c>
      <c r="Q58">
        <f>Table3[[#This Row],[weight]]*(0.9155*Table2[[#This Row],[J67]]-F$9)^2</f>
        <v>1.9420304393529253E-5</v>
      </c>
      <c r="R58">
        <f>Table3[[#This Row],[weight]]*(0.9155*Table2[[#This Row],[J67'']]-G$9)^2</f>
        <v>5.9413802480464076E-3</v>
      </c>
      <c r="S58">
        <f>chloroform!J63</f>
        <v>2.3827472586826856E-4</v>
      </c>
      <c r="T58" t="str">
        <f>chloroform!F63</f>
        <v>12C5</v>
      </c>
    </row>
    <row r="59" spans="11:20" x14ac:dyDescent="0.25">
      <c r="K59">
        <f>chloroform!E64</f>
        <v>215</v>
      </c>
      <c r="L59">
        <f>Table3[[#This Row],[weight]]*(0.9155*Table2[[#This Row],[J1,2]]-A$9)^2</f>
        <v>1.7580500310963928E-3</v>
      </c>
      <c r="M59">
        <f>Table3[[#This Row],[weight]]*(0.9155*Table2[[#This Row],[J2,3]]-B$9)^2</f>
        <v>3.7640238884449964E-4</v>
      </c>
      <c r="N59">
        <f>Table3[[#This Row],[weight]]*(0.9155*Table2[[#This Row],[J34]]-C$9)^2</f>
        <v>1.1725589949360045E-2</v>
      </c>
      <c r="O59">
        <f>Table3[[#This Row],[weight]]*(0.9155*Table2[[#This Row],[J45]]-D$9)^2</f>
        <v>2.1473471785767941E-2</v>
      </c>
      <c r="P59">
        <f>Table3[[#This Row],[weight]]*(0.9155*Table2[[#This Row],[J56]]-E$9)^2</f>
        <v>8.5661311595121165E-2</v>
      </c>
      <c r="Q59">
        <f>Table3[[#This Row],[weight]]*(0.9155*Table2[[#This Row],[J67]]-F$9)^2</f>
        <v>2.3594439706095551E-5</v>
      </c>
      <c r="R59">
        <f>Table3[[#This Row],[weight]]*(0.9155*Table2[[#This Row],[J67'']]-G$9)^2</f>
        <v>2.978933258732264E-2</v>
      </c>
      <c r="S59">
        <f>chloroform!J64</f>
        <v>1.3545607204774369E-3</v>
      </c>
      <c r="T59" t="str">
        <f>chloroform!F64</f>
        <v>12C5</v>
      </c>
    </row>
    <row r="60" spans="11:20" x14ac:dyDescent="0.25">
      <c r="K60">
        <f>chloroform!E65</f>
        <v>219</v>
      </c>
      <c r="L60">
        <f>Table3[[#This Row],[weight]]*(0.9155*Table2[[#This Row],[J1,2]]-A$9)^2</f>
        <v>2.2521862007837974E-4</v>
      </c>
      <c r="M60">
        <f>Table3[[#This Row],[weight]]*(0.9155*Table2[[#This Row],[J2,3]]-B$9)^2</f>
        <v>1.2462349461190404E-4</v>
      </c>
      <c r="N60">
        <f>Table3[[#This Row],[weight]]*(0.9155*Table2[[#This Row],[J34]]-C$9)^2</f>
        <v>8.9222653085574682E-4</v>
      </c>
      <c r="O60">
        <f>Table3[[#This Row],[weight]]*(0.9155*Table2[[#This Row],[J45]]-D$9)^2</f>
        <v>1.9746358430444235E-3</v>
      </c>
      <c r="P60">
        <f>Table3[[#This Row],[weight]]*(0.9155*Table2[[#This Row],[J56]]-E$9)^2</f>
        <v>4.1300959661044216E-3</v>
      </c>
      <c r="Q60">
        <f>Table3[[#This Row],[weight]]*(0.9155*Table2[[#This Row],[J67]]-F$9)^2</f>
        <v>2.9072547154821568E-5</v>
      </c>
      <c r="R60">
        <f>Table3[[#This Row],[weight]]*(0.9155*Table2[[#This Row],[J67'']]-G$9)^2</f>
        <v>1.773443922118615E-3</v>
      </c>
      <c r="S60">
        <f>chloroform!J65</f>
        <v>7.6320176629363033E-5</v>
      </c>
      <c r="T60" t="str">
        <f>chloroform!F65</f>
        <v>12C5</v>
      </c>
    </row>
    <row r="61" spans="11:20" x14ac:dyDescent="0.25">
      <c r="K61">
        <f>chloroform!E66</f>
        <v>220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>
        <f>Table3[[#This Row],[weight]]*(0.9155*Table2[[#This Row],[J1,2]]-A$9)^2</f>
        <v>1.5711916743815552E-3</v>
      </c>
      <c r="M62">
        <f>Table3[[#This Row],[weight]]*(0.9155*Table2[[#This Row],[J2,3]]-B$9)^2</f>
        <v>6.5281867304977476E-4</v>
      </c>
      <c r="N62">
        <f>Table3[[#This Row],[weight]]*(0.9155*Table2[[#This Row],[J34]]-C$9)^2</f>
        <v>1.1002355994506092E-2</v>
      </c>
      <c r="O62">
        <f>Table3[[#This Row],[weight]]*(0.9155*Table2[[#This Row],[J45]]-D$9)^2</f>
        <v>1.761107968846613E-2</v>
      </c>
      <c r="P62">
        <f>Table3[[#This Row],[weight]]*(0.9155*Table2[[#This Row],[J56]]-E$9)^2</f>
        <v>6.5660373353482016E-2</v>
      </c>
      <c r="Q62">
        <f>Table3[[#This Row],[weight]]*(0.9155*Table2[[#This Row],[J67]]-F$9)^2</f>
        <v>1.1845884957144443E-4</v>
      </c>
      <c r="R62">
        <f>Table3[[#This Row],[weight]]*(0.9155*Table2[[#This Row],[J67'']]-G$9)^2</f>
        <v>2.8540786142893244E-2</v>
      </c>
      <c r="S62">
        <f>chloroform!J67</f>
        <v>1.1017794293864231E-3</v>
      </c>
      <c r="T62" t="str">
        <f>chloroform!F67</f>
        <v>12C5</v>
      </c>
    </row>
    <row r="63" spans="11:20" x14ac:dyDescent="0.25">
      <c r="K63">
        <f>chloroform!E68</f>
        <v>272</v>
      </c>
      <c r="L63">
        <f>Table3[[#This Row],[weight]]*(0.9155*Table2[[#This Row],[J1,2]]-A$9)^2</f>
        <v>1.6651913202240235E-4</v>
      </c>
      <c r="M63">
        <f>Table3[[#This Row],[weight]]*(0.9155*Table2[[#This Row],[J2,3]]-B$9)^2</f>
        <v>3.8956937819923641E-3</v>
      </c>
      <c r="N63">
        <f>Table3[[#This Row],[weight]]*(0.9155*Table2[[#This Row],[J34]]-C$9)^2</f>
        <v>6.0394353805267057E-3</v>
      </c>
      <c r="O63">
        <f>Table3[[#This Row],[weight]]*(0.9155*Table2[[#This Row],[J45]]-D$9)^2</f>
        <v>1.5179604090764277E-2</v>
      </c>
      <c r="P63">
        <f>Table3[[#This Row],[weight]]*(0.9155*Table2[[#This Row],[J56]]-E$9)^2</f>
        <v>1.2728093064610951E-4</v>
      </c>
      <c r="Q63">
        <f>Table3[[#This Row],[weight]]*(0.9155*Table2[[#This Row],[J67]]-F$9)^2</f>
        <v>1.341397584438997E-4</v>
      </c>
      <c r="R63">
        <f>Table3[[#This Row],[weight]]*(0.9155*Table2[[#This Row],[J67'']]-G$9)^2</f>
        <v>3.005004509953365E-3</v>
      </c>
      <c r="S63">
        <f>chloroform!J68</f>
        <v>1.9376116686611894E-4</v>
      </c>
      <c r="T63" t="str">
        <f>chloroform!F68</f>
        <v>5C12</v>
      </c>
    </row>
    <row r="64" spans="11:20" x14ac:dyDescent="0.25">
      <c r="K64">
        <f>chloroform!E69</f>
        <v>276</v>
      </c>
      <c r="L64">
        <f>Table3[[#This Row],[weight]]*(0.9155*Table2[[#This Row],[J1,2]]-A$9)^2</f>
        <v>3.2903930813728266E-8</v>
      </c>
      <c r="M64">
        <f>Table3[[#This Row],[weight]]*(0.9155*Table2[[#This Row],[J2,3]]-B$9)^2</f>
        <v>1.4703239055160777E-8</v>
      </c>
      <c r="N64">
        <f>Table3[[#This Row],[weight]]*(0.9155*Table2[[#This Row],[J34]]-C$9)^2</f>
        <v>1.8477886919456963E-7</v>
      </c>
      <c r="O64">
        <f>Table3[[#This Row],[weight]]*(0.9155*Table2[[#This Row],[J45]]-D$9)^2</f>
        <v>5.3571647213585469E-6</v>
      </c>
      <c r="P64">
        <f>Table3[[#This Row],[weight]]*(0.9155*Table2[[#This Row],[J56]]-E$9)^2</f>
        <v>4.4441856139153756E-5</v>
      </c>
      <c r="Q64">
        <f>Table3[[#This Row],[weight]]*(0.9155*Table2[[#This Row],[J67]]-F$9)^2</f>
        <v>1.0191596494095577E-5</v>
      </c>
      <c r="R64">
        <f>Table3[[#This Row],[weight]]*(0.9155*Table2[[#This Row],[J67'']]-G$9)^2</f>
        <v>5.3242355760856411E-4</v>
      </c>
      <c r="S64">
        <f>chloroform!J69</f>
        <v>3.6927093872296872E-5</v>
      </c>
      <c r="T64" t="str">
        <f>chloroform!F69</f>
        <v>4H6</v>
      </c>
    </row>
    <row r="65" spans="11:20" x14ac:dyDescent="0.25">
      <c r="K65">
        <f>chloroform!E70</f>
        <v>278</v>
      </c>
      <c r="L65">
        <f>Table3[[#This Row],[weight]]*(0.9155*Table2[[#This Row],[J1,2]]-A$9)^2</f>
        <v>0</v>
      </c>
      <c r="M65">
        <f>Table3[[#This Row],[weight]]*(0.9155*Table2[[#This Row],[J2,3]]-B$9)^2</f>
        <v>0</v>
      </c>
      <c r="N65">
        <f>Table3[[#This Row],[weight]]*(0.9155*Table2[[#This Row],[J34]]-C$9)^2</f>
        <v>0</v>
      </c>
      <c r="O65">
        <f>Table3[[#This Row],[weight]]*(0.9155*Table2[[#This Row],[J45]]-D$9)^2</f>
        <v>0</v>
      </c>
      <c r="P65">
        <f>Table3[[#This Row],[weight]]*(0.9155*Table2[[#This Row],[J56]]-E$9)^2</f>
        <v>0</v>
      </c>
      <c r="Q65">
        <f>Table3[[#This Row],[weight]]*(0.9155*Table2[[#This Row],[J67]]-F$9)^2</f>
        <v>0</v>
      </c>
      <c r="R65">
        <f>Table3[[#This Row],[weight]]*(0.9155*Table2[[#This Row],[J67'']]-G$9)^2</f>
        <v>0</v>
      </c>
      <c r="S65">
        <f>chloroform!J70</f>
        <v>0</v>
      </c>
      <c r="T65" t="str">
        <f>chloroform!F70</f>
        <v>5C12</v>
      </c>
    </row>
    <row r="66" spans="11:20" x14ac:dyDescent="0.25">
      <c r="K66">
        <f>chloroform!E71</f>
        <v>283</v>
      </c>
      <c r="L66">
        <f>Table3[[#This Row],[weight]]*(0.9155*Table2[[#This Row],[J1,2]]-A$9)^2</f>
        <v>5.1804894332826553E-5</v>
      </c>
      <c r="M66">
        <f>Table3[[#This Row],[weight]]*(0.9155*Table2[[#This Row],[J2,3]]-B$9)^2</f>
        <v>1.5744411399506312E-3</v>
      </c>
      <c r="N66">
        <f>Table3[[#This Row],[weight]]*(0.9155*Table2[[#This Row],[J34]]-C$9)^2</f>
        <v>1.4085335554091106E-3</v>
      </c>
      <c r="O66">
        <f>Table3[[#This Row],[weight]]*(0.9155*Table2[[#This Row],[J45]]-D$9)^2</f>
        <v>5.3637376881184454E-3</v>
      </c>
      <c r="P66">
        <f>Table3[[#This Row],[weight]]*(0.9155*Table2[[#This Row],[J56]]-E$9)^2</f>
        <v>9.0297141872501858E-5</v>
      </c>
      <c r="Q66">
        <f>Table3[[#This Row],[weight]]*(0.9155*Table2[[#This Row],[J67]]-F$9)^2</f>
        <v>5.5672727392106821E-3</v>
      </c>
      <c r="R66">
        <f>Table3[[#This Row],[weight]]*(0.9155*Table2[[#This Row],[J67'']]-G$9)^2</f>
        <v>7.8497601188388033E-4</v>
      </c>
      <c r="S66">
        <f>chloroform!J71</f>
        <v>7.1524787727351489E-5</v>
      </c>
      <c r="T66" t="str">
        <f>chloroform!F71</f>
        <v>5C12</v>
      </c>
    </row>
    <row r="67" spans="11:20" x14ac:dyDescent="0.25">
      <c r="K67">
        <f>chloroform!E72</f>
        <v>290</v>
      </c>
      <c r="L67">
        <f>Table3[[#This Row],[weight]]*(0.9155*Table2[[#This Row],[J1,2]]-A$9)^2</f>
        <v>0</v>
      </c>
      <c r="M67">
        <f>Table3[[#This Row],[weight]]*(0.9155*Table2[[#This Row],[J2,3]]-B$9)^2</f>
        <v>0</v>
      </c>
      <c r="N67">
        <f>Table3[[#This Row],[weight]]*(0.9155*Table2[[#This Row],[J34]]-C$9)^2</f>
        <v>0</v>
      </c>
      <c r="O67">
        <f>Table3[[#This Row],[weight]]*(0.9155*Table2[[#This Row],[J45]]-D$9)^2</f>
        <v>0</v>
      </c>
      <c r="P67">
        <f>Table3[[#This Row],[weight]]*(0.9155*Table2[[#This Row],[J56]]-E$9)^2</f>
        <v>0</v>
      </c>
      <c r="Q67">
        <f>Table3[[#This Row],[weight]]*(0.9155*Table2[[#This Row],[J67]]-F$9)^2</f>
        <v>0</v>
      </c>
      <c r="R67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>
        <f>Table3[[#This Row],[weight]]*(0.9155*Table2[[#This Row],[J1,2]]-A$9)^2</f>
        <v>0</v>
      </c>
      <c r="M68">
        <f>Table3[[#This Row],[weight]]*(0.9155*Table2[[#This Row],[J2,3]]-B$9)^2</f>
        <v>0</v>
      </c>
      <c r="N68">
        <f>Table3[[#This Row],[weight]]*(0.9155*Table2[[#This Row],[J34]]-C$9)^2</f>
        <v>0</v>
      </c>
      <c r="O68">
        <f>Table3[[#This Row],[weight]]*(0.9155*Table2[[#This Row],[J45]]-D$9)^2</f>
        <v>0</v>
      </c>
      <c r="P68">
        <f>Table3[[#This Row],[weight]]*(0.9155*Table2[[#This Row],[J56]]-E$9)^2</f>
        <v>0</v>
      </c>
      <c r="Q68">
        <f>Table3[[#This Row],[weight]]*(0.9155*Table2[[#This Row],[J67]]-F$9)^2</f>
        <v>0</v>
      </c>
      <c r="R68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>
        <f>Table3[[#This Row],[weight]]*(0.9155*Table2[[#This Row],[J1,2]]-A$9)^2</f>
        <v>6.8899399284912576E-7</v>
      </c>
      <c r="M69">
        <f>Table3[[#This Row],[weight]]*(0.9155*Table2[[#This Row],[J2,3]]-B$9)^2</f>
        <v>2.2117577190490858E-6</v>
      </c>
      <c r="N69">
        <f>Table3[[#This Row],[weight]]*(0.9155*Table2[[#This Row],[J34]]-C$9)^2</f>
        <v>2.8607673212317149E-7</v>
      </c>
      <c r="O69">
        <f>Table3[[#This Row],[weight]]*(0.9155*Table2[[#This Row],[J45]]-D$9)^2</f>
        <v>1.4999869358321014E-5</v>
      </c>
      <c r="P69">
        <f>Table3[[#This Row],[weight]]*(0.9155*Table2[[#This Row],[J56]]-E$9)^2</f>
        <v>2.1060246696342053E-5</v>
      </c>
      <c r="Q69">
        <f>Table3[[#This Row],[weight]]*(0.9155*Table2[[#This Row],[J67]]-F$9)^2</f>
        <v>1.9556910111822615E-6</v>
      </c>
      <c r="R69">
        <f>Table3[[#This Row],[weight]]*(0.9155*Table2[[#This Row],[J67'']]-G$9)^2</f>
        <v>7.8471782354917242E-4</v>
      </c>
      <c r="S69">
        <f>chloroform!J74</f>
        <v>3.395064000996668E-5</v>
      </c>
      <c r="T69" t="str">
        <f>chloroform!F74</f>
        <v>4H6</v>
      </c>
    </row>
    <row r="70" spans="11:20" x14ac:dyDescent="0.25">
      <c r="K70">
        <f>chloroform!E75</f>
        <v>396</v>
      </c>
      <c r="L70">
        <f>Table3[[#This Row],[weight]]*(0.9155*Table2[[#This Row],[J1,2]]-A$9)^2</f>
        <v>0</v>
      </c>
      <c r="M70">
        <f>Table3[[#This Row],[weight]]*(0.9155*Table2[[#This Row],[J2,3]]-B$9)^2</f>
        <v>0</v>
      </c>
      <c r="N70">
        <f>Table3[[#This Row],[weight]]*(0.9155*Table2[[#This Row],[J34]]-C$9)^2</f>
        <v>0</v>
      </c>
      <c r="O70">
        <f>Table3[[#This Row],[weight]]*(0.9155*Table2[[#This Row],[J45]]-D$9)^2</f>
        <v>0</v>
      </c>
      <c r="P70">
        <f>Table3[[#This Row],[weight]]*(0.9155*Table2[[#This Row],[J56]]-E$9)^2</f>
        <v>0</v>
      </c>
      <c r="Q70">
        <f>Table3[[#This Row],[weight]]*(0.9155*Table2[[#This Row],[J67]]-F$9)^2</f>
        <v>0</v>
      </c>
      <c r="R70">
        <f>Table3[[#This Row],[weight]]*(0.9155*Table2[[#This Row],[J67'']]-G$9)^2</f>
        <v>0</v>
      </c>
      <c r="S70">
        <f>chloroform!J75</f>
        <v>0</v>
      </c>
      <c r="T70" t="str">
        <f>chloroform!F75</f>
        <v>4H6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B92A-13D4-4ABE-A335-DD3FA08D2472}">
  <dimension ref="A1:T70"/>
  <sheetViews>
    <sheetView workbookViewId="0">
      <selection activeCell="E2" sqref="E2"/>
    </sheetView>
  </sheetViews>
  <sheetFormatPr defaultRowHeight="15" x14ac:dyDescent="0.25"/>
  <cols>
    <col min="11" max="11" width="10.5703125" customWidth="1"/>
    <col min="12" max="12" width="12" bestFit="1" customWidth="1"/>
    <col min="13" max="19" width="9.28515625" bestFit="1" customWidth="1"/>
    <col min="20" max="20" width="14" customWidth="1"/>
  </cols>
  <sheetData>
    <row r="1" spans="1:20" x14ac:dyDescent="0.25">
      <c r="A1" t="s">
        <v>77</v>
      </c>
      <c r="B1">
        <f>SUMIF(Table1[Classification],E1,Table1[weight])</f>
        <v>0.12152207579370763</v>
      </c>
      <c r="D1" t="s">
        <v>11</v>
      </c>
      <c r="E1" t="s">
        <v>125</v>
      </c>
      <c r="G1">
        <f>COUNTIF(Table3[classification],E1)</f>
        <v>15</v>
      </c>
      <c r="K1" t="s">
        <v>76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74</v>
      </c>
      <c r="S1" t="s">
        <v>15</v>
      </c>
      <c r="T1" t="s">
        <v>75</v>
      </c>
    </row>
    <row r="2" spans="1:20" x14ac:dyDescent="0.25">
      <c r="K2">
        <f>chloroform!E7</f>
        <v>2</v>
      </c>
      <c r="L2">
        <f>Table3[[#This Row],[weight]]*(0.9155*Table2[[#This Row],[J1,2]]-A$9)^2</f>
        <v>1.7589516672376782E-2</v>
      </c>
      <c r="M2">
        <f>Table3[[#This Row],[weight]]*(0.9155*Table2[[#This Row],[J2,3]]-B$9)^2</f>
        <v>7.7187303141258955E-3</v>
      </c>
      <c r="N2">
        <f>Table3[[#This Row],[weight]]*(0.9155*Table2[[#This Row],[J34]]-C$9)^2</f>
        <v>0.29624496524637234</v>
      </c>
      <c r="O2">
        <f>Table3[[#This Row],[weight]]*(0.9155*Table2[[#This Row],[J45]]-D$9)^2</f>
        <v>0.48198793404083268</v>
      </c>
      <c r="P2">
        <f>Table3[[#This Row],[weight]]*(0.9155*Table2[[#This Row],[J56]]-E$9)^2</f>
        <v>7.8774115549326881E-2</v>
      </c>
      <c r="Q2">
        <f>Table3[[#This Row],[weight]]*(0.9155*Table2[[#This Row],[J67]]-F$9)^2</f>
        <v>1.0281540470647372E-2</v>
      </c>
      <c r="R2">
        <f>Table3[[#This Row],[weight]]*(0.9155*Table2[[#This Row],[J67'']]-G$9)^2</f>
        <v>0.34290114402417804</v>
      </c>
      <c r="S2">
        <f>chloroform!J7</f>
        <v>1.9057249081052711E-2</v>
      </c>
      <c r="T2" t="str">
        <f>chloroform!F7</f>
        <v>4H6</v>
      </c>
    </row>
    <row r="3" spans="1:20" x14ac:dyDescent="0.25">
      <c r="K3">
        <f>chloroform!E8</f>
        <v>3</v>
      </c>
      <c r="L3">
        <f>Table3[[#This Row],[weight]]*(0.9155*Table2[[#This Row],[J1,2]]-A$9)^2</f>
        <v>1.5706062531413868E-2</v>
      </c>
      <c r="M3">
        <f>Table3[[#This Row],[weight]]*(0.9155*Table2[[#This Row],[J2,3]]-B$9)^2</f>
        <v>2.3311436965565206E-2</v>
      </c>
      <c r="N3">
        <f>Table3[[#This Row],[weight]]*(0.9155*Table2[[#This Row],[J34]]-C$9)^2</f>
        <v>0.27381095261620481</v>
      </c>
      <c r="O3">
        <f>Table3[[#This Row],[weight]]*(0.9155*Table2[[#This Row],[J45]]-D$9)^2</f>
        <v>0.66226655274892421</v>
      </c>
      <c r="P3">
        <f>Table3[[#This Row],[weight]]*(0.9155*Table2[[#This Row],[J56]]-E$9)^2</f>
        <v>5.5521221233122017E-2</v>
      </c>
      <c r="Q3">
        <f>Table3[[#This Row],[weight]]*(0.9155*Table2[[#This Row],[J67]]-F$9)^2</f>
        <v>1.9303503187088095E-2</v>
      </c>
      <c r="R3">
        <f>Table3[[#This Row],[weight]]*(0.9155*Table2[[#This Row],[J67'']]-G$9)^2</f>
        <v>0.39202290570911102</v>
      </c>
      <c r="S3">
        <f>chloroform!J8</f>
        <v>2.3063301668355084E-2</v>
      </c>
      <c r="T3" t="str">
        <f>chloroform!F8</f>
        <v>4H6</v>
      </c>
    </row>
    <row r="4" spans="1:20" x14ac:dyDescent="0.25">
      <c r="A4" t="s">
        <v>67</v>
      </c>
      <c r="B4" t="s">
        <v>68</v>
      </c>
      <c r="C4" t="s">
        <v>69</v>
      </c>
      <c r="D4" t="s">
        <v>70</v>
      </c>
      <c r="E4" t="s">
        <v>71</v>
      </c>
      <c r="F4" t="s">
        <v>72</v>
      </c>
      <c r="G4" t="s">
        <v>74</v>
      </c>
      <c r="K4">
        <f>chloroform!E9</f>
        <v>4</v>
      </c>
      <c r="L4">
        <f>Table3[[#This Row],[weight]]*(0.9155*Table2[[#This Row],[J1,2]]-A$9)^2</f>
        <v>4.5053513570673179E-2</v>
      </c>
      <c r="M4">
        <f>Table3[[#This Row],[weight]]*(0.9155*Table2[[#This Row],[J2,3]]-B$9)^2</f>
        <v>7.9157645572357858E-3</v>
      </c>
      <c r="N4">
        <f>Table3[[#This Row],[weight]]*(0.9155*Table2[[#This Row],[J34]]-C$9)^2</f>
        <v>1.0206016444051849</v>
      </c>
      <c r="O4">
        <f>Table3[[#This Row],[weight]]*(0.9155*Table2[[#This Row],[J45]]-D$9)^2</f>
        <v>2.1229064721856483</v>
      </c>
      <c r="P4">
        <f>Table3[[#This Row],[weight]]*(0.9155*Table2[[#This Row],[J56]]-E$9)^2</f>
        <v>0.20670245739698975</v>
      </c>
      <c r="Q4">
        <f>Table3[[#This Row],[weight]]*(0.9155*Table2[[#This Row],[J67]]-F$9)^2</f>
        <v>0.10320644374252283</v>
      </c>
      <c r="R4">
        <f>Table3[[#This Row],[weight]]*(0.9155*Table2[[#This Row],[J67'']]-G$9)^2</f>
        <v>0.34936802237943737</v>
      </c>
      <c r="S4">
        <f>chloroform!J9</f>
        <v>7.1611254903191077E-2</v>
      </c>
      <c r="T4" t="str">
        <f>chloroform!F9</f>
        <v>4H6</v>
      </c>
    </row>
    <row r="5" spans="1:20" x14ac:dyDescent="0.25">
      <c r="A5">
        <f>SUMIF(Table1[Classification],E1,Table2[J1,23])/$B$1</f>
        <v>7.9890135354714529</v>
      </c>
      <c r="B5">
        <f>SUMIF(Table1[Classification],E1,Table2[J2,34])/$B$1</f>
        <v>8.4978170481757864</v>
      </c>
      <c r="C5">
        <f>SUMIF(Table1[Classification],E1,Table2[J345])/$B$1</f>
        <v>2.0007110110585433</v>
      </c>
      <c r="D5">
        <f>SUMIF(Table1[Classification],E1,Table2[J456])/$B$1</f>
        <v>5.8722489437212406</v>
      </c>
      <c r="E5">
        <f>SUMIF(Table1[Classification],E1,Table2[J567])/$B$1</f>
        <v>9.0554223192343226</v>
      </c>
      <c r="F5">
        <f>SUMIF(Table1[Classification],E1,Table2[J678])/$B$1</f>
        <v>2.0830436591562034</v>
      </c>
      <c r="G5">
        <f>SUMIF(Table1[Classification],E1,Table2[J67''9])/$B$1</f>
        <v>5.1997107308329324</v>
      </c>
      <c r="K5">
        <f>chloroform!E10</f>
        <v>6</v>
      </c>
      <c r="L5">
        <f>Table3[[#This Row],[weight]]*(0.9155*Table2[[#This Row],[J1,2]]-A$9)^2</f>
        <v>3.9422493809098375E-2</v>
      </c>
      <c r="M5">
        <f>Table3[[#This Row],[weight]]*(0.9155*Table2[[#This Row],[J2,3]]-B$9)^2</f>
        <v>3.9846941295537293E-2</v>
      </c>
      <c r="N5">
        <f>Table3[[#This Row],[weight]]*(0.9155*Table2[[#This Row],[J34]]-C$9)^2</f>
        <v>0.95193708426408774</v>
      </c>
      <c r="O5">
        <f>Table3[[#This Row],[weight]]*(0.9155*Table2[[#This Row],[J45]]-D$9)^2</f>
        <v>2.9674100369075003</v>
      </c>
      <c r="P5">
        <f>Table3[[#This Row],[weight]]*(0.9155*Table2[[#This Row],[J56]]-E$9)^2</f>
        <v>0.29380070953248655</v>
      </c>
      <c r="Q5">
        <f>Table3[[#This Row],[weight]]*(0.9155*Table2[[#This Row],[J67]]-F$9)^2</f>
        <v>9.3522197199739171E-2</v>
      </c>
      <c r="R5">
        <f>Table3[[#This Row],[weight]]*(0.9155*Table2[[#This Row],[J67'']]-G$9)^2</f>
        <v>0.65027262690354681</v>
      </c>
      <c r="S5">
        <f>chloroform!J10</f>
        <v>9.561004784446335E-2</v>
      </c>
      <c r="T5" t="str">
        <f>chloroform!F10</f>
        <v>4H6</v>
      </c>
    </row>
    <row r="6" spans="1:20" x14ac:dyDescent="0.25">
      <c r="K6">
        <f>chloroform!E11</f>
        <v>7</v>
      </c>
      <c r="L6">
        <f>Table3[[#This Row],[weight]]*(0.9155*Table2[[#This Row],[J1,2]]-A$9)^2</f>
        <v>2.3685722119718084E-5</v>
      </c>
      <c r="M6">
        <f>Table3[[#This Row],[weight]]*(0.9155*Table2[[#This Row],[J2,3]]-B$9)^2</f>
        <v>3.3619946228148406E-4</v>
      </c>
      <c r="N6">
        <f>Table3[[#This Row],[weight]]*(0.9155*Table2[[#This Row],[J34]]-C$9)^2</f>
        <v>1.095672471623057E-3</v>
      </c>
      <c r="O6">
        <f>Table3[[#This Row],[weight]]*(0.9155*Table2[[#This Row],[J45]]-D$9)^2</f>
        <v>5.2730636446714793E-5</v>
      </c>
      <c r="P6">
        <f>Table3[[#This Row],[weight]]*(0.9155*Table2[[#This Row],[J56]]-E$9)^2</f>
        <v>1.0436332195358298E-3</v>
      </c>
      <c r="Q6">
        <f>Table3[[#This Row],[weight]]*(0.9155*Table2[[#This Row],[J67]]-F$9)^2</f>
        <v>6.4059919306757164E-4</v>
      </c>
      <c r="R6">
        <f>Table3[[#This Row],[weight]]*(0.9155*Table2[[#This Row],[J67'']]-G$9)^2</f>
        <v>2.2850846102164948E-2</v>
      </c>
      <c r="S6">
        <f>chloroform!J11</f>
        <v>2.4965322936553718E-3</v>
      </c>
      <c r="T6" t="str">
        <f>chloroform!F11</f>
        <v>45TH</v>
      </c>
    </row>
    <row r="7" spans="1:20" x14ac:dyDescent="0.25">
      <c r="A7" t="s">
        <v>92</v>
      </c>
      <c r="K7">
        <f>chloroform!E12</f>
        <v>8</v>
      </c>
      <c r="L7">
        <f>Table3[[#This Row],[weight]]*(0.9155*Table2[[#This Row],[J1,2]]-A$9)^2</f>
        <v>2.0725477677539701E-2</v>
      </c>
      <c r="M7">
        <f>Table3[[#This Row],[weight]]*(0.9155*Table2[[#This Row],[J2,3]]-B$9)^2</f>
        <v>1.3310444394594389E-3</v>
      </c>
      <c r="N7">
        <f>Table3[[#This Row],[weight]]*(0.9155*Table2[[#This Row],[J34]]-C$9)^2</f>
        <v>0.50977990940323192</v>
      </c>
      <c r="O7">
        <f>Table3[[#This Row],[weight]]*(0.9155*Table2[[#This Row],[J45]]-D$9)^2</f>
        <v>1.6167697705150703</v>
      </c>
      <c r="P7">
        <f>Table3[[#This Row],[weight]]*(0.9155*Table2[[#This Row],[J56]]-E$9)^2</f>
        <v>0.15378600400089609</v>
      </c>
      <c r="Q7">
        <f>Table3[[#This Row],[weight]]*(0.9155*Table2[[#This Row],[J67]]-F$9)^2</f>
        <v>3.6500942316338048E-2</v>
      </c>
      <c r="R7">
        <f>Table3[[#This Row],[weight]]*(0.9155*Table2[[#This Row],[J67'']]-G$9)^2</f>
        <v>0.42089818836362164</v>
      </c>
      <c r="S7">
        <f>chloroform!J12</f>
        <v>5.4209287132338149E-2</v>
      </c>
      <c r="T7" t="str">
        <f>chloroform!F12</f>
        <v>4H6</v>
      </c>
    </row>
    <row r="8" spans="1:20" x14ac:dyDescent="0.25">
      <c r="A8" t="s">
        <v>67</v>
      </c>
      <c r="B8" t="s">
        <v>68</v>
      </c>
      <c r="C8" t="s">
        <v>69</v>
      </c>
      <c r="D8" t="s">
        <v>70</v>
      </c>
      <c r="E8" t="s">
        <v>71</v>
      </c>
      <c r="F8" t="s">
        <v>72</v>
      </c>
      <c r="G8" t="s">
        <v>74</v>
      </c>
      <c r="K8">
        <f>chloroform!E13</f>
        <v>9</v>
      </c>
      <c r="L8">
        <f>Table3[[#This Row],[weight]]*(0.9155*Table2[[#This Row],[J1,2]]-A$9)^2</f>
        <v>3.9061959590760982E-2</v>
      </c>
      <c r="M8">
        <f>Table3[[#This Row],[weight]]*(0.9155*Table2[[#This Row],[J2,3]]-B$9)^2</f>
        <v>1.4972183884234628E-2</v>
      </c>
      <c r="N8">
        <f>Table3[[#This Row],[weight]]*(0.9155*Table2[[#This Row],[J34]]-C$9)^2</f>
        <v>0.73517892309700361</v>
      </c>
      <c r="O8">
        <f>Table3[[#This Row],[weight]]*(0.9155*Table2[[#This Row],[J45]]-D$9)^2</f>
        <v>1.2245625554139015</v>
      </c>
      <c r="P8">
        <f>Table3[[#This Row],[weight]]*(0.9155*Table2[[#This Row],[J56]]-E$9)^2</f>
        <v>0.13759062968367478</v>
      </c>
      <c r="Q8">
        <f>Table3[[#This Row],[weight]]*(0.9155*Table2[[#This Row],[J67]]-F$9)^2</f>
        <v>4.1211755462869917E-3</v>
      </c>
      <c r="R8">
        <f>Table3[[#This Row],[weight]]*(0.9155*Table2[[#This Row],[J67'']]-G$9)^2</f>
        <v>0.78776650402142101</v>
      </c>
      <c r="S8">
        <f>chloroform!J13</f>
        <v>4.7513988929985589E-2</v>
      </c>
      <c r="T8" t="str">
        <f>chloroform!F13</f>
        <v>4H6</v>
      </c>
    </row>
    <row r="9" spans="1:20" x14ac:dyDescent="0.25">
      <c r="A9">
        <f t="shared" ref="A9:G9" si="0">A5</f>
        <v>7.9890135354714529</v>
      </c>
      <c r="B9">
        <f t="shared" si="0"/>
        <v>8.4978170481757864</v>
      </c>
      <c r="C9">
        <f t="shared" si="0"/>
        <v>2.0007110110585433</v>
      </c>
      <c r="D9">
        <f t="shared" si="0"/>
        <v>5.8722489437212406</v>
      </c>
      <c r="E9">
        <f t="shared" si="0"/>
        <v>9.0554223192343226</v>
      </c>
      <c r="F9">
        <f t="shared" si="0"/>
        <v>2.0830436591562034</v>
      </c>
      <c r="G9">
        <f t="shared" si="0"/>
        <v>5.1997107308329324</v>
      </c>
      <c r="K9">
        <f>chloroform!E14</f>
        <v>14</v>
      </c>
      <c r="L9">
        <f>Table3[[#This Row],[weight]]*(0.9155*Table2[[#This Row],[J1,2]]-A$9)^2</f>
        <v>0</v>
      </c>
      <c r="M9">
        <f>Table3[[#This Row],[weight]]*(0.9155*Table2[[#This Row],[J2,3]]-B$9)^2</f>
        <v>0</v>
      </c>
      <c r="N9">
        <f>Table3[[#This Row],[weight]]*(0.9155*Table2[[#This Row],[J34]]-C$9)^2</f>
        <v>0</v>
      </c>
      <c r="O9">
        <f>Table3[[#This Row],[weight]]*(0.9155*Table2[[#This Row],[J45]]-D$9)^2</f>
        <v>0</v>
      </c>
      <c r="P9">
        <f>Table3[[#This Row],[weight]]*(0.9155*Table2[[#This Row],[J56]]-E$9)^2</f>
        <v>0</v>
      </c>
      <c r="Q9">
        <f>Table3[[#This Row],[weight]]*(0.9155*Table2[[#This Row],[J67]]-F$9)^2</f>
        <v>0</v>
      </c>
      <c r="R9">
        <f>Table3[[#This Row],[weight]]*(0.9155*Table2[[#This Row],[J67'']]-G$9)^2</f>
        <v>0</v>
      </c>
      <c r="S9">
        <f>chloroform!J14</f>
        <v>0</v>
      </c>
      <c r="T9" t="str">
        <f>chloroform!F14</f>
        <v>45TH</v>
      </c>
    </row>
    <row r="10" spans="1:20" x14ac:dyDescent="0.25">
      <c r="K10">
        <f>chloroform!E15</f>
        <v>15</v>
      </c>
      <c r="L10">
        <f>Table3[[#This Row],[weight]]*(0.9155*Table2[[#This Row],[J1,2]]-A$9)^2</f>
        <v>3.6459969077770966E-6</v>
      </c>
      <c r="M10">
        <f>Table3[[#This Row],[weight]]*(0.9155*Table2[[#This Row],[J2,3]]-B$9)^2</f>
        <v>1.9108089877580115E-4</v>
      </c>
      <c r="N10">
        <f>Table3[[#This Row],[weight]]*(0.9155*Table2[[#This Row],[J34]]-C$9)^2</f>
        <v>2.304918218238818E-7</v>
      </c>
      <c r="O10">
        <f>Table3[[#This Row],[weight]]*(0.9155*Table2[[#This Row],[J45]]-D$9)^2</f>
        <v>9.9839984311335284E-5</v>
      </c>
      <c r="P10">
        <f>Table3[[#This Row],[weight]]*(0.9155*Table2[[#This Row],[J56]]-E$9)^2</f>
        <v>1.0371562781692854E-3</v>
      </c>
      <c r="Q10">
        <f>Table3[[#This Row],[weight]]*(0.9155*Table2[[#This Row],[J67]]-F$9)^2</f>
        <v>5.5817091627703404E-3</v>
      </c>
      <c r="R10">
        <f>Table3[[#This Row],[weight]]*(0.9155*Table2[[#This Row],[J67'']]-G$9)^2</f>
        <v>0.38464093961361373</v>
      </c>
      <c r="S10">
        <f>chloroform!J15</f>
        <v>1.2857486644294968E-2</v>
      </c>
      <c r="T10" t="str">
        <f>chloroform!F15</f>
        <v>45TH</v>
      </c>
    </row>
    <row r="11" spans="1:20" x14ac:dyDescent="0.25">
      <c r="A11" t="s">
        <v>93</v>
      </c>
      <c r="K11">
        <f>chloroform!E16</f>
        <v>16</v>
      </c>
      <c r="L11">
        <f>Table3[[#This Row],[weight]]*(0.9155*Table2[[#This Row],[J1,2]]-A$9)^2</f>
        <v>5.4983195860208584E-2</v>
      </c>
      <c r="M11">
        <f>Table3[[#This Row],[weight]]*(0.9155*Table2[[#This Row],[J2,3]]-B$9)^2</f>
        <v>6.3152631922765642E-2</v>
      </c>
      <c r="N11">
        <f>Table3[[#This Row],[weight]]*(0.9155*Table2[[#This Row],[J34]]-C$9)^2</f>
        <v>1.0481759713053131</v>
      </c>
      <c r="O11">
        <f>Table3[[#This Row],[weight]]*(0.9155*Table2[[#This Row],[J45]]-D$9)^2</f>
        <v>2.9907920812993316</v>
      </c>
      <c r="P11">
        <f>Table3[[#This Row],[weight]]*(0.9155*Table2[[#This Row],[J56]]-E$9)^2</f>
        <v>0.34005907056605739</v>
      </c>
      <c r="Q11">
        <f>Table3[[#This Row],[weight]]*(0.9155*Table2[[#This Row],[J67]]-F$9)^2</f>
        <v>1.3144652375544667E-3</v>
      </c>
      <c r="R11">
        <f>Table3[[#This Row],[weight]]*(0.9155*Table2[[#This Row],[J67'']]-G$9)^2</f>
        <v>1.5188742763812455</v>
      </c>
      <c r="S11">
        <f>chloroform!J16</f>
        <v>9.7707504565616082E-2</v>
      </c>
      <c r="T11" t="str">
        <f>chloroform!F16</f>
        <v>4H6</v>
      </c>
    </row>
    <row r="12" spans="1:20" x14ac:dyDescent="0.25">
      <c r="A12" t="s">
        <v>67</v>
      </c>
      <c r="B12" t="s">
        <v>68</v>
      </c>
      <c r="C12" t="s">
        <v>69</v>
      </c>
      <c r="D12" t="s">
        <v>70</v>
      </c>
      <c r="E12" t="s">
        <v>71</v>
      </c>
      <c r="F12" t="s">
        <v>72</v>
      </c>
      <c r="G12" t="s">
        <v>74</v>
      </c>
      <c r="K12">
        <f>chloroform!E17</f>
        <v>17</v>
      </c>
      <c r="L12">
        <f>Table3[[#This Row],[weight]]*(0.9155*Table2[[#This Row],[J1,2]]-A$9)^2</f>
        <v>8.8571864345227181E-8</v>
      </c>
      <c r="M12">
        <f>Table3[[#This Row],[weight]]*(0.9155*Table2[[#This Row],[J2,3]]-B$9)^2</f>
        <v>3.1745927999308598E-4</v>
      </c>
      <c r="N12">
        <f>Table3[[#This Row],[weight]]*(0.9155*Table2[[#This Row],[J34]]-C$9)^2</f>
        <v>9.4178988850084511E-4</v>
      </c>
      <c r="O12">
        <f>Table3[[#This Row],[weight]]*(0.9155*Table2[[#This Row],[J45]]-D$9)^2</f>
        <v>8.5232227043755271E-3</v>
      </c>
      <c r="P12">
        <f>Table3[[#This Row],[weight]]*(0.9155*Table2[[#This Row],[J56]]-E$9)^2</f>
        <v>6.4300584905139634E-3</v>
      </c>
      <c r="Q12">
        <f>Table3[[#This Row],[weight]]*(0.9155*Table2[[#This Row],[J67]]-F$9)^2</f>
        <v>1.5915493925219059E-3</v>
      </c>
      <c r="R12">
        <f>Table3[[#This Row],[weight]]*(0.9155*Table2[[#This Row],[J67'']]-G$9)^2</f>
        <v>0.48864581833739384</v>
      </c>
      <c r="S12">
        <f>chloroform!J17</f>
        <v>4.0962521366163178E-2</v>
      </c>
      <c r="T12" t="str">
        <f>chloroform!F17</f>
        <v>45TH</v>
      </c>
    </row>
    <row r="13" spans="1:20" x14ac:dyDescent="0.25">
      <c r="A13">
        <f>SQRT(SUMIF($T$2:$T$46,$E$1,L$2:L$46)/(($G$1-1)*$B$1/$G$1))</f>
        <v>4.4329439812847954E-2</v>
      </c>
      <c r="B13">
        <f>SQRT(SUMIF($T$2:$T$46,$E$1,M$2:M$46)/(($G$1-1)*$B$1/$G$1))</f>
        <v>0.23291084663905362</v>
      </c>
      <c r="C13">
        <f>SQRT(SUMIF($T$2:$T$46,$E$1,N$2:N$46)/(($G$1-1)*$B$1/$G$1))</f>
        <v>0.22116115053519922</v>
      </c>
      <c r="D13">
        <f t="shared" ref="D13:F13" si="1">SQRT(SUMIF($T$2:$T$46,$E$1,O$2:O$46)/(($G$1-1)*$B$1/$G$1))</f>
        <v>0.46633332628876034</v>
      </c>
      <c r="E13">
        <f t="shared" si="1"/>
        <v>0.37148652266079329</v>
      </c>
      <c r="F13">
        <f t="shared" si="1"/>
        <v>0.48318005073186293</v>
      </c>
      <c r="G13">
        <f>SQRT(SUMIF($T$2:$T$46,$E$1,R$2:R$46)/(($G$1-1)*$B$1/$G$1))</f>
        <v>4.5825547638464466</v>
      </c>
      <c r="K13">
        <f>chloroform!E18</f>
        <v>19</v>
      </c>
      <c r="L13">
        <f>Table3[[#This Row],[weight]]*(0.9155*Table2[[#This Row],[J1,2]]-A$9)^2</f>
        <v>1.9245957987175274E-5</v>
      </c>
      <c r="M13">
        <f>Table3[[#This Row],[weight]]*(0.9155*Table2[[#This Row],[J2,3]]-B$9)^2</f>
        <v>0.10878795534540266</v>
      </c>
      <c r="N13">
        <f>Table3[[#This Row],[weight]]*(0.9155*Table2[[#This Row],[J34]]-C$9)^2</f>
        <v>0.19803800504591748</v>
      </c>
      <c r="O13">
        <f>Table3[[#This Row],[weight]]*(0.9155*Table2[[#This Row],[J45]]-D$9)^2</f>
        <v>1.725640981602412E-2</v>
      </c>
      <c r="P13">
        <f>Table3[[#This Row],[weight]]*(0.9155*Table2[[#This Row],[J56]]-E$9)^2</f>
        <v>0.19129044614365132</v>
      </c>
      <c r="Q13">
        <f>Table3[[#This Row],[weight]]*(0.9155*Table2[[#This Row],[J67]]-F$9)^2</f>
        <v>0.22578735564611563</v>
      </c>
      <c r="R13">
        <f>Table3[[#This Row],[weight]]*(0.9155*Table2[[#This Row],[J67'']]-G$9)^2</f>
        <v>2.1164367668423861E-4</v>
      </c>
      <c r="S13">
        <f>chloroform!J18</f>
        <v>2.4604409741756255E-3</v>
      </c>
      <c r="T13" t="str">
        <f>chloroform!F18</f>
        <v>6H4</v>
      </c>
    </row>
    <row r="14" spans="1:20" x14ac:dyDescent="0.25">
      <c r="K14">
        <f>chloroform!E19</f>
        <v>20</v>
      </c>
      <c r="L14">
        <f>Table3[[#This Row],[weight]]*(0.9155*Table2[[#This Row],[J1,2]]-A$9)^2</f>
        <v>6.3060539735004237E-2</v>
      </c>
      <c r="M14">
        <f>Table3[[#This Row],[weight]]*(0.9155*Table2[[#This Row],[J2,3]]-B$9)^2</f>
        <v>2.0304607239222686E-2</v>
      </c>
      <c r="N14">
        <f>Table3[[#This Row],[weight]]*(0.9155*Table2[[#This Row],[J34]]-C$9)^2</f>
        <v>1.3742573324368086</v>
      </c>
      <c r="O14">
        <f>Table3[[#This Row],[weight]]*(0.9155*Table2[[#This Row],[J45]]-D$9)^2</f>
        <v>2.3733614005438923</v>
      </c>
      <c r="P14">
        <f>Table3[[#This Row],[weight]]*(0.9155*Table2[[#This Row],[J56]]-E$9)^2</f>
        <v>0.27169495292397</v>
      </c>
      <c r="Q14">
        <f>Table3[[#This Row],[weight]]*(0.9155*Table2[[#This Row],[J67]]-F$9)^2</f>
        <v>1.1565341390432611E-2</v>
      </c>
      <c r="R14">
        <f>Table3[[#This Row],[weight]]*(0.9155*Table2[[#This Row],[J67'']]-G$9)^2</f>
        <v>0.9603409138844009</v>
      </c>
      <c r="S14">
        <f>chloroform!J19</f>
        <v>9.0579273806266847E-2</v>
      </c>
      <c r="T14" t="str">
        <f>chloroform!F19</f>
        <v>4H6</v>
      </c>
    </row>
    <row r="15" spans="1:20" x14ac:dyDescent="0.25">
      <c r="K15">
        <f>chloroform!E20</f>
        <v>21</v>
      </c>
      <c r="L15">
        <f>Table3[[#This Row],[weight]]*(0.9155*Table2[[#This Row],[J1,2]]-A$9)^2</f>
        <v>0</v>
      </c>
      <c r="M15">
        <f>Table3[[#This Row],[weight]]*(0.9155*Table2[[#This Row],[J2,3]]-B$9)^2</f>
        <v>0</v>
      </c>
      <c r="N15">
        <f>Table3[[#This Row],[weight]]*(0.9155*Table2[[#This Row],[J34]]-C$9)^2</f>
        <v>0</v>
      </c>
      <c r="O15">
        <f>Table3[[#This Row],[weight]]*(0.9155*Table2[[#This Row],[J45]]-D$9)^2</f>
        <v>0</v>
      </c>
      <c r="P15">
        <f>Table3[[#This Row],[weight]]*(0.9155*Table2[[#This Row],[J56]]-E$9)^2</f>
        <v>0</v>
      </c>
      <c r="Q15">
        <f>Table3[[#This Row],[weight]]*(0.9155*Table2[[#This Row],[J67]]-F$9)^2</f>
        <v>0</v>
      </c>
      <c r="R15">
        <f>Table3[[#This Row],[weight]]*(0.9155*Table2[[#This Row],[J67'']]-G$9)^2</f>
        <v>0</v>
      </c>
      <c r="S15">
        <f>chloroform!J20</f>
        <v>0</v>
      </c>
      <c r="T15" t="str">
        <f>chloroform!F20</f>
        <v>TH45</v>
      </c>
    </row>
    <row r="16" spans="1:20" x14ac:dyDescent="0.25">
      <c r="K16">
        <f>chloroform!E21</f>
        <v>22</v>
      </c>
      <c r="L16">
        <f>Table3[[#This Row],[weight]]*(0.9155*Table2[[#This Row],[J1,2]]-A$9)^2</f>
        <v>3.1860515449537086E-6</v>
      </c>
      <c r="M16">
        <f>Table3[[#This Row],[weight]]*(0.9155*Table2[[#This Row],[J2,3]]-B$9)^2</f>
        <v>2.7455430094623768E-5</v>
      </c>
      <c r="N16">
        <f>Table3[[#This Row],[weight]]*(0.9155*Table2[[#This Row],[J34]]-C$9)^2</f>
        <v>8.7120744892834852E-5</v>
      </c>
      <c r="O16">
        <f>Table3[[#This Row],[weight]]*(0.9155*Table2[[#This Row],[J45]]-D$9)^2</f>
        <v>4.7906532541307945E-5</v>
      </c>
      <c r="P16">
        <f>Table3[[#This Row],[weight]]*(0.9155*Table2[[#This Row],[J56]]-E$9)^2</f>
        <v>1.9420816227821731E-4</v>
      </c>
      <c r="Q16">
        <f>Table3[[#This Row],[weight]]*(0.9155*Table2[[#This Row],[J67]]-F$9)^2</f>
        <v>3.6750516693402835E-4</v>
      </c>
      <c r="R16">
        <f>Table3[[#This Row],[weight]]*(0.9155*Table2[[#This Row],[J67'']]-G$9)^2</f>
        <v>6.8696976229501534E-3</v>
      </c>
      <c r="S16">
        <f>chloroform!J21</f>
        <v>2.2704350414306422E-4</v>
      </c>
      <c r="T16" t="str">
        <f>chloroform!F21</f>
        <v>45TH</v>
      </c>
    </row>
    <row r="17" spans="11:20" x14ac:dyDescent="0.25">
      <c r="K17">
        <f>chloroform!E22</f>
        <v>23</v>
      </c>
      <c r="L17">
        <f>Table3[[#This Row],[weight]]*(0.9155*Table2[[#This Row],[J1,2]]-A$9)^2</f>
        <v>0</v>
      </c>
      <c r="M17">
        <f>Table3[[#This Row],[weight]]*(0.9155*Table2[[#This Row],[J2,3]]-B$9)^2</f>
        <v>0</v>
      </c>
      <c r="N17">
        <f>Table3[[#This Row],[weight]]*(0.9155*Table2[[#This Row],[J34]]-C$9)^2</f>
        <v>0</v>
      </c>
      <c r="O17">
        <f>Table3[[#This Row],[weight]]*(0.9155*Table2[[#This Row],[J45]]-D$9)^2</f>
        <v>0</v>
      </c>
      <c r="P17">
        <f>Table3[[#This Row],[weight]]*(0.9155*Table2[[#This Row],[J56]]-E$9)^2</f>
        <v>0</v>
      </c>
      <c r="Q17">
        <f>Table3[[#This Row],[weight]]*(0.9155*Table2[[#This Row],[J67]]-F$9)^2</f>
        <v>0</v>
      </c>
      <c r="R17">
        <f>Table3[[#This Row],[weight]]*(0.9155*Table2[[#This Row],[J67'']]-G$9)^2</f>
        <v>0</v>
      </c>
      <c r="S17">
        <f>chloroform!J22</f>
        <v>0</v>
      </c>
      <c r="T17" t="str">
        <f>chloroform!F22</f>
        <v>TH45</v>
      </c>
    </row>
    <row r="18" spans="11:20" x14ac:dyDescent="0.25">
      <c r="K18">
        <f>chloroform!E23</f>
        <v>24</v>
      </c>
      <c r="L18">
        <f>Table3[[#This Row],[weight]]*(0.9155*Table2[[#This Row],[J1,2]]-A$9)^2</f>
        <v>4.9255352493843996E-6</v>
      </c>
      <c r="M18">
        <f>Table3[[#This Row],[weight]]*(0.9155*Table2[[#This Row],[J2,3]]-B$9)^2</f>
        <v>2.7864019433279946E-5</v>
      </c>
      <c r="N18">
        <f>Table3[[#This Row],[weight]]*(0.9155*Table2[[#This Row],[J34]]-C$9)^2</f>
        <v>1.5325140262574074E-4</v>
      </c>
      <c r="O18">
        <f>Table3[[#This Row],[weight]]*(0.9155*Table2[[#This Row],[J45]]-D$9)^2</f>
        <v>1.1078060213418728E-6</v>
      </c>
      <c r="P18">
        <f>Table3[[#This Row],[weight]]*(0.9155*Table2[[#This Row],[J56]]-E$9)^2</f>
        <v>3.2307272618826752E-6</v>
      </c>
      <c r="Q18">
        <f>Table3[[#This Row],[weight]]*(0.9155*Table2[[#This Row],[J67]]-F$9)^2</f>
        <v>1.5391285564947742E-2</v>
      </c>
      <c r="R18">
        <f>Table3[[#This Row],[weight]]*(0.9155*Table2[[#This Row],[J67'']]-G$9)^2</f>
        <v>1.9570888654426052E-3</v>
      </c>
      <c r="S18">
        <f>chloroform!J23</f>
        <v>2.497589442962653E-4</v>
      </c>
      <c r="T18" t="str">
        <f>chloroform!F23</f>
        <v>45TH</v>
      </c>
    </row>
    <row r="19" spans="11:20" x14ac:dyDescent="0.25">
      <c r="K19">
        <f>chloroform!E24</f>
        <v>26</v>
      </c>
      <c r="L19">
        <f>Table3[[#This Row],[weight]]*(0.9155*Table2[[#This Row],[J1,2]]-A$9)^2</f>
        <v>9.8098942311015836E-6</v>
      </c>
      <c r="M19">
        <f>Table3[[#This Row],[weight]]*(0.9155*Table2[[#This Row],[J2,3]]-B$9)^2</f>
        <v>2.6976094649813387E-6</v>
      </c>
      <c r="N19">
        <f>Table3[[#This Row],[weight]]*(0.9155*Table2[[#This Row],[J34]]-C$9)^2</f>
        <v>4.834845099710553E-4</v>
      </c>
      <c r="O19">
        <f>Table3[[#This Row],[weight]]*(0.9155*Table2[[#This Row],[J45]]-D$9)^2</f>
        <v>1.1716836022448746E-2</v>
      </c>
      <c r="P19">
        <f>Table3[[#This Row],[weight]]*(0.9155*Table2[[#This Row],[J56]]-E$9)^2</f>
        <v>5.0467014756322062E-3</v>
      </c>
      <c r="Q19">
        <f>Table3[[#This Row],[weight]]*(0.9155*Table2[[#This Row],[J67]]-F$9)^2</f>
        <v>2.2669352124337705E-4</v>
      </c>
      <c r="R19">
        <f>Table3[[#This Row],[weight]]*(0.9155*Table2[[#This Row],[J67'']]-G$9)^2</f>
        <v>4.2839832508003974E-2</v>
      </c>
      <c r="S19">
        <f>chloroform!J24</f>
        <v>3.7853094611890181E-3</v>
      </c>
      <c r="T19" t="str">
        <f>chloroform!F24</f>
        <v>45TH</v>
      </c>
    </row>
    <row r="20" spans="11:20" x14ac:dyDescent="0.25">
      <c r="K20">
        <f>chloroform!E25</f>
        <v>27</v>
      </c>
      <c r="L20">
        <f>Table3[[#This Row],[weight]]*(0.9155*Table2[[#This Row],[J1,2]]-A$9)^2</f>
        <v>7.0107833196535629E-2</v>
      </c>
      <c r="M20">
        <f>Table3[[#This Row],[weight]]*(0.9155*Table2[[#This Row],[J2,3]]-B$9)^2</f>
        <v>3.1933212459433667E-2</v>
      </c>
      <c r="N20">
        <f>Table3[[#This Row],[weight]]*(0.9155*Table2[[#This Row],[J34]]-C$9)^2</f>
        <v>1.2046319340278242</v>
      </c>
      <c r="O20">
        <f>Table3[[#This Row],[weight]]*(0.9155*Table2[[#This Row],[J45]]-D$9)^2</f>
        <v>1.9176481184084198</v>
      </c>
      <c r="P20">
        <f>Table3[[#This Row],[weight]]*(0.9155*Table2[[#This Row],[J56]]-E$9)^2</f>
        <v>0.33221459255556801</v>
      </c>
      <c r="Q20">
        <f>Table3[[#This Row],[weight]]*(0.9155*Table2[[#This Row],[J67]]-F$9)^2</f>
        <v>6.3007950152963149E-2</v>
      </c>
      <c r="R20">
        <f>Table3[[#This Row],[weight]]*(0.9155*Table2[[#This Row],[J67'']]-G$9)^2</f>
        <v>1.7281130758717496</v>
      </c>
      <c r="S20">
        <f>chloroform!J25</f>
        <v>7.7277724589535662E-2</v>
      </c>
      <c r="T20" t="str">
        <f>chloroform!F25</f>
        <v>4H6</v>
      </c>
    </row>
    <row r="21" spans="11:20" x14ac:dyDescent="0.25">
      <c r="K21">
        <f>chloroform!E26</f>
        <v>30</v>
      </c>
      <c r="L21">
        <f>Table3[[#This Row],[weight]]*(0.9155*Table2[[#This Row],[J1,2]]-A$9)^2</f>
        <v>3.721282197021346E-5</v>
      </c>
      <c r="M21">
        <f>Table3[[#This Row],[weight]]*(0.9155*Table2[[#This Row],[J2,3]]-B$9)^2</f>
        <v>2.5009033723188603E-2</v>
      </c>
      <c r="N21">
        <f>Table3[[#This Row],[weight]]*(0.9155*Table2[[#This Row],[J34]]-C$9)^2</f>
        <v>4.8794009044301478E-2</v>
      </c>
      <c r="O21">
        <f>Table3[[#This Row],[weight]]*(0.9155*Table2[[#This Row],[J45]]-D$9)^2</f>
        <v>4.5899825553852684E-3</v>
      </c>
      <c r="P21">
        <f>Table3[[#This Row],[weight]]*(0.9155*Table2[[#This Row],[J56]]-E$9)^2</f>
        <v>4.5561744542958284E-2</v>
      </c>
      <c r="Q21">
        <f>Table3[[#This Row],[weight]]*(0.9155*Table2[[#This Row],[J67]]-F$9)^2</f>
        <v>4.8445539042251774E-2</v>
      </c>
      <c r="R21">
        <f>Table3[[#This Row],[weight]]*(0.9155*Table2[[#This Row],[J67'']]-G$9)^2</f>
        <v>1.6724647862713397E-3</v>
      </c>
      <c r="S21">
        <f>chloroform!J26</f>
        <v>5.7700870936292046E-4</v>
      </c>
      <c r="T21" t="str">
        <f>chloroform!F26</f>
        <v>6H4</v>
      </c>
    </row>
    <row r="22" spans="11:20" x14ac:dyDescent="0.25">
      <c r="K22">
        <f>chloroform!E27</f>
        <v>33</v>
      </c>
      <c r="L22">
        <f>Table3[[#This Row],[weight]]*(0.9155*Table2[[#This Row],[J1,2]]-A$9)^2</f>
        <v>1.0080324067598896E-5</v>
      </c>
      <c r="M22">
        <f>Table3[[#This Row],[weight]]*(0.9155*Table2[[#This Row],[J2,3]]-B$9)^2</f>
        <v>1.4183171787250119E-4</v>
      </c>
      <c r="N22">
        <f>Table3[[#This Row],[weight]]*(0.9155*Table2[[#This Row],[J34]]-C$9)^2</f>
        <v>1.9794578972269836E-4</v>
      </c>
      <c r="O22">
        <f>Table3[[#This Row],[weight]]*(0.9155*Table2[[#This Row],[J45]]-D$9)^2</f>
        <v>2.7587473260460232E-4</v>
      </c>
      <c r="P22">
        <f>Table3[[#This Row],[weight]]*(0.9155*Table2[[#This Row],[J56]]-E$9)^2</f>
        <v>4.707449948042393E-4</v>
      </c>
      <c r="Q22">
        <f>Table3[[#This Row],[weight]]*(0.9155*Table2[[#This Row],[J67]]-F$9)^2</f>
        <v>3.2920815504349207E-5</v>
      </c>
      <c r="R22">
        <f>Table3[[#This Row],[weight]]*(0.9155*Table2[[#This Row],[J67'']]-G$9)^2</f>
        <v>2.9649798052357401E-2</v>
      </c>
      <c r="S22">
        <f>chloroform!J27</f>
        <v>9.6924966522932761E-4</v>
      </c>
      <c r="T22" t="str">
        <f>chloroform!F27</f>
        <v>45TH</v>
      </c>
    </row>
    <row r="23" spans="11:20" x14ac:dyDescent="0.25">
      <c r="K23">
        <f>chloroform!E28</f>
        <v>34</v>
      </c>
      <c r="L23">
        <f>Table3[[#This Row],[weight]]*(0.9155*Table2[[#This Row],[J1,2]]-A$9)^2</f>
        <v>2.2757730542371408E-5</v>
      </c>
      <c r="M23">
        <f>Table3[[#This Row],[weight]]*(0.9155*Table2[[#This Row],[J2,3]]-B$9)^2</f>
        <v>1.8817790180484087E-2</v>
      </c>
      <c r="N23">
        <f>Table3[[#This Row],[weight]]*(0.9155*Table2[[#This Row],[J34]]-C$9)^2</f>
        <v>3.7715973804416561E-2</v>
      </c>
      <c r="O23">
        <f>Table3[[#This Row],[weight]]*(0.9155*Table2[[#This Row],[J45]]-D$9)^2</f>
        <v>5.3582689307383772E-3</v>
      </c>
      <c r="P23">
        <f>Table3[[#This Row],[weight]]*(0.9155*Table2[[#This Row],[J56]]-E$9)^2</f>
        <v>3.1564438359247923E-2</v>
      </c>
      <c r="Q23">
        <f>Table3[[#This Row],[weight]]*(0.9155*Table2[[#This Row],[J67]]-F$9)^2</f>
        <v>4.2701994518192681E-4</v>
      </c>
      <c r="R23">
        <f>Table3[[#This Row],[weight]]*(0.9155*Table2[[#This Row],[J67'']]-G$9)^2</f>
        <v>8.7023045949674929E-4</v>
      </c>
      <c r="S23">
        <f>chloroform!J28</f>
        <v>4.4725237778474384E-4</v>
      </c>
      <c r="T23" t="str">
        <f>chloroform!F28</f>
        <v>6H4</v>
      </c>
    </row>
    <row r="24" spans="11:20" x14ac:dyDescent="0.25">
      <c r="K24">
        <f>chloroform!E29</f>
        <v>38</v>
      </c>
      <c r="L24">
        <f>Table3[[#This Row],[weight]]*(0.9155*Table2[[#This Row],[J1,2]]-A$9)^2</f>
        <v>2.4965120181464118E-5</v>
      </c>
      <c r="M24">
        <f>Table3[[#This Row],[weight]]*(0.9155*Table2[[#This Row],[J2,3]]-B$9)^2</f>
        <v>1.2594851220237936E-5</v>
      </c>
      <c r="N24">
        <f>Table3[[#This Row],[weight]]*(0.9155*Table2[[#This Row],[J34]]-C$9)^2</f>
        <v>4.8270499992940195E-4</v>
      </c>
      <c r="O24">
        <f>Table3[[#This Row],[weight]]*(0.9155*Table2[[#This Row],[J45]]-D$9)^2</f>
        <v>1.8114705353969379E-3</v>
      </c>
      <c r="P24">
        <f>Table3[[#This Row],[weight]]*(0.9155*Table2[[#This Row],[J56]]-E$9)^2</f>
        <v>1.9118275884541841E-4</v>
      </c>
      <c r="Q24">
        <f>Table3[[#This Row],[weight]]*(0.9155*Table2[[#This Row],[J67]]-F$9)^2</f>
        <v>3.9262543628104348E-4</v>
      </c>
      <c r="R24">
        <f>Table3[[#This Row],[weight]]*(0.9155*Table2[[#This Row],[J67'']]-G$9)^2</f>
        <v>0.34313142874385621</v>
      </c>
      <c r="S24">
        <f>chloroform!J29</f>
        <v>2.8016696422438359E-2</v>
      </c>
      <c r="T24" t="str">
        <f>chloroform!F29</f>
        <v>45TH</v>
      </c>
    </row>
    <row r="25" spans="11:20" x14ac:dyDescent="0.25">
      <c r="K25">
        <f>chloroform!E30</f>
        <v>39</v>
      </c>
      <c r="L25">
        <f>Table3[[#This Row],[weight]]*(0.9155*Table2[[#This Row],[J1,2]]-A$9)^2</f>
        <v>8.1088836219023228E-2</v>
      </c>
      <c r="M25">
        <f>Table3[[#This Row],[weight]]*(0.9155*Table2[[#This Row],[J2,3]]-B$9)^2</f>
        <v>0.11162534930740645</v>
      </c>
      <c r="N25">
        <f>Table3[[#This Row],[weight]]*(0.9155*Table2[[#This Row],[J34]]-C$9)^2</f>
        <v>1.3791178987127901</v>
      </c>
      <c r="O25">
        <f>Table3[[#This Row],[weight]]*(0.9155*Table2[[#This Row],[J45]]-D$9)^2</f>
        <v>3.5970002740300409</v>
      </c>
      <c r="P25">
        <f>Table3[[#This Row],[weight]]*(0.9155*Table2[[#This Row],[J56]]-E$9)^2</f>
        <v>0.63577022672205552</v>
      </c>
      <c r="Q25">
        <f>Table3[[#This Row],[weight]]*(0.9155*Table2[[#This Row],[J67]]-F$9)^2</f>
        <v>8.9696897902583964E-2</v>
      </c>
      <c r="R25">
        <f>Table3[[#This Row],[weight]]*(0.9155*Table2[[#This Row],[J67'']]-G$9)^2</f>
        <v>2.8874814332416978</v>
      </c>
      <c r="S25">
        <f>chloroform!J30</f>
        <v>0.12286030176602797</v>
      </c>
      <c r="T25" t="str">
        <f>chloroform!F30</f>
        <v>4H6</v>
      </c>
    </row>
    <row r="26" spans="11:20" x14ac:dyDescent="0.25">
      <c r="K26">
        <f>chloroform!E31</f>
        <v>41</v>
      </c>
      <c r="L26">
        <f>Table3[[#This Row],[weight]]*(0.9155*Table2[[#This Row],[J1,2]]-A$9)^2</f>
        <v>6.3469092298797061E-2</v>
      </c>
      <c r="M26">
        <f>Table3[[#This Row],[weight]]*(0.9155*Table2[[#This Row],[J2,3]]-B$9)^2</f>
        <v>3.1656572097335793E-2</v>
      </c>
      <c r="N26">
        <f>Table3[[#This Row],[weight]]*(0.9155*Table2[[#This Row],[J34]]-C$9)^2</f>
        <v>0.96495991521089119</v>
      </c>
      <c r="O26">
        <f>Table3[[#This Row],[weight]]*(0.9155*Table2[[#This Row],[J45]]-D$9)^2</f>
        <v>2.1792673566386989</v>
      </c>
      <c r="P26">
        <f>Table3[[#This Row],[weight]]*(0.9155*Table2[[#This Row],[J56]]-E$9)^2</f>
        <v>0.29016618562335206</v>
      </c>
      <c r="Q26">
        <f>Table3[[#This Row],[weight]]*(0.9155*Table2[[#This Row],[J67]]-F$9)^2</f>
        <v>6.0672609724310413E-2</v>
      </c>
      <c r="R26">
        <f>Table3[[#This Row],[weight]]*(0.9155*Table2[[#This Row],[J67'']]-G$9)^2</f>
        <v>1.7875815371435693</v>
      </c>
      <c r="S26">
        <f>chloroform!J31</f>
        <v>7.7046547375829472E-2</v>
      </c>
      <c r="T26" t="str">
        <f>chloroform!F31</f>
        <v>4H6</v>
      </c>
    </row>
    <row r="27" spans="11:20" x14ac:dyDescent="0.25">
      <c r="K27">
        <f>chloroform!E32</f>
        <v>45</v>
      </c>
      <c r="L27">
        <f>Table3[[#This Row],[weight]]*(0.9155*Table2[[#This Row],[J1,2]]-A$9)^2</f>
        <v>0</v>
      </c>
      <c r="M27">
        <f>Table3[[#This Row],[weight]]*(0.9155*Table2[[#This Row],[J2,3]]-B$9)^2</f>
        <v>0</v>
      </c>
      <c r="N27">
        <f>Table3[[#This Row],[weight]]*(0.9155*Table2[[#This Row],[J34]]-C$9)^2</f>
        <v>0</v>
      </c>
      <c r="O27">
        <f>Table3[[#This Row],[weight]]*(0.9155*Table2[[#This Row],[J45]]-D$9)^2</f>
        <v>0</v>
      </c>
      <c r="P27">
        <f>Table3[[#This Row],[weight]]*(0.9155*Table2[[#This Row],[J56]]-E$9)^2</f>
        <v>0</v>
      </c>
      <c r="Q27">
        <f>Table3[[#This Row],[weight]]*(0.9155*Table2[[#This Row],[J67]]-F$9)^2</f>
        <v>0</v>
      </c>
      <c r="R27">
        <f>Table3[[#This Row],[weight]]*(0.9155*Table2[[#This Row],[J67'']]-G$9)^2</f>
        <v>0</v>
      </c>
      <c r="S27">
        <f>chloroform!J32</f>
        <v>0</v>
      </c>
      <c r="T27" t="str">
        <f>chloroform!F32</f>
        <v>45TH</v>
      </c>
    </row>
    <row r="28" spans="11:20" x14ac:dyDescent="0.25">
      <c r="K28">
        <f>chloroform!E33</f>
        <v>48</v>
      </c>
      <c r="L28">
        <f>Table3[[#This Row],[weight]]*(0.9155*Table2[[#This Row],[J1,2]]-A$9)^2</f>
        <v>2.0611514363336664E-2</v>
      </c>
      <c r="M28">
        <f>Table3[[#This Row],[weight]]*(0.9155*Table2[[#This Row],[J2,3]]-B$9)^2</f>
        <v>0.10208346597214939</v>
      </c>
      <c r="N28">
        <f>Table3[[#This Row],[weight]]*(0.9155*Table2[[#This Row],[J34]]-C$9)^2</f>
        <v>0.72643306222966253</v>
      </c>
      <c r="O28">
        <f>Table3[[#This Row],[weight]]*(0.9155*Table2[[#This Row],[J45]]-D$9)^2</f>
        <v>0.30964994349535513</v>
      </c>
      <c r="P28">
        <f>Table3[[#This Row],[weight]]*(0.9155*Table2[[#This Row],[J56]]-E$9)^2</f>
        <v>1.7245478318223102E-2</v>
      </c>
      <c r="Q28">
        <f>Table3[[#This Row],[weight]]*(0.9155*Table2[[#This Row],[J67]]-F$9)^2</f>
        <v>1.0407381945740776E-3</v>
      </c>
      <c r="R28">
        <f>Table3[[#This Row],[weight]]*(0.9155*Table2[[#This Row],[J67'']]-G$9)^2</f>
        <v>0.34346609570448311</v>
      </c>
      <c r="S28">
        <f>chloroform!J33</f>
        <v>1.2812878758454401E-2</v>
      </c>
      <c r="T28" t="str">
        <f>chloroform!F33</f>
        <v>56TH</v>
      </c>
    </row>
    <row r="29" spans="11:20" x14ac:dyDescent="0.25">
      <c r="K29">
        <f>chloroform!E34</f>
        <v>57</v>
      </c>
      <c r="L29">
        <f>Table3[[#This Row],[weight]]*(0.9155*Table2[[#This Row],[J1,2]]-A$9)^2</f>
        <v>2.5642924187714601E-5</v>
      </c>
      <c r="M29">
        <f>Table3[[#This Row],[weight]]*(0.9155*Table2[[#This Row],[J2,3]]-B$9)^2</f>
        <v>3.6998986739489523E-2</v>
      </c>
      <c r="N29">
        <f>Table3[[#This Row],[weight]]*(0.9155*Table2[[#This Row],[J34]]-C$9)^2</f>
        <v>7.4279992387066729E-2</v>
      </c>
      <c r="O29">
        <f>Table3[[#This Row],[weight]]*(0.9155*Table2[[#This Row],[J45]]-D$9)^2</f>
        <v>2.5813119939780289E-4</v>
      </c>
      <c r="P29">
        <f>Table3[[#This Row],[weight]]*(0.9155*Table2[[#This Row],[J56]]-E$9)^2</f>
        <v>6.2409083387061678E-2</v>
      </c>
      <c r="Q29">
        <f>Table3[[#This Row],[weight]]*(0.9155*Table2[[#This Row],[J67]]-F$9)^2</f>
        <v>9.3782280318497485E-4</v>
      </c>
      <c r="R29">
        <f>Table3[[#This Row],[weight]]*(0.9155*Table2[[#This Row],[J67'']]-G$9)^2</f>
        <v>3.9992531380412602E-2</v>
      </c>
      <c r="S29">
        <f>chloroform!J34</f>
        <v>8.4212558559743436E-4</v>
      </c>
      <c r="T29" t="str">
        <f>chloroform!F34</f>
        <v>6H4</v>
      </c>
    </row>
    <row r="30" spans="11:20" x14ac:dyDescent="0.25">
      <c r="K30">
        <f>chloroform!E35</f>
        <v>59</v>
      </c>
      <c r="L30">
        <f>Table3[[#This Row],[weight]]*(0.9155*Table2[[#This Row],[J1,2]]-A$9)^2</f>
        <v>7.6771453839316402E-5</v>
      </c>
      <c r="M30">
        <f>Table3[[#This Row],[weight]]*(0.9155*Table2[[#This Row],[J2,3]]-B$9)^2</f>
        <v>2.0464700638710485E-3</v>
      </c>
      <c r="N30">
        <f>Table3[[#This Row],[weight]]*(0.9155*Table2[[#This Row],[J34]]-C$9)^2</f>
        <v>1.3388181498345604E-3</v>
      </c>
      <c r="O30">
        <f>Table3[[#This Row],[weight]]*(0.9155*Table2[[#This Row],[J45]]-D$9)^2</f>
        <v>1.2526950406831351E-3</v>
      </c>
      <c r="P30">
        <f>Table3[[#This Row],[weight]]*(0.9155*Table2[[#This Row],[J56]]-E$9)^2</f>
        <v>8.3000810185396377E-4</v>
      </c>
      <c r="Q30">
        <f>Table3[[#This Row],[weight]]*(0.9155*Table2[[#This Row],[J67]]-F$9)^2</f>
        <v>7.3384977915540715E-5</v>
      </c>
      <c r="R30">
        <f>Table3[[#This Row],[weight]]*(0.9155*Table2[[#This Row],[J67'']]-G$9)^2</f>
        <v>8.9828005801519237E-4</v>
      </c>
      <c r="S30">
        <f>chloroform!J35</f>
        <v>5.308266238201859E-5</v>
      </c>
      <c r="T30" t="str">
        <f>chloroform!F35</f>
        <v>45TH</v>
      </c>
    </row>
    <row r="31" spans="11:20" x14ac:dyDescent="0.25">
      <c r="K31">
        <f>chloroform!E36</f>
        <v>72</v>
      </c>
      <c r="L31">
        <f>Table3[[#This Row],[weight]]*(0.9155*Table2[[#This Row],[J1,2]]-A$9)^2</f>
        <v>1.1676741847355965E-3</v>
      </c>
      <c r="M31">
        <f>Table3[[#This Row],[weight]]*(0.9155*Table2[[#This Row],[J2,3]]-B$9)^2</f>
        <v>1.0379181929395366E-3</v>
      </c>
      <c r="N31">
        <f>Table3[[#This Row],[weight]]*(0.9155*Table2[[#This Row],[J34]]-C$9)^2</f>
        <v>2.4086545724559226E-2</v>
      </c>
      <c r="O31">
        <f>Table3[[#This Row],[weight]]*(0.9155*Table2[[#This Row],[J45]]-D$9)^2</f>
        <v>7.8343961967702117E-2</v>
      </c>
      <c r="P31">
        <f>Table3[[#This Row],[weight]]*(0.9155*Table2[[#This Row],[J56]]-E$9)^2</f>
        <v>1.0119806658047913E-2</v>
      </c>
      <c r="Q31">
        <f>Table3[[#This Row],[weight]]*(0.9155*Table2[[#This Row],[J67]]-F$9)^2</f>
        <v>8.9947368857891327E-2</v>
      </c>
      <c r="R31">
        <f>Table3[[#This Row],[weight]]*(0.9155*Table2[[#This Row],[J67'']]-G$9)^2</f>
        <v>5.3919348680780202E-2</v>
      </c>
      <c r="S31">
        <f>chloroform!J36</f>
        <v>2.5552234461420523E-3</v>
      </c>
      <c r="T31" t="str">
        <f>chloroform!F36</f>
        <v>4H6</v>
      </c>
    </row>
    <row r="32" spans="11:20" x14ac:dyDescent="0.25">
      <c r="K32">
        <f>chloroform!E37</f>
        <v>73</v>
      </c>
      <c r="L32">
        <f>Table3[[#This Row],[weight]]*(0.9155*Table2[[#This Row],[J1,2]]-A$9)^2</f>
        <v>2.2703316283505304E-2</v>
      </c>
      <c r="M32">
        <f>Table3[[#This Row],[weight]]*(0.9155*Table2[[#This Row],[J2,3]]-B$9)^2</f>
        <v>1.1072730579238452</v>
      </c>
      <c r="N32">
        <f>Table3[[#This Row],[weight]]*(0.9155*Table2[[#This Row],[J34]]-C$9)^2</f>
        <v>1.1595730795694279</v>
      </c>
      <c r="O32">
        <f>Table3[[#This Row],[weight]]*(0.9155*Table2[[#This Row],[J45]]-D$9)^2</f>
        <v>0.86319694218578091</v>
      </c>
      <c r="P32">
        <f>Table3[[#This Row],[weight]]*(0.9155*Table2[[#This Row],[J56]]-E$9)^2</f>
        <v>5.5939986718586104E-5</v>
      </c>
      <c r="Q32">
        <f>Table3[[#This Row],[weight]]*(0.9155*Table2[[#This Row],[J67]]-F$9)^2</f>
        <v>2.6669783367335425E-3</v>
      </c>
      <c r="R32">
        <f>Table3[[#This Row],[weight]]*(0.9155*Table2[[#This Row],[J67'']]-G$9)^2</f>
        <v>0.42404030123336089</v>
      </c>
      <c r="S32">
        <f>chloroform!J37</f>
        <v>3.648841376783802E-2</v>
      </c>
      <c r="T32" t="str">
        <f>chloroform!F37</f>
        <v>5C12</v>
      </c>
    </row>
    <row r="33" spans="11:20" x14ac:dyDescent="0.25">
      <c r="K33">
        <f>chloroform!E38</f>
        <v>76</v>
      </c>
      <c r="L33">
        <f>Table3[[#This Row],[weight]]*(0.9155*Table2[[#This Row],[J1,2]]-A$9)^2</f>
        <v>1.2603045824189323E-4</v>
      </c>
      <c r="M33">
        <f>Table3[[#This Row],[weight]]*(0.9155*Table2[[#This Row],[J2,3]]-B$9)^2</f>
        <v>2.9596425244738855E-3</v>
      </c>
      <c r="N33">
        <f>Table3[[#This Row],[weight]]*(0.9155*Table2[[#This Row],[J34]]-C$9)^2</f>
        <v>1.7889331939732261E-3</v>
      </c>
      <c r="O33">
        <f>Table3[[#This Row],[weight]]*(0.9155*Table2[[#This Row],[J45]]-D$9)^2</f>
        <v>1.7859725740697748E-3</v>
      </c>
      <c r="P33">
        <f>Table3[[#This Row],[weight]]*(0.9155*Table2[[#This Row],[J56]]-E$9)^2</f>
        <v>1.2946361686207932E-3</v>
      </c>
      <c r="Q33">
        <f>Table3[[#This Row],[weight]]*(0.9155*Table2[[#This Row],[J67]]-F$9)^2</f>
        <v>2.4526297073110135E-5</v>
      </c>
      <c r="R33">
        <f>Table3[[#This Row],[weight]]*(0.9155*Table2[[#This Row],[J67'']]-G$9)^2</f>
        <v>2.0853568383541183E-3</v>
      </c>
      <c r="S33">
        <f>chloroform!J38</f>
        <v>7.6543233743887095E-5</v>
      </c>
      <c r="T33" t="str">
        <f>chloroform!F38</f>
        <v>TH45</v>
      </c>
    </row>
    <row r="34" spans="11:20" x14ac:dyDescent="0.25">
      <c r="K34">
        <f>chloroform!E39</f>
        <v>78</v>
      </c>
      <c r="L34">
        <f>Table3[[#This Row],[weight]]*(0.9155*Table2[[#This Row],[J1,2]]-A$9)^2</f>
        <v>2.4499697655949879E-6</v>
      </c>
      <c r="M34">
        <f>Table3[[#This Row],[weight]]*(0.9155*Table2[[#This Row],[J2,3]]-B$9)^2</f>
        <v>2.9333155002166482E-5</v>
      </c>
      <c r="N34">
        <f>Table3[[#This Row],[weight]]*(0.9155*Table2[[#This Row],[J34]]-C$9)^2</f>
        <v>7.5969283835173262E-4</v>
      </c>
      <c r="O34">
        <f>Table3[[#This Row],[weight]]*(0.9155*Table2[[#This Row],[J45]]-D$9)^2</f>
        <v>8.3096014863847756E-4</v>
      </c>
      <c r="P34">
        <f>Table3[[#This Row],[weight]]*(0.9155*Table2[[#This Row],[J56]]-E$9)^2</f>
        <v>4.0504364490859956E-4</v>
      </c>
      <c r="Q34">
        <f>Table3[[#This Row],[weight]]*(0.9155*Table2[[#This Row],[J67]]-F$9)^2</f>
        <v>1.9788341450188539E-4</v>
      </c>
      <c r="R34">
        <f>Table3[[#This Row],[weight]]*(0.9155*Table2[[#This Row],[J67'']]-G$9)^2</f>
        <v>0.72264623881370937</v>
      </c>
      <c r="S34">
        <f>chloroform!J39</f>
        <v>2.1700256798573677E-2</v>
      </c>
      <c r="T34" t="str">
        <f>chloroform!F39</f>
        <v>45TH</v>
      </c>
    </row>
    <row r="35" spans="11:20" x14ac:dyDescent="0.25">
      <c r="K35">
        <f>chloroform!E40</f>
        <v>86</v>
      </c>
      <c r="L35">
        <f>Table3[[#This Row],[weight]]*(0.9155*Table2[[#This Row],[J1,2]]-A$9)^2</f>
        <v>8.7392538997051012E-7</v>
      </c>
      <c r="M35">
        <f>Table3[[#This Row],[weight]]*(0.9155*Table2[[#This Row],[J2,3]]-B$9)^2</f>
        <v>5.4213930489850878E-5</v>
      </c>
      <c r="N35">
        <f>Table3[[#This Row],[weight]]*(0.9155*Table2[[#This Row],[J34]]-C$9)^2</f>
        <v>4.9286194004772136E-5</v>
      </c>
      <c r="O35">
        <f>Table3[[#This Row],[weight]]*(0.9155*Table2[[#This Row],[J45]]-D$9)^2</f>
        <v>2.1983667283603428E-4</v>
      </c>
      <c r="P35">
        <f>Table3[[#This Row],[weight]]*(0.9155*Table2[[#This Row],[J56]]-E$9)^2</f>
        <v>3.3835613086711197E-3</v>
      </c>
      <c r="Q35">
        <f>Table3[[#This Row],[weight]]*(0.9155*Table2[[#This Row],[J67]]-F$9)^2</f>
        <v>8.7979384022994784E-3</v>
      </c>
      <c r="R35">
        <f>Table3[[#This Row],[weight]]*(0.9155*Table2[[#This Row],[J67'']]-G$9)^2</f>
        <v>2.9848517811892549E-7</v>
      </c>
      <c r="S35">
        <f>chloroform!J40</f>
        <v>8.5231241623590044E-5</v>
      </c>
      <c r="T35" t="str">
        <f>chloroform!F40</f>
        <v>12C5</v>
      </c>
    </row>
    <row r="36" spans="11:20" x14ac:dyDescent="0.25">
      <c r="K36">
        <f>chloroform!E41</f>
        <v>94</v>
      </c>
      <c r="L36">
        <f>Table3[[#This Row],[weight]]*(0.9155*Table2[[#This Row],[J1,2]]-A$9)^2</f>
        <v>0</v>
      </c>
      <c r="M36">
        <f>Table3[[#This Row],[weight]]*(0.9155*Table2[[#This Row],[J2,3]]-B$9)^2</f>
        <v>0</v>
      </c>
      <c r="N36">
        <f>Table3[[#This Row],[weight]]*(0.9155*Table2[[#This Row],[J34]]-C$9)^2</f>
        <v>0</v>
      </c>
      <c r="O36">
        <f>Table3[[#This Row],[weight]]*(0.9155*Table2[[#This Row],[J45]]-D$9)^2</f>
        <v>0</v>
      </c>
      <c r="P36">
        <f>Table3[[#This Row],[weight]]*(0.9155*Table2[[#This Row],[J56]]-E$9)^2</f>
        <v>0</v>
      </c>
      <c r="Q36">
        <f>Table3[[#This Row],[weight]]*(0.9155*Table2[[#This Row],[J67]]-F$9)^2</f>
        <v>0</v>
      </c>
      <c r="R36">
        <f>Table3[[#This Row],[weight]]*(0.9155*Table2[[#This Row],[J67'']]-G$9)^2</f>
        <v>0</v>
      </c>
      <c r="S36">
        <f>chloroform!J41</f>
        <v>0</v>
      </c>
      <c r="T36" t="str">
        <f>chloroform!F41</f>
        <v>6H4</v>
      </c>
    </row>
    <row r="37" spans="11:20" x14ac:dyDescent="0.25">
      <c r="K37">
        <f>chloroform!E42</f>
        <v>101</v>
      </c>
      <c r="L37">
        <f>Table3[[#This Row],[weight]]*(0.9155*Table2[[#This Row],[J1,2]]-A$9)^2</f>
        <v>0</v>
      </c>
      <c r="M37">
        <f>Table3[[#This Row],[weight]]*(0.9155*Table2[[#This Row],[J2,3]]-B$9)^2</f>
        <v>0</v>
      </c>
      <c r="N37">
        <f>Table3[[#This Row],[weight]]*(0.9155*Table2[[#This Row],[J34]]-C$9)^2</f>
        <v>0</v>
      </c>
      <c r="O37">
        <f>Table3[[#This Row],[weight]]*(0.9155*Table2[[#This Row],[J45]]-D$9)^2</f>
        <v>0</v>
      </c>
      <c r="P37">
        <f>Table3[[#This Row],[weight]]*(0.9155*Table2[[#This Row],[J56]]-E$9)^2</f>
        <v>0</v>
      </c>
      <c r="Q37">
        <f>Table3[[#This Row],[weight]]*(0.9155*Table2[[#This Row],[J67]]-F$9)^2</f>
        <v>0</v>
      </c>
      <c r="R37">
        <f>Table3[[#This Row],[weight]]*(0.9155*Table2[[#This Row],[J67'']]-G$9)^2</f>
        <v>0</v>
      </c>
      <c r="S37">
        <f>chloroform!J42</f>
        <v>0</v>
      </c>
      <c r="T37" t="str">
        <f>chloroform!F42</f>
        <v>TH45</v>
      </c>
    </row>
    <row r="38" spans="11:20" x14ac:dyDescent="0.25">
      <c r="K38">
        <f>chloroform!E43</f>
        <v>103</v>
      </c>
      <c r="L38">
        <f>Table3[[#This Row],[weight]]*(0.9155*Table2[[#This Row],[J1,2]]-A$9)^2</f>
        <v>1.914384645433255E-2</v>
      </c>
      <c r="M38">
        <f>Table3[[#This Row],[weight]]*(0.9155*Table2[[#This Row],[J2,3]]-B$9)^2</f>
        <v>0.94627476288627643</v>
      </c>
      <c r="N38">
        <f>Table3[[#This Row],[weight]]*(0.9155*Table2[[#This Row],[J34]]-C$9)^2</f>
        <v>1.5940832014940627</v>
      </c>
      <c r="O38">
        <f>Table3[[#This Row],[weight]]*(0.9155*Table2[[#This Row],[J45]]-D$9)^2</f>
        <v>0.45651690618601498</v>
      </c>
      <c r="P38">
        <f>Table3[[#This Row],[weight]]*(0.9155*Table2[[#This Row],[J56]]-E$9)^2</f>
        <v>2.0248221474079418E-2</v>
      </c>
      <c r="Q38">
        <f>Table3[[#This Row],[weight]]*(0.9155*Table2[[#This Row],[J67]]-F$9)^2</f>
        <v>2.3473700907506893E-4</v>
      </c>
      <c r="R38">
        <f>Table3[[#This Row],[weight]]*(0.9155*Table2[[#This Row],[J67'']]-G$9)^2</f>
        <v>0.68324542318573267</v>
      </c>
      <c r="S38">
        <f>chloroform!J43</f>
        <v>2.6557312069796467E-2</v>
      </c>
      <c r="T38" t="str">
        <f>chloroform!F43</f>
        <v>5C12</v>
      </c>
    </row>
    <row r="39" spans="11:20" x14ac:dyDescent="0.25">
      <c r="K39">
        <f>chloroform!E44</f>
        <v>104</v>
      </c>
      <c r="L39">
        <f>Table3[[#This Row],[weight]]*(0.9155*Table2[[#This Row],[J1,2]]-A$9)^2</f>
        <v>0</v>
      </c>
      <c r="M39">
        <f>Table3[[#This Row],[weight]]*(0.9155*Table2[[#This Row],[J2,3]]-B$9)^2</f>
        <v>0</v>
      </c>
      <c r="N39">
        <f>Table3[[#This Row],[weight]]*(0.9155*Table2[[#This Row],[J34]]-C$9)^2</f>
        <v>0</v>
      </c>
      <c r="O39">
        <f>Table3[[#This Row],[weight]]*(0.9155*Table2[[#This Row],[J45]]-D$9)^2</f>
        <v>0</v>
      </c>
      <c r="P39">
        <f>Table3[[#This Row],[weight]]*(0.9155*Table2[[#This Row],[J56]]-E$9)^2</f>
        <v>0</v>
      </c>
      <c r="Q39">
        <f>Table3[[#This Row],[weight]]*(0.9155*Table2[[#This Row],[J67]]-F$9)^2</f>
        <v>0</v>
      </c>
      <c r="R39">
        <f>Table3[[#This Row],[weight]]*(0.9155*Table2[[#This Row],[J67'']]-G$9)^2</f>
        <v>0</v>
      </c>
      <c r="S39">
        <f>chloroform!J44</f>
        <v>0</v>
      </c>
      <c r="T39" t="str">
        <f>chloroform!F44</f>
        <v>45TH</v>
      </c>
    </row>
    <row r="40" spans="11:20" x14ac:dyDescent="0.25">
      <c r="K40">
        <f>chloroform!E45</f>
        <v>106</v>
      </c>
      <c r="L40">
        <f>Table3[[#This Row],[weight]]*(0.9155*Table2[[#This Row],[J1,2]]-A$9)^2</f>
        <v>0</v>
      </c>
      <c r="M40">
        <f>Table3[[#This Row],[weight]]*(0.9155*Table2[[#This Row],[J2,3]]-B$9)^2</f>
        <v>0</v>
      </c>
      <c r="N40">
        <f>Table3[[#This Row],[weight]]*(0.9155*Table2[[#This Row],[J34]]-C$9)^2</f>
        <v>0</v>
      </c>
      <c r="O40">
        <f>Table3[[#This Row],[weight]]*(0.9155*Table2[[#This Row],[J45]]-D$9)^2</f>
        <v>0</v>
      </c>
      <c r="P40">
        <f>Table3[[#This Row],[weight]]*(0.9155*Table2[[#This Row],[J56]]-E$9)^2</f>
        <v>0</v>
      </c>
      <c r="Q40">
        <f>Table3[[#This Row],[weight]]*(0.9155*Table2[[#This Row],[J67]]-F$9)^2</f>
        <v>0</v>
      </c>
      <c r="R40">
        <f>Table3[[#This Row],[weight]]*(0.9155*Table2[[#This Row],[J67'']]-G$9)^2</f>
        <v>0</v>
      </c>
      <c r="S40">
        <f>chloroform!J45</f>
        <v>0</v>
      </c>
      <c r="T40" t="str">
        <f>chloroform!F45</f>
        <v>6H4</v>
      </c>
    </row>
    <row r="41" spans="11:20" x14ac:dyDescent="0.25">
      <c r="K41">
        <f>chloroform!E46</f>
        <v>107</v>
      </c>
      <c r="L41">
        <f>Table3[[#This Row],[weight]]*(0.9155*Table2[[#This Row],[J1,2]]-A$9)^2</f>
        <v>0</v>
      </c>
      <c r="M41">
        <f>Table3[[#This Row],[weight]]*(0.9155*Table2[[#This Row],[J2,3]]-B$9)^2</f>
        <v>0</v>
      </c>
      <c r="N41">
        <f>Table3[[#This Row],[weight]]*(0.9155*Table2[[#This Row],[J34]]-C$9)^2</f>
        <v>0</v>
      </c>
      <c r="O41">
        <f>Table3[[#This Row],[weight]]*(0.9155*Table2[[#This Row],[J45]]-D$9)^2</f>
        <v>0</v>
      </c>
      <c r="P41">
        <f>Table3[[#This Row],[weight]]*(0.9155*Table2[[#This Row],[J56]]-E$9)^2</f>
        <v>0</v>
      </c>
      <c r="Q41">
        <f>Table3[[#This Row],[weight]]*(0.9155*Table2[[#This Row],[J67]]-F$9)^2</f>
        <v>0</v>
      </c>
      <c r="R41">
        <f>Table3[[#This Row],[weight]]*(0.9155*Table2[[#This Row],[J67'']]-G$9)^2</f>
        <v>0</v>
      </c>
      <c r="S41">
        <f>chloroform!J46</f>
        <v>0</v>
      </c>
      <c r="T41" t="str">
        <f>chloroform!F46</f>
        <v>12C5</v>
      </c>
    </row>
    <row r="42" spans="11:20" x14ac:dyDescent="0.25">
      <c r="K42">
        <f>chloroform!E47</f>
        <v>109</v>
      </c>
      <c r="L42">
        <f>Table3[[#This Row],[weight]]*(0.9155*Table2[[#This Row],[J1,2]]-A$9)^2</f>
        <v>6.3274102428343562E-5</v>
      </c>
      <c r="M42">
        <f>Table3[[#This Row],[weight]]*(0.9155*Table2[[#This Row],[J2,3]]-B$9)^2</f>
        <v>3.0197934762014717E-3</v>
      </c>
      <c r="N42">
        <f>Table3[[#This Row],[weight]]*(0.9155*Table2[[#This Row],[J34]]-C$9)^2</f>
        <v>6.9461654302335505E-6</v>
      </c>
      <c r="O42">
        <f>Table3[[#This Row],[weight]]*(0.9155*Table2[[#This Row],[J45]]-D$9)^2</f>
        <v>5.2568412940988446E-5</v>
      </c>
      <c r="P42">
        <f>Table3[[#This Row],[weight]]*(0.9155*Table2[[#This Row],[J56]]-E$9)^2</f>
        <v>3.2917571749091029E-7</v>
      </c>
      <c r="Q42">
        <f>Table3[[#This Row],[weight]]*(0.9155*Table2[[#This Row],[J67]]-F$9)^2</f>
        <v>1.9833534680982071E-3</v>
      </c>
      <c r="R42">
        <f>Table3[[#This Row],[weight]]*(0.9155*Table2[[#This Row],[J67'']]-G$9)^2</f>
        <v>0.3376809586446608</v>
      </c>
      <c r="S42">
        <f>chloroform!J47</f>
        <v>1.0114490607520146E-2</v>
      </c>
      <c r="T42" t="str">
        <f>chloroform!F47</f>
        <v>45TH</v>
      </c>
    </row>
    <row r="43" spans="11:20" x14ac:dyDescent="0.25">
      <c r="K43">
        <f>chloroform!E48</f>
        <v>123</v>
      </c>
      <c r="L43">
        <f>Table3[[#This Row],[weight]]*(0.9155*Table2[[#This Row],[J1,2]]-A$9)^2</f>
        <v>8.6728826569440053E-4</v>
      </c>
      <c r="M43">
        <f>Table3[[#This Row],[weight]]*(0.9155*Table2[[#This Row],[J2,3]]-B$9)^2</f>
        <v>3.2080072443534946E-2</v>
      </c>
      <c r="N43">
        <f>Table3[[#This Row],[weight]]*(0.9155*Table2[[#This Row],[J34]]-C$9)^2</f>
        <v>5.2378056599340035E-2</v>
      </c>
      <c r="O43">
        <f>Table3[[#This Row],[weight]]*(0.9155*Table2[[#This Row],[J45]]-D$9)^2</f>
        <v>1.5749438883938791E-2</v>
      </c>
      <c r="P43">
        <f>Table3[[#This Row],[weight]]*(0.9155*Table2[[#This Row],[J56]]-E$9)^2</f>
        <v>1.4047986395928228E-4</v>
      </c>
      <c r="Q43">
        <f>Table3[[#This Row],[weight]]*(0.9155*Table2[[#This Row],[J67]]-F$9)^2</f>
        <v>9.4914528271589191E-4</v>
      </c>
      <c r="R43">
        <f>Table3[[#This Row],[weight]]*(0.9155*Table2[[#This Row],[J67'']]-G$9)^2</f>
        <v>4.8695603930562041E-3</v>
      </c>
      <c r="S43">
        <f>chloroform!J48</f>
        <v>9.2026393674751749E-4</v>
      </c>
      <c r="T43" t="str">
        <f>chloroform!F48</f>
        <v>5C12</v>
      </c>
    </row>
    <row r="44" spans="11:20" x14ac:dyDescent="0.25">
      <c r="K44">
        <f>chloroform!E49</f>
        <v>125</v>
      </c>
      <c r="L44">
        <f>Table3[[#This Row],[weight]]*(0.9155*Table2[[#This Row],[J1,2]]-A$9)^2</f>
        <v>0</v>
      </c>
      <c r="M44">
        <f>Table3[[#This Row],[weight]]*(0.9155*Table2[[#This Row],[J2,3]]-B$9)^2</f>
        <v>0</v>
      </c>
      <c r="N44">
        <f>Table3[[#This Row],[weight]]*(0.9155*Table2[[#This Row],[J34]]-C$9)^2</f>
        <v>0</v>
      </c>
      <c r="O44">
        <f>Table3[[#This Row],[weight]]*(0.9155*Table2[[#This Row],[J45]]-D$9)^2</f>
        <v>0</v>
      </c>
      <c r="P44">
        <f>Table3[[#This Row],[weight]]*(0.9155*Table2[[#This Row],[J56]]-E$9)^2</f>
        <v>0</v>
      </c>
      <c r="Q44">
        <f>Table3[[#This Row],[weight]]*(0.9155*Table2[[#This Row],[J67]]-F$9)^2</f>
        <v>0</v>
      </c>
      <c r="R44">
        <f>Table3[[#This Row],[weight]]*(0.9155*Table2[[#This Row],[J67'']]-G$9)^2</f>
        <v>0</v>
      </c>
      <c r="S44">
        <f>chloroform!J49</f>
        <v>0</v>
      </c>
      <c r="T44" t="str">
        <f>chloroform!F49</f>
        <v>125B</v>
      </c>
    </row>
    <row r="45" spans="11:20" x14ac:dyDescent="0.25">
      <c r="K45">
        <f>chloroform!E50</f>
        <v>128</v>
      </c>
      <c r="L45">
        <f>Table3[[#This Row],[weight]]*(0.9155*Table2[[#This Row],[J1,2]]-A$9)^2</f>
        <v>1.1628703763540342E-6</v>
      </c>
      <c r="M45">
        <f>Table3[[#This Row],[weight]]*(0.9155*Table2[[#This Row],[J2,3]]-B$9)^2</f>
        <v>2.4643640219716359E-4</v>
      </c>
      <c r="N45">
        <f>Table3[[#This Row],[weight]]*(0.9155*Table2[[#This Row],[J34]]-C$9)^2</f>
        <v>1.6430175808199743E-4</v>
      </c>
      <c r="O45">
        <f>Table3[[#This Row],[weight]]*(0.9155*Table2[[#This Row],[J45]]-D$9)^2</f>
        <v>1.0923946185019083E-3</v>
      </c>
      <c r="P45">
        <f>Table3[[#This Row],[weight]]*(0.9155*Table2[[#This Row],[J56]]-E$9)^2</f>
        <v>1.5546077249107977E-2</v>
      </c>
      <c r="Q45">
        <f>Table3[[#This Row],[weight]]*(0.9155*Table2[[#This Row],[J67]]-F$9)^2</f>
        <v>2.1576667214263218E-4</v>
      </c>
      <c r="R45">
        <f>Table3[[#This Row],[weight]]*(0.9155*Table2[[#This Row],[J67'']]-G$9)^2</f>
        <v>8.8592451092653155E-3</v>
      </c>
      <c r="S45">
        <f>chloroform!J50</f>
        <v>4.0395005497485294E-4</v>
      </c>
      <c r="T45" t="str">
        <f>chloroform!F50</f>
        <v>12C5</v>
      </c>
    </row>
    <row r="46" spans="11:20" x14ac:dyDescent="0.25">
      <c r="K46">
        <f>chloroform!E51</f>
        <v>135</v>
      </c>
      <c r="L46">
        <f>Table3[[#This Row],[weight]]*(0.9155*Table2[[#This Row],[J1,2]]-A$9)^2</f>
        <v>4.0239009756552254E-3</v>
      </c>
      <c r="M46">
        <f>Table3[[#This Row],[weight]]*(0.9155*Table2[[#This Row],[J2,3]]-B$9)^2</f>
        <v>3.7020275188359507E-2</v>
      </c>
      <c r="N46">
        <f>Table3[[#This Row],[weight]]*(0.9155*Table2[[#This Row],[J34]]-C$9)^2</f>
        <v>0.19599834628295432</v>
      </c>
      <c r="O46">
        <f>Table3[[#This Row],[weight]]*(0.9155*Table2[[#This Row],[J45]]-D$9)^2</f>
        <v>8.5543469332636082E-2</v>
      </c>
      <c r="P46">
        <f>Table3[[#This Row],[weight]]*(0.9155*Table2[[#This Row],[J56]]-E$9)^2</f>
        <v>7.4962374069578652E-3</v>
      </c>
      <c r="Q46">
        <f>Table3[[#This Row],[weight]]*(0.9155*Table2[[#This Row],[J67]]-F$9)^2</f>
        <v>3.6074009424936111E-3</v>
      </c>
      <c r="R46">
        <f>Table3[[#This Row],[weight]]*(0.9155*Table2[[#This Row],[J67'']]-G$9)^2</f>
        <v>5.8304795265797453E-2</v>
      </c>
      <c r="S46">
        <f>chloroform!J51</f>
        <v>3.3042482722126397E-3</v>
      </c>
      <c r="T46" t="str">
        <f>chloroform!F51</f>
        <v>56TH</v>
      </c>
    </row>
    <row r="47" spans="11:20" x14ac:dyDescent="0.25">
      <c r="K47">
        <f>chloroform!E52</f>
        <v>136</v>
      </c>
      <c r="L47">
        <f>Table3[[#This Row],[weight]]*(0.9155*Table2[[#This Row],[J1,2]]-A$9)^2</f>
        <v>2.2923734288805196E-4</v>
      </c>
      <c r="M47">
        <f>Table3[[#This Row],[weight]]*(0.9155*Table2[[#This Row],[J2,3]]-B$9)^2</f>
        <v>3.8695920375171472E-2</v>
      </c>
      <c r="N47">
        <f>Table3[[#This Row],[weight]]*(0.9155*Table2[[#This Row],[J34]]-C$9)^2</f>
        <v>4.2493593443344344E-2</v>
      </c>
      <c r="O47">
        <f>Table3[[#This Row],[weight]]*(0.9155*Table2[[#This Row],[J45]]-D$9)^2</f>
        <v>2.6308020263659512E-2</v>
      </c>
      <c r="P47">
        <f>Table3[[#This Row],[weight]]*(0.9155*Table2[[#This Row],[J56]]-E$9)^2</f>
        <v>7.6941976872574593E-5</v>
      </c>
      <c r="Q47">
        <f>Table3[[#This Row],[weight]]*(0.9155*Table2[[#This Row],[J67]]-F$9)^2</f>
        <v>4.2680732831202451E-5</v>
      </c>
      <c r="R47">
        <f>Table3[[#This Row],[weight]]*(0.9155*Table2[[#This Row],[J67'']]-G$9)^2</f>
        <v>3.1591316465839188E-2</v>
      </c>
      <c r="S47">
        <f>chloroform!J52</f>
        <v>1.1363251696581539E-3</v>
      </c>
      <c r="T47" t="str">
        <f>chloroform!F52</f>
        <v>5C12</v>
      </c>
    </row>
    <row r="48" spans="11:20" x14ac:dyDescent="0.25">
      <c r="K48">
        <f>chloroform!E53</f>
        <v>142</v>
      </c>
      <c r="L48">
        <f>Table3[[#This Row],[weight]]*(0.9155*Table2[[#This Row],[J1,2]]-A$9)^2</f>
        <v>2.8293434768806628E-3</v>
      </c>
      <c r="M48">
        <f>Table3[[#This Row],[weight]]*(0.9155*Table2[[#This Row],[J2,3]]-B$9)^2</f>
        <v>0.25495780394216078</v>
      </c>
      <c r="N48">
        <f>Table3[[#This Row],[weight]]*(0.9155*Table2[[#This Row],[J34]]-C$9)^2</f>
        <v>0.41914962660787619</v>
      </c>
      <c r="O48">
        <f>Table3[[#This Row],[weight]]*(0.9155*Table2[[#This Row],[J45]]-D$9)^2</f>
        <v>0.13253268151046804</v>
      </c>
      <c r="P48">
        <f>Table3[[#This Row],[weight]]*(0.9155*Table2[[#This Row],[J56]]-E$9)^2</f>
        <v>3.6997368245116737E-3</v>
      </c>
      <c r="Q48">
        <f>Table3[[#This Row],[weight]]*(0.9155*Table2[[#This Row],[J67]]-F$9)^2</f>
        <v>0.40017307415650344</v>
      </c>
      <c r="R48">
        <f>Table3[[#This Row],[weight]]*(0.9155*Table2[[#This Row],[J67'']]-G$9)^2</f>
        <v>6.4550787299838139E-2</v>
      </c>
      <c r="S48">
        <f>chloroform!J53</f>
        <v>6.9012125609283787E-3</v>
      </c>
      <c r="T48" t="str">
        <f>chloroform!F53</f>
        <v>5C12</v>
      </c>
    </row>
    <row r="49" spans="11:20" x14ac:dyDescent="0.25">
      <c r="K49">
        <f>chloroform!E54</f>
        <v>143</v>
      </c>
      <c r="L49">
        <f>Table3[[#This Row],[weight]]*(0.9155*Table2[[#This Row],[J1,2]]-A$9)^2</f>
        <v>1.5121157244742217E-5</v>
      </c>
      <c r="M49">
        <f>Table3[[#This Row],[weight]]*(0.9155*Table2[[#This Row],[J2,3]]-B$9)^2</f>
        <v>4.5042338091178055E-6</v>
      </c>
      <c r="N49">
        <f>Table3[[#This Row],[weight]]*(0.9155*Table2[[#This Row],[J34]]-C$9)^2</f>
        <v>2.0292145966496861E-4</v>
      </c>
      <c r="O49">
        <f>Table3[[#This Row],[weight]]*(0.9155*Table2[[#This Row],[J45]]-D$9)^2</f>
        <v>1.1124165671554513E-3</v>
      </c>
      <c r="P49">
        <f>Table3[[#This Row],[weight]]*(0.9155*Table2[[#This Row],[J56]]-E$9)^2</f>
        <v>1.9481889578341698E-4</v>
      </c>
      <c r="Q49">
        <f>Table3[[#This Row],[weight]]*(0.9155*Table2[[#This Row],[J67]]-F$9)^2</f>
        <v>5.3912861594031984E-3</v>
      </c>
      <c r="R49">
        <f>Table3[[#This Row],[weight]]*(0.9155*Table2[[#This Row],[J67'']]-G$9)^2</f>
        <v>1.0564129994792063E-3</v>
      </c>
      <c r="S49">
        <f>chloroform!J54</f>
        <v>8.9647423822238471E-5</v>
      </c>
      <c r="T49" t="str">
        <f>chloroform!F54</f>
        <v>45TH</v>
      </c>
    </row>
    <row r="50" spans="11:20" x14ac:dyDescent="0.25">
      <c r="K50">
        <f>chloroform!E55</f>
        <v>144</v>
      </c>
      <c r="L50">
        <f>Table3[[#This Row],[weight]]*(0.9155*Table2[[#This Row],[J1,2]]-A$9)^2</f>
        <v>9.3951812670841682E-6</v>
      </c>
      <c r="M50">
        <f>Table3[[#This Row],[weight]]*(0.9155*Table2[[#This Row],[J2,3]]-B$9)^2</f>
        <v>1.5370527649831686E-4</v>
      </c>
      <c r="N50">
        <f>Table3[[#This Row],[weight]]*(0.9155*Table2[[#This Row],[J34]]-C$9)^2</f>
        <v>8.2571820512601032E-6</v>
      </c>
      <c r="O50">
        <f>Table3[[#This Row],[weight]]*(0.9155*Table2[[#This Row],[J45]]-D$9)^2</f>
        <v>2.3977393283951617E-4</v>
      </c>
      <c r="P50">
        <f>Table3[[#This Row],[weight]]*(0.9155*Table2[[#This Row],[J56]]-E$9)^2</f>
        <v>3.373118262052967E-3</v>
      </c>
      <c r="Q50">
        <f>Table3[[#This Row],[weight]]*(0.9155*Table2[[#This Row],[J67]]-F$9)^2</f>
        <v>9.4780516403670679E-3</v>
      </c>
      <c r="R50">
        <f>Table3[[#This Row],[weight]]*(0.9155*Table2[[#This Row],[J67'']]-G$9)^2</f>
        <v>1.2137543078047707E-5</v>
      </c>
      <c r="S50">
        <f>chloroform!J55</f>
        <v>9.067247042405327E-5</v>
      </c>
      <c r="T50" t="str">
        <f>chloroform!F55</f>
        <v>12C5</v>
      </c>
    </row>
    <row r="51" spans="11:20" x14ac:dyDescent="0.25">
      <c r="K51">
        <f>chloroform!E56</f>
        <v>145</v>
      </c>
      <c r="L51">
        <f>Table3[[#This Row],[weight]]*(0.9155*Table2[[#This Row],[J1,2]]-A$9)^2</f>
        <v>4.2910431509204732E-5</v>
      </c>
      <c r="M51">
        <f>Table3[[#This Row],[weight]]*(0.9155*Table2[[#This Row],[J2,3]]-B$9)^2</f>
        <v>4.1441753196566194E-4</v>
      </c>
      <c r="N51">
        <f>Table3[[#This Row],[weight]]*(0.9155*Table2[[#This Row],[J34]]-C$9)^2</f>
        <v>1.2113873661229386E-4</v>
      </c>
      <c r="O51">
        <f>Table3[[#This Row],[weight]]*(0.9155*Table2[[#This Row],[J45]]-D$9)^2</f>
        <v>4.4348132605328937E-4</v>
      </c>
      <c r="P51">
        <f>Table3[[#This Row],[weight]]*(0.9155*Table2[[#This Row],[J56]]-E$9)^2</f>
        <v>1.0621217829001302E-2</v>
      </c>
      <c r="Q51">
        <f>Table3[[#This Row],[weight]]*(0.9155*Table2[[#This Row],[J67]]-F$9)^2</f>
        <v>2.8673074649648182E-2</v>
      </c>
      <c r="R51">
        <f>Table3[[#This Row],[weight]]*(0.9155*Table2[[#This Row],[J67'']]-G$9)^2</f>
        <v>1.1811521000453023E-5</v>
      </c>
      <c r="S51">
        <f>chloroform!J56</f>
        <v>2.6492234570833355E-4</v>
      </c>
      <c r="T51" t="str">
        <f>chloroform!F56</f>
        <v>5C12</v>
      </c>
    </row>
    <row r="52" spans="11:20" x14ac:dyDescent="0.25">
      <c r="K52">
        <f>chloroform!E57</f>
        <v>166</v>
      </c>
      <c r="L52">
        <f>Table3[[#This Row],[weight]]*(0.9155*Table2[[#This Row],[J1,2]]-A$9)^2</f>
        <v>6.5352728453108998E-4</v>
      </c>
      <c r="M52">
        <f>Table3[[#This Row],[weight]]*(0.9155*Table2[[#This Row],[J2,3]]-B$9)^2</f>
        <v>4.2409462964904478E-2</v>
      </c>
      <c r="N52">
        <f>Table3[[#This Row],[weight]]*(0.9155*Table2[[#This Row],[J34]]-C$9)^2</f>
        <v>4.6051279569725545E-2</v>
      </c>
      <c r="O52">
        <f>Table3[[#This Row],[weight]]*(0.9155*Table2[[#This Row],[J45]]-D$9)^2</f>
        <v>3.7279521983637494E-2</v>
      </c>
      <c r="P52">
        <f>Table3[[#This Row],[weight]]*(0.9155*Table2[[#This Row],[J56]]-E$9)^2</f>
        <v>8.7038732616168265E-4</v>
      </c>
      <c r="Q52">
        <f>Table3[[#This Row],[weight]]*(0.9155*Table2[[#This Row],[J67]]-F$9)^2</f>
        <v>1.7323788054713402E-6</v>
      </c>
      <c r="R52">
        <f>Table3[[#This Row],[weight]]*(0.9155*Table2[[#This Row],[J67'']]-G$9)^2</f>
        <v>5.2626152875477089E-2</v>
      </c>
      <c r="S52">
        <f>chloroform!J57</f>
        <v>1.4850564090781132E-3</v>
      </c>
      <c r="T52" t="str">
        <f>chloroform!F57</f>
        <v>5C12</v>
      </c>
    </row>
    <row r="53" spans="11:20" x14ac:dyDescent="0.25">
      <c r="K53">
        <f>chloroform!E58</f>
        <v>173</v>
      </c>
      <c r="L53">
        <f>Table3[[#This Row],[weight]]*(0.9155*Table2[[#This Row],[J1,2]]-A$9)^2</f>
        <v>2.8093259121812312E-5</v>
      </c>
      <c r="M53">
        <f>Table3[[#This Row],[weight]]*(0.9155*Table2[[#This Row],[J2,3]]-B$9)^2</f>
        <v>4.5757854422558754E-4</v>
      </c>
      <c r="N53">
        <f>Table3[[#This Row],[weight]]*(0.9155*Table2[[#This Row],[J34]]-C$9)^2</f>
        <v>4.4782778854973963E-5</v>
      </c>
      <c r="O53">
        <f>Table3[[#This Row],[weight]]*(0.9155*Table2[[#This Row],[J45]]-D$9)^2</f>
        <v>5.566265285182905E-4</v>
      </c>
      <c r="P53">
        <f>Table3[[#This Row],[weight]]*(0.9155*Table2[[#This Row],[J56]]-E$9)^2</f>
        <v>1.0819720552767056E-2</v>
      </c>
      <c r="Q53">
        <f>Table3[[#This Row],[weight]]*(0.9155*Table2[[#This Row],[J67]]-F$9)^2</f>
        <v>2.587849548118352E-4</v>
      </c>
      <c r="R53">
        <f>Table3[[#This Row],[weight]]*(0.9155*Table2[[#This Row],[J67'']]-G$9)^2</f>
        <v>8.3954933134934382E-3</v>
      </c>
      <c r="S53">
        <f>chloroform!J58</f>
        <v>3.1230665349553491E-4</v>
      </c>
      <c r="T53" t="str">
        <f>chloroform!F58</f>
        <v>12C5</v>
      </c>
    </row>
    <row r="54" spans="11:20" x14ac:dyDescent="0.25">
      <c r="K54">
        <f>chloroform!E59</f>
        <v>191</v>
      </c>
      <c r="L54">
        <f>Table3[[#This Row],[weight]]*(0.9155*Table2[[#This Row],[J1,2]]-A$9)^2</f>
        <v>5.2318867210101865E-7</v>
      </c>
      <c r="M54">
        <f>Table3[[#This Row],[weight]]*(0.9155*Table2[[#This Row],[J2,3]]-B$9)^2</f>
        <v>5.2089277976571309E-5</v>
      </c>
      <c r="N54">
        <f>Table3[[#This Row],[weight]]*(0.9155*Table2[[#This Row],[J34]]-C$9)^2</f>
        <v>5.2993137390694855E-5</v>
      </c>
      <c r="O54">
        <f>Table3[[#This Row],[weight]]*(0.9155*Table2[[#This Row],[J45]]-D$9)^2</f>
        <v>2.2581102011292581E-4</v>
      </c>
      <c r="P54">
        <f>Table3[[#This Row],[weight]]*(0.9155*Table2[[#This Row],[J56]]-E$9)^2</f>
        <v>3.3510529038210234E-3</v>
      </c>
      <c r="Q54">
        <f>Table3[[#This Row],[weight]]*(0.9155*Table2[[#This Row],[J67]]-F$9)^2</f>
        <v>8.6962466453774801E-3</v>
      </c>
      <c r="R54">
        <f>Table3[[#This Row],[weight]]*(0.9155*Table2[[#This Row],[J67'']]-G$9)^2</f>
        <v>8.6936627554816293E-7</v>
      </c>
      <c r="S54">
        <f>chloroform!J59</f>
        <v>8.3223081917846813E-5</v>
      </c>
      <c r="T54" t="str">
        <f>chloroform!F59</f>
        <v>12C5</v>
      </c>
    </row>
    <row r="55" spans="11:20" x14ac:dyDescent="0.25">
      <c r="K55">
        <f>chloroform!E60</f>
        <v>193</v>
      </c>
      <c r="L55">
        <f>Table3[[#This Row],[weight]]*(0.9155*Table2[[#This Row],[J1,2]]-A$9)^2</f>
        <v>1.2479431437003587E-4</v>
      </c>
      <c r="M55">
        <f>Table3[[#This Row],[weight]]*(0.9155*Table2[[#This Row],[J2,3]]-B$9)^2</f>
        <v>1.9319982244713676E-3</v>
      </c>
      <c r="N55">
        <f>Table3[[#This Row],[weight]]*(0.9155*Table2[[#This Row],[J34]]-C$9)^2</f>
        <v>1.5990462150968841E-4</v>
      </c>
      <c r="O55">
        <f>Table3[[#This Row],[weight]]*(0.9155*Table2[[#This Row],[J45]]-D$9)^2</f>
        <v>2.0325790606362968E-3</v>
      </c>
      <c r="P55">
        <f>Table3[[#This Row],[weight]]*(0.9155*Table2[[#This Row],[J56]]-E$9)^2</f>
        <v>3.518125899326964E-2</v>
      </c>
      <c r="Q55">
        <f>Table3[[#This Row],[weight]]*(0.9155*Table2[[#This Row],[J67]]-F$9)^2</f>
        <v>5.0968370792439568E-4</v>
      </c>
      <c r="R55">
        <f>Table3[[#This Row],[weight]]*(0.9155*Table2[[#This Row],[J67'']]-G$9)^2</f>
        <v>2.2649526736019599E-2</v>
      </c>
      <c r="S55">
        <f>chloroform!J60</f>
        <v>9.9618615453542616E-4</v>
      </c>
      <c r="T55" t="str">
        <f>chloroform!F60</f>
        <v>12C5</v>
      </c>
    </row>
    <row r="56" spans="11:20" x14ac:dyDescent="0.25">
      <c r="K56">
        <f>chloroform!E61</f>
        <v>197</v>
      </c>
      <c r="L56">
        <f>Table3[[#This Row],[weight]]*(0.9155*Table2[[#This Row],[J1,2]]-A$9)^2</f>
        <v>0</v>
      </c>
      <c r="M56">
        <f>Table3[[#This Row],[weight]]*(0.9155*Table2[[#This Row],[J2,3]]-B$9)^2</f>
        <v>0</v>
      </c>
      <c r="N56">
        <f>Table3[[#This Row],[weight]]*(0.9155*Table2[[#This Row],[J34]]-C$9)^2</f>
        <v>0</v>
      </c>
      <c r="O56">
        <f>Table3[[#This Row],[weight]]*(0.9155*Table2[[#This Row],[J45]]-D$9)^2</f>
        <v>0</v>
      </c>
      <c r="P56">
        <f>Table3[[#This Row],[weight]]*(0.9155*Table2[[#This Row],[J56]]-E$9)^2</f>
        <v>0</v>
      </c>
      <c r="Q56">
        <f>Table3[[#This Row],[weight]]*(0.9155*Table2[[#This Row],[J67]]-F$9)^2</f>
        <v>0</v>
      </c>
      <c r="R56">
        <f>Table3[[#This Row],[weight]]*(0.9155*Table2[[#This Row],[J67'']]-G$9)^2</f>
        <v>0</v>
      </c>
      <c r="S56">
        <f>chloroform!J61</f>
        <v>0</v>
      </c>
      <c r="T56" t="str">
        <f>chloroform!F61</f>
        <v>4H6</v>
      </c>
    </row>
    <row r="57" spans="11:20" x14ac:dyDescent="0.25">
      <c r="K57">
        <f>chloroform!E62</f>
        <v>208</v>
      </c>
      <c r="L57">
        <f>Table3[[#This Row],[weight]]*(0.9155*Table2[[#This Row],[J1,2]]-A$9)^2</f>
        <v>1.1039607709283649E-5</v>
      </c>
      <c r="M57">
        <f>Table3[[#This Row],[weight]]*(0.9155*Table2[[#This Row],[J2,3]]-B$9)^2</f>
        <v>1.1334353713942716E-3</v>
      </c>
      <c r="N57">
        <f>Table3[[#This Row],[weight]]*(0.9155*Table2[[#This Row],[J34]]-C$9)^2</f>
        <v>1.4740640957595251E-3</v>
      </c>
      <c r="O57">
        <f>Table3[[#This Row],[weight]]*(0.9155*Table2[[#This Row],[J45]]-D$9)^2</f>
        <v>8.3260865291482776E-4</v>
      </c>
      <c r="P57">
        <f>Table3[[#This Row],[weight]]*(0.9155*Table2[[#This Row],[J56]]-E$9)^2</f>
        <v>7.6388041314887273E-6</v>
      </c>
      <c r="Q57">
        <f>Table3[[#This Row],[weight]]*(0.9155*Table2[[#This Row],[J67]]-F$9)^2</f>
        <v>6.7868832953044214E-6</v>
      </c>
      <c r="R57">
        <f>Table3[[#This Row],[weight]]*(0.9155*Table2[[#This Row],[J67'']]-G$9)^2</f>
        <v>8.9005996002111177E-4</v>
      </c>
      <c r="S57">
        <f>chloroform!J62</f>
        <v>3.3546528592854553E-5</v>
      </c>
      <c r="T57" t="str">
        <f>chloroform!F62</f>
        <v>5C12</v>
      </c>
    </row>
    <row r="58" spans="11:20" x14ac:dyDescent="0.25">
      <c r="K58">
        <f>chloroform!E63</f>
        <v>212</v>
      </c>
      <c r="L58">
        <f>Table3[[#This Row],[weight]]*(0.9155*Table2[[#This Row],[J1,2]]-A$9)^2</f>
        <v>1.2442434670497614E-5</v>
      </c>
      <c r="M58">
        <f>Table3[[#This Row],[weight]]*(0.9155*Table2[[#This Row],[J2,3]]-B$9)^2</f>
        <v>3.8427974565434091E-4</v>
      </c>
      <c r="N58">
        <f>Table3[[#This Row],[weight]]*(0.9155*Table2[[#This Row],[J34]]-C$9)^2</f>
        <v>5.2711091877898265E-7</v>
      </c>
      <c r="O58">
        <f>Table3[[#This Row],[weight]]*(0.9155*Table2[[#This Row],[J45]]-D$9)^2</f>
        <v>6.5734073206034937E-4</v>
      </c>
      <c r="P58">
        <f>Table3[[#This Row],[weight]]*(0.9155*Table2[[#This Row],[J56]]-E$9)^2</f>
        <v>7.7966651345926057E-3</v>
      </c>
      <c r="Q58">
        <f>Table3[[#This Row],[weight]]*(0.9155*Table2[[#This Row],[J67]]-F$9)^2</f>
        <v>2.9189014050620467E-5</v>
      </c>
      <c r="R58">
        <f>Table3[[#This Row],[weight]]*(0.9155*Table2[[#This Row],[J67'']]-G$9)^2</f>
        <v>6.1389976327374625E-3</v>
      </c>
      <c r="S58">
        <f>chloroform!J63</f>
        <v>2.3827472586826856E-4</v>
      </c>
      <c r="T58" t="str">
        <f>chloroform!F63</f>
        <v>12C5</v>
      </c>
    </row>
    <row r="59" spans="11:20" x14ac:dyDescent="0.25">
      <c r="K59">
        <f>chloroform!E64</f>
        <v>215</v>
      </c>
      <c r="L59">
        <f>Table3[[#This Row],[weight]]*(0.9155*Table2[[#This Row],[J1,2]]-A$9)^2</f>
        <v>1.5258602378873833E-4</v>
      </c>
      <c r="M59">
        <f>Table3[[#This Row],[weight]]*(0.9155*Table2[[#This Row],[J2,3]]-B$9)^2</f>
        <v>1.8316045598969911E-3</v>
      </c>
      <c r="N59">
        <f>Table3[[#This Row],[weight]]*(0.9155*Table2[[#This Row],[J34]]-C$9)^2</f>
        <v>4.6738786885083919E-4</v>
      </c>
      <c r="O59">
        <f>Table3[[#This Row],[weight]]*(0.9155*Table2[[#This Row],[J45]]-D$9)^2</f>
        <v>2.4842786050499198E-3</v>
      </c>
      <c r="P59">
        <f>Table3[[#This Row],[weight]]*(0.9155*Table2[[#This Row],[J56]]-E$9)^2</f>
        <v>4.9848072220096191E-2</v>
      </c>
      <c r="Q59">
        <f>Table3[[#This Row],[weight]]*(0.9155*Table2[[#This Row],[J67]]-F$9)^2</f>
        <v>7.9785041301241139E-4</v>
      </c>
      <c r="R59">
        <f>Table3[[#This Row],[weight]]*(0.9155*Table2[[#This Row],[J67'']]-G$9)^2</f>
        <v>3.0844939669398927E-2</v>
      </c>
      <c r="S59">
        <f>chloroform!J64</f>
        <v>1.3545607204774369E-3</v>
      </c>
      <c r="T59" t="str">
        <f>chloroform!F64</f>
        <v>12C5</v>
      </c>
    </row>
    <row r="60" spans="11:20" x14ac:dyDescent="0.25">
      <c r="K60">
        <f>chloroform!E65</f>
        <v>219</v>
      </c>
      <c r="L60">
        <f>Table3[[#This Row],[weight]]*(0.9155*Table2[[#This Row],[J1,2]]-A$9)^2</f>
        <v>6.3788820130317682E-5</v>
      </c>
      <c r="M60">
        <f>Table3[[#This Row],[weight]]*(0.9155*Table2[[#This Row],[J2,3]]-B$9)^2</f>
        <v>2.7945696141488225E-4</v>
      </c>
      <c r="N60">
        <f>Table3[[#This Row],[weight]]*(0.9155*Table2[[#This Row],[J34]]-C$9)^2</f>
        <v>9.3074166357180079E-7</v>
      </c>
      <c r="O60">
        <f>Table3[[#This Row],[weight]]*(0.9155*Table2[[#This Row],[J45]]-D$9)^2</f>
        <v>4.7413556711455015E-6</v>
      </c>
      <c r="P60">
        <f>Table3[[#This Row],[weight]]*(0.9155*Table2[[#This Row],[J56]]-E$9)^2</f>
        <v>2.2838391689247416E-3</v>
      </c>
      <c r="Q60">
        <f>Table3[[#This Row],[weight]]*(0.9155*Table2[[#This Row],[J67]]-F$9)^2</f>
        <v>1.1976315581063399E-4</v>
      </c>
      <c r="R60">
        <f>Table3[[#This Row],[weight]]*(0.9155*Table2[[#This Row],[J67'']]-G$9)^2</f>
        <v>1.8345660398815802E-3</v>
      </c>
      <c r="S60">
        <f>chloroform!J65</f>
        <v>7.6320176629363033E-5</v>
      </c>
      <c r="T60" t="str">
        <f>chloroform!F65</f>
        <v>12C5</v>
      </c>
    </row>
    <row r="61" spans="11:20" x14ac:dyDescent="0.25">
      <c r="K61">
        <f>chloroform!E66</f>
        <v>220</v>
      </c>
      <c r="L61">
        <f>Table3[[#This Row],[weight]]*(0.9155*Table2[[#This Row],[J1,2]]-A$9)^2</f>
        <v>0</v>
      </c>
      <c r="M61">
        <f>Table3[[#This Row],[weight]]*(0.9155*Table2[[#This Row],[J2,3]]-B$9)^2</f>
        <v>0</v>
      </c>
      <c r="N61">
        <f>Table3[[#This Row],[weight]]*(0.9155*Table2[[#This Row],[J34]]-C$9)^2</f>
        <v>0</v>
      </c>
      <c r="O61">
        <f>Table3[[#This Row],[weight]]*(0.9155*Table2[[#This Row],[J45]]-D$9)^2</f>
        <v>0</v>
      </c>
      <c r="P61">
        <f>Table3[[#This Row],[weight]]*(0.9155*Table2[[#This Row],[J56]]-E$9)^2</f>
        <v>0</v>
      </c>
      <c r="Q61">
        <f>Table3[[#This Row],[weight]]*(0.9155*Table2[[#This Row],[J67]]-F$9)^2</f>
        <v>0</v>
      </c>
      <c r="R61">
        <f>Table3[[#This Row],[weight]]*(0.9155*Table2[[#This Row],[J67'']]-G$9)^2</f>
        <v>0</v>
      </c>
      <c r="S61">
        <f>chloroform!J66</f>
        <v>0</v>
      </c>
      <c r="T61" t="str">
        <f>chloroform!F66</f>
        <v>12C5</v>
      </c>
    </row>
    <row r="62" spans="11:20" x14ac:dyDescent="0.25">
      <c r="K62">
        <f>chloroform!E67</f>
        <v>241</v>
      </c>
      <c r="L62">
        <f>Table3[[#This Row],[weight]]*(0.9155*Table2[[#This Row],[J1,2]]-A$9)^2</f>
        <v>1.680605022156189E-4</v>
      </c>
      <c r="M62">
        <f>Table3[[#This Row],[weight]]*(0.9155*Table2[[#This Row],[J2,3]]-B$9)^2</f>
        <v>2.1762980952321582E-3</v>
      </c>
      <c r="N62">
        <f>Table3[[#This Row],[weight]]*(0.9155*Table2[[#This Row],[J34]]-C$9)^2</f>
        <v>1.5044127528905587E-4</v>
      </c>
      <c r="O62">
        <f>Table3[[#This Row],[weight]]*(0.9155*Table2[[#This Row],[J45]]-D$9)^2</f>
        <v>1.971797890934838E-3</v>
      </c>
      <c r="P62">
        <f>Table3[[#This Row],[weight]]*(0.9155*Table2[[#This Row],[J56]]-E$9)^2</f>
        <v>3.7496819264224948E-2</v>
      </c>
      <c r="Q62">
        <f>Table3[[#This Row],[weight]]*(0.9155*Table2[[#This Row],[J67]]-F$9)^2</f>
        <v>1.0225778150516496E-3</v>
      </c>
      <c r="R62">
        <f>Table3[[#This Row],[weight]]*(0.9155*Table2[[#This Row],[J67'']]-G$9)^2</f>
        <v>2.9472013400354324E-2</v>
      </c>
      <c r="S62">
        <f>chloroform!J67</f>
        <v>1.1017794293864231E-3</v>
      </c>
      <c r="T62" t="str">
        <f>chloroform!F67</f>
        <v>12C5</v>
      </c>
    </row>
    <row r="63" spans="11:20" x14ac:dyDescent="0.25">
      <c r="K63">
        <f>chloroform!E68</f>
        <v>272</v>
      </c>
      <c r="L63">
        <f>Table3[[#This Row],[weight]]*(0.9155*Table2[[#This Row],[J1,2]]-A$9)^2</f>
        <v>5.8034735949779757E-4</v>
      </c>
      <c r="M63">
        <f>Table3[[#This Row],[weight]]*(0.9155*Table2[[#This Row],[J2,3]]-B$9)^2</f>
        <v>5.0785828607359598E-3</v>
      </c>
      <c r="N63">
        <f>Table3[[#This Row],[weight]]*(0.9155*Table2[[#This Row],[J34]]-C$9)^2</f>
        <v>1.6089626741574204E-2</v>
      </c>
      <c r="O63">
        <f>Table3[[#This Row],[weight]]*(0.9155*Table2[[#This Row],[J45]]-D$9)^2</f>
        <v>2.3943552022395419E-3</v>
      </c>
      <c r="P63">
        <f>Table3[[#This Row],[weight]]*(0.9155*Table2[[#This Row],[J56]]-E$9)^2</f>
        <v>2.2412387388412447E-4</v>
      </c>
      <c r="Q63">
        <f>Table3[[#This Row],[weight]]*(0.9155*Table2[[#This Row],[J67]]-F$9)^2</f>
        <v>7.4854646357460788E-6</v>
      </c>
      <c r="R63">
        <f>Table3[[#This Row],[weight]]*(0.9155*Table2[[#This Row],[J67'']]-G$9)^2</f>
        <v>2.8806201349115355E-3</v>
      </c>
      <c r="S63">
        <f>chloroform!J68</f>
        <v>1.9376116686611894E-4</v>
      </c>
      <c r="T63" t="str">
        <f>chloroform!F68</f>
        <v>5C12</v>
      </c>
    </row>
    <row r="64" spans="11:20" x14ac:dyDescent="0.25">
      <c r="K64">
        <f>chloroform!E69</f>
        <v>276</v>
      </c>
      <c r="L64">
        <f>Table3[[#This Row],[weight]]*(0.9155*Table2[[#This Row],[J1,2]]-A$9)^2</f>
        <v>2.5651952235758959E-5</v>
      </c>
      <c r="M64">
        <f>Table3[[#This Row],[weight]]*(0.9155*Table2[[#This Row],[J2,3]]-B$9)^2</f>
        <v>1.5873817269802427E-5</v>
      </c>
      <c r="N64">
        <f>Table3[[#This Row],[weight]]*(0.9155*Table2[[#This Row],[J34]]-C$9)^2</f>
        <v>4.7865968565286227E-4</v>
      </c>
      <c r="O64">
        <f>Table3[[#This Row],[weight]]*(0.9155*Table2[[#This Row],[J45]]-D$9)^2</f>
        <v>9.0660490388852456E-4</v>
      </c>
      <c r="P64">
        <f>Table3[[#This Row],[weight]]*(0.9155*Table2[[#This Row],[J56]]-E$9)^2</f>
        <v>2.2984930214571636E-5</v>
      </c>
      <c r="Q64">
        <f>Table3[[#This Row],[weight]]*(0.9155*Table2[[#This Row],[J67]]-F$9)^2</f>
        <v>4.4796534309129867E-7</v>
      </c>
      <c r="R64">
        <f>Table3[[#This Row],[weight]]*(0.9155*Table2[[#This Row],[J67'']]-G$9)^2</f>
        <v>5.0957595452407736E-4</v>
      </c>
      <c r="S64">
        <f>chloroform!J69</f>
        <v>3.6927093872296872E-5</v>
      </c>
      <c r="T64" t="str">
        <f>chloroform!F69</f>
        <v>4H6</v>
      </c>
    </row>
    <row r="65" spans="11:20" x14ac:dyDescent="0.25">
      <c r="K65">
        <f>chloroform!E70</f>
        <v>278</v>
      </c>
      <c r="L65">
        <f>Table3[[#This Row],[weight]]*(0.9155*Table2[[#This Row],[J1,2]]-A$9)^2</f>
        <v>0</v>
      </c>
      <c r="M65">
        <f>Table3[[#This Row],[weight]]*(0.9155*Table2[[#This Row],[J2,3]]-B$9)^2</f>
        <v>0</v>
      </c>
      <c r="N65">
        <f>Table3[[#This Row],[weight]]*(0.9155*Table2[[#This Row],[J34]]-C$9)^2</f>
        <v>0</v>
      </c>
      <c r="O65">
        <f>Table3[[#This Row],[weight]]*(0.9155*Table2[[#This Row],[J45]]-D$9)^2</f>
        <v>0</v>
      </c>
      <c r="P65">
        <f>Table3[[#This Row],[weight]]*(0.9155*Table2[[#This Row],[J56]]-E$9)^2</f>
        <v>0</v>
      </c>
      <c r="Q65">
        <f>Table3[[#This Row],[weight]]*(0.9155*Table2[[#This Row],[J67]]-F$9)^2</f>
        <v>0</v>
      </c>
      <c r="R65">
        <f>Table3[[#This Row],[weight]]*(0.9155*Table2[[#This Row],[J67'']]-G$9)^2</f>
        <v>0</v>
      </c>
      <c r="S65">
        <f>chloroform!J70</f>
        <v>0</v>
      </c>
      <c r="T65" t="str">
        <f>chloroform!F70</f>
        <v>5C12</v>
      </c>
    </row>
    <row r="66" spans="11:20" x14ac:dyDescent="0.25">
      <c r="K66">
        <f>chloroform!E71</f>
        <v>283</v>
      </c>
      <c r="L66">
        <f>Table3[[#This Row],[weight]]*(0.9155*Table2[[#This Row],[J1,2]]-A$9)^2</f>
        <v>1.9582983466463663E-4</v>
      </c>
      <c r="M66">
        <f>Table3[[#This Row],[weight]]*(0.9155*Table2[[#This Row],[J2,3]]-B$9)^2</f>
        <v>2.0299895457234676E-3</v>
      </c>
      <c r="N66">
        <f>Table3[[#This Row],[weight]]*(0.9155*Table2[[#This Row],[J34]]-C$9)^2</f>
        <v>4.5401875471187776E-3</v>
      </c>
      <c r="O66">
        <f>Table3[[#This Row],[weight]]*(0.9155*Table2[[#This Row],[J45]]-D$9)^2</f>
        <v>7.9025120186963413E-4</v>
      </c>
      <c r="P66">
        <f>Table3[[#This Row],[weight]]*(0.9155*Table2[[#This Row],[J56]]-E$9)^2</f>
        <v>4.1574016983718867E-5</v>
      </c>
      <c r="Q66">
        <f>Table3[[#This Row],[weight]]*(0.9155*Table2[[#This Row],[J67]]-F$9)^2</f>
        <v>4.7941311191408457E-3</v>
      </c>
      <c r="R66">
        <f>Table3[[#This Row],[weight]]*(0.9155*Table2[[#This Row],[J67'']]-G$9)^2</f>
        <v>7.4642824391291844E-4</v>
      </c>
      <c r="S66">
        <f>chloroform!J71</f>
        <v>7.1524787727351489E-5</v>
      </c>
      <c r="T66" t="str">
        <f>chloroform!F71</f>
        <v>5C12</v>
      </c>
    </row>
    <row r="67" spans="11:20" x14ac:dyDescent="0.25">
      <c r="K67">
        <f>chloroform!E72</f>
        <v>290</v>
      </c>
      <c r="L67">
        <f>Table3[[#This Row],[weight]]*(0.9155*Table2[[#This Row],[J1,2]]-A$9)^2</f>
        <v>0</v>
      </c>
      <c r="M67">
        <f>Table3[[#This Row],[weight]]*(0.9155*Table2[[#This Row],[J2,3]]-B$9)^2</f>
        <v>0</v>
      </c>
      <c r="N67">
        <f>Table3[[#This Row],[weight]]*(0.9155*Table2[[#This Row],[J34]]-C$9)^2</f>
        <v>0</v>
      </c>
      <c r="O67">
        <f>Table3[[#This Row],[weight]]*(0.9155*Table2[[#This Row],[J45]]-D$9)^2</f>
        <v>0</v>
      </c>
      <c r="P67">
        <f>Table3[[#This Row],[weight]]*(0.9155*Table2[[#This Row],[J56]]-E$9)^2</f>
        <v>0</v>
      </c>
      <c r="Q67">
        <f>Table3[[#This Row],[weight]]*(0.9155*Table2[[#This Row],[J67]]-F$9)^2</f>
        <v>0</v>
      </c>
      <c r="R67">
        <f>Table3[[#This Row],[weight]]*(0.9155*Table2[[#This Row],[J67'']]-G$9)^2</f>
        <v>0</v>
      </c>
      <c r="S67">
        <f>chloroform!J72</f>
        <v>0</v>
      </c>
      <c r="T67" t="str">
        <f>chloroform!F72</f>
        <v>4H6</v>
      </c>
    </row>
    <row r="68" spans="11:20" x14ac:dyDescent="0.25">
      <c r="K68">
        <f>chloroform!E73</f>
        <v>333</v>
      </c>
      <c r="L68">
        <f>Table3[[#This Row],[weight]]*(0.9155*Table2[[#This Row],[J1,2]]-A$9)^2</f>
        <v>0</v>
      </c>
      <c r="M68">
        <f>Table3[[#This Row],[weight]]*(0.9155*Table2[[#This Row],[J2,3]]-B$9)^2</f>
        <v>0</v>
      </c>
      <c r="N68">
        <f>Table3[[#This Row],[weight]]*(0.9155*Table2[[#This Row],[J34]]-C$9)^2</f>
        <v>0</v>
      </c>
      <c r="O68">
        <f>Table3[[#This Row],[weight]]*(0.9155*Table2[[#This Row],[J45]]-D$9)^2</f>
        <v>0</v>
      </c>
      <c r="P68">
        <f>Table3[[#This Row],[weight]]*(0.9155*Table2[[#This Row],[J56]]-E$9)^2</f>
        <v>0</v>
      </c>
      <c r="Q68">
        <f>Table3[[#This Row],[weight]]*(0.9155*Table2[[#This Row],[J67]]-F$9)^2</f>
        <v>0</v>
      </c>
      <c r="R68">
        <f>Table3[[#This Row],[weight]]*(0.9155*Table2[[#This Row],[J67'']]-G$9)^2</f>
        <v>0</v>
      </c>
      <c r="S68">
        <f>chloroform!J73</f>
        <v>0</v>
      </c>
      <c r="T68" t="str">
        <f>chloroform!F73</f>
        <v>56TH</v>
      </c>
    </row>
    <row r="69" spans="11:20" x14ac:dyDescent="0.25">
      <c r="K69">
        <f>chloroform!E74</f>
        <v>373</v>
      </c>
      <c r="L69">
        <f>Table3[[#This Row],[weight]]*(0.9155*Table2[[#This Row],[J1,2]]-A$9)^2</f>
        <v>3.0387598301812643E-5</v>
      </c>
      <c r="M69">
        <f>Table3[[#This Row],[weight]]*(0.9155*Table2[[#This Row],[J2,3]]-B$9)^2</f>
        <v>2.6948384881669304E-5</v>
      </c>
      <c r="N69">
        <f>Table3[[#This Row],[weight]]*(0.9155*Table2[[#This Row],[J34]]-C$9)^2</f>
        <v>4.4524068408859367E-4</v>
      </c>
      <c r="O69">
        <f>Table3[[#This Row],[weight]]*(0.9155*Table2[[#This Row],[J45]]-D$9)^2</f>
        <v>7.4077906828234495E-4</v>
      </c>
      <c r="P69">
        <f>Table3[[#This Row],[weight]]*(0.9155*Table2[[#This Row],[J56]]-E$9)^2</f>
        <v>4.0959973566418169E-5</v>
      </c>
      <c r="Q69">
        <f>Table3[[#This Row],[weight]]*(0.9155*Table2[[#This Row],[J67]]-F$9)^2</f>
        <v>2.6023124069202453E-5</v>
      </c>
      <c r="R69">
        <f>Table3[[#This Row],[weight]]*(0.9155*Table2[[#This Row],[J67'']]-G$9)^2</f>
        <v>8.1183600290348509E-4</v>
      </c>
      <c r="S69">
        <f>chloroform!J74</f>
        <v>3.395064000996668E-5</v>
      </c>
      <c r="T69" t="str">
        <f>chloroform!F74</f>
        <v>4H6</v>
      </c>
    </row>
    <row r="70" spans="11:20" x14ac:dyDescent="0.25">
      <c r="K70">
        <f>chloroform!E75</f>
        <v>396</v>
      </c>
      <c r="L70">
        <f>Table3[[#This Row],[weight]]*(0.9155*Table2[[#This Row],[J1,2]]-A$9)^2</f>
        <v>0</v>
      </c>
      <c r="M70">
        <f>Table3[[#This Row],[weight]]*(0.9155*Table2[[#This Row],[J2,3]]-B$9)^2</f>
        <v>0</v>
      </c>
      <c r="N70">
        <f>Table3[[#This Row],[weight]]*(0.9155*Table2[[#This Row],[J34]]-C$9)^2</f>
        <v>0</v>
      </c>
      <c r="O70">
        <f>Table3[[#This Row],[weight]]*(0.9155*Table2[[#This Row],[J45]]-D$9)^2</f>
        <v>0</v>
      </c>
      <c r="P70">
        <f>Table3[[#This Row],[weight]]*(0.9155*Table2[[#This Row],[J56]]-E$9)^2</f>
        <v>0</v>
      </c>
      <c r="Q70">
        <f>Table3[[#This Row],[weight]]*(0.9155*Table2[[#This Row],[J67]]-F$9)^2</f>
        <v>0</v>
      </c>
      <c r="R70">
        <f>Table3[[#This Row],[weight]]*(0.9155*Table2[[#This Row],[J67'']]-G$9)^2</f>
        <v>0</v>
      </c>
      <c r="S70">
        <f>chloroform!J75</f>
        <v>0</v>
      </c>
      <c r="T70" t="str">
        <f>chloroform!F75</f>
        <v>4H6</v>
      </c>
    </row>
  </sheetData>
  <conditionalFormatting sqref="T1:T1048576">
    <cfRule type="cellIs" dxfId="7" priority="1" operator="equal">
      <formula>$E$1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73AAF-50B6-41FA-9681-242F5669750F}">
  <dimension ref="A5:N22"/>
  <sheetViews>
    <sheetView tabSelected="1" workbookViewId="0">
      <selection activeCell="B7" sqref="B7"/>
    </sheetView>
  </sheetViews>
  <sheetFormatPr defaultRowHeight="15" x14ac:dyDescent="0.25"/>
  <sheetData>
    <row r="5" spans="1:14" x14ac:dyDescent="0.25">
      <c r="H5">
        <v>8.8838102302465298</v>
      </c>
      <c r="I5">
        <v>3.0039517567231768</v>
      </c>
      <c r="J5">
        <v>10.380233435697541</v>
      </c>
      <c r="K5">
        <v>9.6877655363424058</v>
      </c>
    </row>
    <row r="7" spans="1:14" x14ac:dyDescent="0.25">
      <c r="B7" t="s">
        <v>125</v>
      </c>
      <c r="C7" t="s">
        <v>17</v>
      </c>
      <c r="D7" t="s">
        <v>19</v>
      </c>
    </row>
    <row r="8" spans="1:14" x14ac:dyDescent="0.25">
      <c r="A8" t="s">
        <v>94</v>
      </c>
      <c r="B8">
        <f>'45TH'!B5</f>
        <v>8.4978170481757864</v>
      </c>
      <c r="C8">
        <f>halfchair!B5</f>
        <v>7.8621271826847243</v>
      </c>
      <c r="D8">
        <f>chair!B5</f>
        <v>2.7805548125172099</v>
      </c>
      <c r="F8" t="s">
        <v>94</v>
      </c>
    </row>
    <row r="9" spans="1:14" x14ac:dyDescent="0.25">
      <c r="A9" t="s">
        <v>69</v>
      </c>
      <c r="B9">
        <f>'45TH'!C5</f>
        <v>2.0007110110585433</v>
      </c>
      <c r="C9">
        <f>halfchair!C5</f>
        <v>5.5302908679706384</v>
      </c>
      <c r="D9">
        <f>chair!$C5</f>
        <v>8.619430147725442</v>
      </c>
      <c r="F9" t="s">
        <v>69</v>
      </c>
      <c r="M9" t="s">
        <v>17</v>
      </c>
      <c r="N9" s="7">
        <v>0.5504</v>
      </c>
    </row>
    <row r="10" spans="1:14" x14ac:dyDescent="0.25">
      <c r="A10" t="s">
        <v>70</v>
      </c>
      <c r="B10">
        <f>'45TH'!D5</f>
        <v>5.8722489437212406</v>
      </c>
      <c r="C10">
        <f>halfchair!D5</f>
        <v>0.536445065742993</v>
      </c>
      <c r="D10">
        <f>chair!$D5</f>
        <v>10.399896184867449</v>
      </c>
      <c r="F10" t="s">
        <v>70</v>
      </c>
      <c r="M10" t="s">
        <v>19</v>
      </c>
      <c r="N10" s="8">
        <v>0.32850000000000001</v>
      </c>
    </row>
    <row r="11" spans="1:14" x14ac:dyDescent="0.25">
      <c r="A11" t="s">
        <v>71</v>
      </c>
      <c r="B11">
        <f>'45TH'!E5</f>
        <v>9.0554223192343226</v>
      </c>
      <c r="C11">
        <f>halfchair!E5</f>
        <v>10.941414193724865</v>
      </c>
      <c r="D11">
        <f>chair!$E5</f>
        <v>9.4222883890254021</v>
      </c>
      <c r="F11" t="s">
        <v>71</v>
      </c>
      <c r="M11" t="s">
        <v>125</v>
      </c>
      <c r="N11" s="7">
        <v>0.1211</v>
      </c>
    </row>
    <row r="14" spans="1:14" x14ac:dyDescent="0.25">
      <c r="A14" t="s">
        <v>95</v>
      </c>
    </row>
    <row r="15" spans="1:14" x14ac:dyDescent="0.25">
      <c r="B15" t="s">
        <v>125</v>
      </c>
      <c r="C15" t="s">
        <v>17</v>
      </c>
      <c r="D15" t="s">
        <v>19</v>
      </c>
    </row>
    <row r="16" spans="1:14" x14ac:dyDescent="0.25">
      <c r="A16" t="s">
        <v>94</v>
      </c>
      <c r="B16">
        <f>'45TH'!B13</f>
        <v>0.23291084663905362</v>
      </c>
      <c r="C16">
        <f>halfchair!B13</f>
        <v>0.23350982355570923</v>
      </c>
      <c r="D16">
        <f>chair!B13</f>
        <v>0.22156886965211389</v>
      </c>
      <c r="G16">
        <f t="shared" ref="G16:I19" si="0">(B16/B8)^2</f>
        <v>7.5121573223765501E-4</v>
      </c>
      <c r="H16">
        <f t="shared" si="0"/>
        <v>8.8212510357944243E-4</v>
      </c>
      <c r="I16">
        <f t="shared" si="0"/>
        <v>6.3497198253069939E-3</v>
      </c>
    </row>
    <row r="17" spans="1:9" x14ac:dyDescent="0.25">
      <c r="A17" t="s">
        <v>69</v>
      </c>
      <c r="B17">
        <f>'45TH'!C13</f>
        <v>0.22116115053519922</v>
      </c>
      <c r="C17">
        <f>halfchair!C13</f>
        <v>0.32393371208215332</v>
      </c>
      <c r="D17">
        <f>chair!$C13</f>
        <v>1.0180528824281885</v>
      </c>
      <c r="G17">
        <f t="shared" si="0"/>
        <v>1.2219373972155006E-2</v>
      </c>
      <c r="H17">
        <f t="shared" si="0"/>
        <v>3.4309654757693048E-3</v>
      </c>
      <c r="I17">
        <f t="shared" si="0"/>
        <v>1.3950300630595725E-2</v>
      </c>
    </row>
    <row r="18" spans="1:9" x14ac:dyDescent="0.25">
      <c r="A18" t="s">
        <v>70</v>
      </c>
      <c r="B18">
        <f>'45TH'!D13</f>
        <v>0.46633332628876034</v>
      </c>
      <c r="C18">
        <f>halfchair!D13</f>
        <v>0.20413659140168536</v>
      </c>
      <c r="D18">
        <f>chair!$D13</f>
        <v>0.34753419771029154</v>
      </c>
      <c r="G18">
        <f t="shared" si="0"/>
        <v>6.3064359536047065E-3</v>
      </c>
      <c r="H18">
        <f t="shared" si="0"/>
        <v>0.1448075506294205</v>
      </c>
      <c r="I18">
        <f t="shared" si="0"/>
        <v>1.1167014600657421E-3</v>
      </c>
    </row>
    <row r="19" spans="1:9" x14ac:dyDescent="0.25">
      <c r="A19" t="s">
        <v>71</v>
      </c>
      <c r="B19">
        <f>'45TH'!E13</f>
        <v>0.37148652266079329</v>
      </c>
      <c r="C19">
        <f>halfchair!E13</f>
        <v>0.21766619876043042</v>
      </c>
      <c r="D19">
        <f>chair!$E13</f>
        <v>0.62169370118155343</v>
      </c>
      <c r="G19">
        <f t="shared" si="0"/>
        <v>1.6829402836683713E-3</v>
      </c>
      <c r="H19">
        <f t="shared" si="0"/>
        <v>3.9576288960950853E-4</v>
      </c>
      <c r="I19">
        <f t="shared" si="0"/>
        <v>4.353516043792572E-3</v>
      </c>
    </row>
    <row r="22" spans="1:9" x14ac:dyDescent="0.25">
      <c r="H22">
        <f>SQRT(SUM(G16:I19))</f>
        <v>0.4429973002172875</v>
      </c>
    </row>
  </sheetData>
  <sortState xmlns:xlrd2="http://schemas.microsoft.com/office/spreadsheetml/2017/richdata2" ref="M9:N11">
    <sortCondition descending="1" ref="N9:N1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chloroform</vt:lpstr>
      <vt:lpstr>js-chloroform</vt:lpstr>
      <vt:lpstr>chair</vt:lpstr>
      <vt:lpstr>halfchair</vt:lpstr>
      <vt:lpstr>45TH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Caleb Griesbach</dc:creator>
  <cp:lastModifiedBy>Caleb Griesbach</cp:lastModifiedBy>
  <dcterms:created xsi:type="dcterms:W3CDTF">2020-06-17T13:36:29Z</dcterms:created>
  <dcterms:modified xsi:type="dcterms:W3CDTF">2021-09-23T12:37:00Z</dcterms:modified>
</cp:coreProperties>
</file>