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eb\Desktop\oxepine-xyzs\manox\"/>
    </mc:Choice>
  </mc:AlternateContent>
  <xr:revisionPtr revIDLastSave="0" documentId="13_ncr:1_{A675D935-D7D6-4EA5-B6B2-12641928177D}" xr6:coauthVersionLast="47" xr6:coauthVersionMax="47" xr10:uidLastSave="{00000000-0000-0000-0000-000000000000}"/>
  <bookViews>
    <workbookView xWindow="-120" yWindow="-120" windowWidth="29040" windowHeight="15840" activeTab="1" xr2:uid="{4259C506-C026-40AB-9C6F-B79AF468AC2E}"/>
  </bookViews>
  <sheets>
    <sheet name="chloroform" sheetId="1" r:id="rId1"/>
    <sheet name="js-chloroform" sheetId="2" r:id="rId2"/>
    <sheet name="chair" sheetId="3" r:id="rId3"/>
    <sheet name="halfchair" sheetId="4" r:id="rId4"/>
    <sheet name="6H4" sheetId="5" r:id="rId5"/>
    <sheet name="Sheet6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64" i="5" l="1"/>
  <c r="K64" i="5"/>
  <c r="T63" i="5"/>
  <c r="K63" i="5"/>
  <c r="T62" i="5"/>
  <c r="K62" i="5"/>
  <c r="T61" i="5"/>
  <c r="K61" i="5"/>
  <c r="T60" i="5"/>
  <c r="K60" i="5"/>
  <c r="T59" i="5"/>
  <c r="K59" i="5"/>
  <c r="T58" i="5"/>
  <c r="K58" i="5"/>
  <c r="T57" i="5"/>
  <c r="K57" i="5"/>
  <c r="T56" i="5"/>
  <c r="K56" i="5"/>
  <c r="T55" i="5"/>
  <c r="K55" i="5"/>
  <c r="T54" i="5"/>
  <c r="K54" i="5"/>
  <c r="T53" i="5"/>
  <c r="K53" i="5"/>
  <c r="T52" i="5"/>
  <c r="K52" i="5"/>
  <c r="T51" i="5"/>
  <c r="K51" i="5"/>
  <c r="T50" i="5"/>
  <c r="K50" i="5"/>
  <c r="T49" i="5"/>
  <c r="K49" i="5"/>
  <c r="T48" i="5"/>
  <c r="K48" i="5"/>
  <c r="T47" i="5"/>
  <c r="K47" i="5"/>
  <c r="T46" i="5"/>
  <c r="K46" i="5"/>
  <c r="T45" i="5"/>
  <c r="K45" i="5"/>
  <c r="T44" i="5"/>
  <c r="K44" i="5"/>
  <c r="T43" i="5"/>
  <c r="K43" i="5"/>
  <c r="T42" i="5"/>
  <c r="K42" i="5"/>
  <c r="T41" i="5"/>
  <c r="K41" i="5"/>
  <c r="T40" i="5"/>
  <c r="K40" i="5"/>
  <c r="T39" i="5"/>
  <c r="K39" i="5"/>
  <c r="T38" i="5"/>
  <c r="K38" i="5"/>
  <c r="T37" i="5"/>
  <c r="K37" i="5"/>
  <c r="T36" i="5"/>
  <c r="K36" i="5"/>
  <c r="T35" i="5"/>
  <c r="K35" i="5"/>
  <c r="T34" i="5"/>
  <c r="K34" i="5"/>
  <c r="T33" i="5"/>
  <c r="K33" i="5"/>
  <c r="T32" i="5"/>
  <c r="K32" i="5"/>
  <c r="T31" i="5"/>
  <c r="K31" i="5"/>
  <c r="T30" i="5"/>
  <c r="K30" i="5"/>
  <c r="T29" i="5"/>
  <c r="K29" i="5"/>
  <c r="T28" i="5"/>
  <c r="K28" i="5"/>
  <c r="T27" i="5"/>
  <c r="K27" i="5"/>
  <c r="T26" i="5"/>
  <c r="K26" i="5"/>
  <c r="T25" i="5"/>
  <c r="K25" i="5"/>
  <c r="T24" i="5"/>
  <c r="K24" i="5"/>
  <c r="T23" i="5"/>
  <c r="K23" i="5"/>
  <c r="T22" i="5"/>
  <c r="K22" i="5"/>
  <c r="T21" i="5"/>
  <c r="K21" i="5"/>
  <c r="T20" i="5"/>
  <c r="K20" i="5"/>
  <c r="T19" i="5"/>
  <c r="K19" i="5"/>
  <c r="T18" i="5"/>
  <c r="K18" i="5"/>
  <c r="T17" i="5"/>
  <c r="K17" i="5"/>
  <c r="T16" i="5"/>
  <c r="K16" i="5"/>
  <c r="T15" i="5"/>
  <c r="K15" i="5"/>
  <c r="T14" i="5"/>
  <c r="K14" i="5"/>
  <c r="T13" i="5"/>
  <c r="K13" i="5"/>
  <c r="T12" i="5"/>
  <c r="K12" i="5"/>
  <c r="T11" i="5"/>
  <c r="K11" i="5"/>
  <c r="T10" i="5"/>
  <c r="K10" i="5"/>
  <c r="T9" i="5"/>
  <c r="K9" i="5"/>
  <c r="T8" i="5"/>
  <c r="K8" i="5"/>
  <c r="T7" i="5"/>
  <c r="K7" i="5"/>
  <c r="T6" i="5"/>
  <c r="K6" i="5"/>
  <c r="T5" i="5"/>
  <c r="K5" i="5"/>
  <c r="T4" i="5"/>
  <c r="K4" i="5"/>
  <c r="T3" i="5"/>
  <c r="K3" i="5"/>
  <c r="T2" i="5"/>
  <c r="K2" i="5"/>
  <c r="T64" i="4"/>
  <c r="K64" i="4"/>
  <c r="T63" i="4"/>
  <c r="K63" i="4"/>
  <c r="T62" i="4"/>
  <c r="K62" i="4"/>
  <c r="T61" i="4"/>
  <c r="K61" i="4"/>
  <c r="T60" i="4"/>
  <c r="K60" i="4"/>
  <c r="T59" i="4"/>
  <c r="K59" i="4"/>
  <c r="T58" i="4"/>
  <c r="K58" i="4"/>
  <c r="T57" i="4"/>
  <c r="K57" i="4"/>
  <c r="T56" i="4"/>
  <c r="K56" i="4"/>
  <c r="T55" i="4"/>
  <c r="K55" i="4"/>
  <c r="T54" i="4"/>
  <c r="K54" i="4"/>
  <c r="T53" i="4"/>
  <c r="K53" i="4"/>
  <c r="T52" i="4"/>
  <c r="K52" i="4"/>
  <c r="T51" i="4"/>
  <c r="K51" i="4"/>
  <c r="T50" i="4"/>
  <c r="K50" i="4"/>
  <c r="T49" i="4"/>
  <c r="K49" i="4"/>
  <c r="T48" i="4"/>
  <c r="K48" i="4"/>
  <c r="T47" i="4"/>
  <c r="K47" i="4"/>
  <c r="T46" i="4"/>
  <c r="K46" i="4"/>
  <c r="T45" i="4"/>
  <c r="K45" i="4"/>
  <c r="T44" i="4"/>
  <c r="K44" i="4"/>
  <c r="T43" i="4"/>
  <c r="K43" i="4"/>
  <c r="T42" i="4"/>
  <c r="K42" i="4"/>
  <c r="T41" i="4"/>
  <c r="K41" i="4"/>
  <c r="T40" i="4"/>
  <c r="K40" i="4"/>
  <c r="T39" i="4"/>
  <c r="K39" i="4"/>
  <c r="T38" i="4"/>
  <c r="K38" i="4"/>
  <c r="T37" i="4"/>
  <c r="K37" i="4"/>
  <c r="T36" i="4"/>
  <c r="K36" i="4"/>
  <c r="T35" i="4"/>
  <c r="K35" i="4"/>
  <c r="T34" i="4"/>
  <c r="K34" i="4"/>
  <c r="T33" i="4"/>
  <c r="K33" i="4"/>
  <c r="T32" i="4"/>
  <c r="K32" i="4"/>
  <c r="T31" i="4"/>
  <c r="K31" i="4"/>
  <c r="T30" i="4"/>
  <c r="K30" i="4"/>
  <c r="T29" i="4"/>
  <c r="K29" i="4"/>
  <c r="T28" i="4"/>
  <c r="K28" i="4"/>
  <c r="T27" i="4"/>
  <c r="K27" i="4"/>
  <c r="T26" i="4"/>
  <c r="K26" i="4"/>
  <c r="T25" i="4"/>
  <c r="K25" i="4"/>
  <c r="T24" i="4"/>
  <c r="K24" i="4"/>
  <c r="T23" i="4"/>
  <c r="K23" i="4"/>
  <c r="T22" i="4"/>
  <c r="K22" i="4"/>
  <c r="T21" i="4"/>
  <c r="K21" i="4"/>
  <c r="T20" i="4"/>
  <c r="K20" i="4"/>
  <c r="T19" i="4"/>
  <c r="K19" i="4"/>
  <c r="T18" i="4"/>
  <c r="K18" i="4"/>
  <c r="T17" i="4"/>
  <c r="K17" i="4"/>
  <c r="T16" i="4"/>
  <c r="K16" i="4"/>
  <c r="T15" i="4"/>
  <c r="K15" i="4"/>
  <c r="T14" i="4"/>
  <c r="K14" i="4"/>
  <c r="T13" i="4"/>
  <c r="K13" i="4"/>
  <c r="T12" i="4"/>
  <c r="K12" i="4"/>
  <c r="T11" i="4"/>
  <c r="K11" i="4"/>
  <c r="T10" i="4"/>
  <c r="K10" i="4"/>
  <c r="T9" i="4"/>
  <c r="K9" i="4"/>
  <c r="T8" i="4"/>
  <c r="K8" i="4"/>
  <c r="T7" i="4"/>
  <c r="K7" i="4"/>
  <c r="T6" i="4"/>
  <c r="K6" i="4"/>
  <c r="T5" i="4"/>
  <c r="K5" i="4"/>
  <c r="T4" i="4"/>
  <c r="K4" i="4"/>
  <c r="T3" i="4"/>
  <c r="K3" i="4"/>
  <c r="T2" i="4"/>
  <c r="K2" i="4"/>
  <c r="K47" i="3"/>
  <c r="T47" i="3"/>
  <c r="K48" i="3"/>
  <c r="T48" i="3"/>
  <c r="K49" i="3"/>
  <c r="T49" i="3"/>
  <c r="K50" i="3"/>
  <c r="T50" i="3"/>
  <c r="K51" i="3"/>
  <c r="T51" i="3"/>
  <c r="K52" i="3"/>
  <c r="T52" i="3"/>
  <c r="K53" i="3"/>
  <c r="T53" i="3"/>
  <c r="K54" i="3"/>
  <c r="T54" i="3"/>
  <c r="K55" i="3"/>
  <c r="T55" i="3"/>
  <c r="K56" i="3"/>
  <c r="T56" i="3"/>
  <c r="K57" i="3"/>
  <c r="T57" i="3"/>
  <c r="K58" i="3"/>
  <c r="T58" i="3"/>
  <c r="K59" i="3"/>
  <c r="T59" i="3"/>
  <c r="K60" i="3"/>
  <c r="T60" i="3"/>
  <c r="K61" i="3"/>
  <c r="T61" i="3"/>
  <c r="K62" i="3"/>
  <c r="T62" i="3"/>
  <c r="K63" i="3"/>
  <c r="T63" i="3"/>
  <c r="K64" i="3"/>
  <c r="T64" i="3"/>
  <c r="T3" i="3"/>
  <c r="T4" i="3"/>
  <c r="T5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36" i="3"/>
  <c r="T37" i="3"/>
  <c r="T38" i="3"/>
  <c r="T39" i="3"/>
  <c r="T40" i="3"/>
  <c r="T41" i="3"/>
  <c r="T42" i="3"/>
  <c r="T43" i="3"/>
  <c r="T44" i="3"/>
  <c r="T45" i="3"/>
  <c r="T46" i="3"/>
  <c r="K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T2" i="3"/>
  <c r="K2" i="3"/>
  <c r="K2" i="2"/>
  <c r="K47" i="2" l="1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61" i="1"/>
  <c r="B60" i="1"/>
  <c r="B64" i="1"/>
  <c r="B56" i="1"/>
  <c r="B59" i="1"/>
  <c r="B58" i="1"/>
  <c r="B68" i="1"/>
  <c r="B66" i="1"/>
  <c r="B62" i="1"/>
  <c r="B67" i="1"/>
  <c r="B69" i="1"/>
  <c r="B63" i="1"/>
  <c r="B65" i="1"/>
  <c r="B57" i="1"/>
  <c r="B7" i="1"/>
  <c r="C66" i="1" l="1"/>
  <c r="C47" i="1"/>
  <c r="C61" i="1"/>
  <c r="C20" i="1"/>
  <c r="C59" i="1"/>
  <c r="C44" i="1"/>
  <c r="C12" i="1"/>
  <c r="C62" i="1"/>
  <c r="C32" i="1"/>
  <c r="C24" i="1"/>
  <c r="C43" i="1"/>
  <c r="C36" i="1"/>
  <c r="C35" i="1"/>
  <c r="C8" i="1"/>
  <c r="C63" i="1"/>
  <c r="C51" i="1"/>
  <c r="C9" i="1"/>
  <c r="C48" i="1"/>
  <c r="C40" i="1"/>
  <c r="C65" i="1"/>
  <c r="C27" i="1"/>
  <c r="C16" i="1"/>
  <c r="C55" i="1"/>
  <c r="C52" i="1"/>
  <c r="C28" i="1"/>
  <c r="C56" i="1"/>
  <c r="C68" i="1"/>
  <c r="C54" i="1"/>
  <c r="C46" i="1"/>
  <c r="C38" i="1"/>
  <c r="C30" i="1"/>
  <c r="C22" i="1"/>
  <c r="C14" i="1"/>
  <c r="C39" i="1"/>
  <c r="C31" i="1"/>
  <c r="C23" i="1"/>
  <c r="C15" i="1"/>
  <c r="C57" i="1"/>
  <c r="C58" i="1"/>
  <c r="C53" i="1"/>
  <c r="C45" i="1"/>
  <c r="C37" i="1"/>
  <c r="C29" i="1"/>
  <c r="C21" i="1"/>
  <c r="C13" i="1"/>
  <c r="C19" i="1"/>
  <c r="C69" i="1"/>
  <c r="C64" i="1"/>
  <c r="C50" i="1"/>
  <c r="C42" i="1"/>
  <c r="C34" i="1"/>
  <c r="C26" i="1"/>
  <c r="C18" i="1"/>
  <c r="C10" i="1"/>
  <c r="C11" i="1"/>
  <c r="C67" i="1"/>
  <c r="C60" i="1"/>
  <c r="C49" i="1"/>
  <c r="C41" i="1"/>
  <c r="C33" i="1"/>
  <c r="C25" i="1"/>
  <c r="C17" i="1"/>
  <c r="G1" i="5"/>
  <c r="G1" i="4"/>
  <c r="G1" i="3"/>
  <c r="M8" i="1" l="1"/>
  <c r="M9" i="1"/>
  <c r="M10" i="1"/>
  <c r="M11" i="1"/>
  <c r="M7" i="1"/>
  <c r="K4" i="2" l="1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3" i="2"/>
  <c r="AB15" i="2" l="1"/>
  <c r="AB14" i="2" l="1"/>
  <c r="AA8" i="2"/>
  <c r="AA9" i="2"/>
  <c r="AA10" i="2"/>
  <c r="AA11" i="2"/>
  <c r="AA12" i="2"/>
  <c r="AA13" i="2"/>
  <c r="AA7" i="2"/>
  <c r="AA15" i="2" l="1"/>
  <c r="AA14" i="2"/>
  <c r="H12" i="1" l="1"/>
  <c r="I12" i="1" s="1"/>
  <c r="H8" i="1"/>
  <c r="I8" i="1" s="1"/>
  <c r="H31" i="1"/>
  <c r="I31" i="1" s="1"/>
  <c r="H32" i="1"/>
  <c r="I32" i="1" s="1"/>
  <c r="H24" i="1"/>
  <c r="I24" i="1" s="1"/>
  <c r="H21" i="1" l="1"/>
  <c r="I21" i="1" s="1"/>
  <c r="H23" i="1"/>
  <c r="I23" i="1" s="1"/>
  <c r="C7" i="1"/>
  <c r="H42" i="1"/>
  <c r="H29" i="1"/>
  <c r="I29" i="1" s="1"/>
  <c r="H35" i="1"/>
  <c r="I35" i="1" s="1"/>
  <c r="I42" i="1" l="1"/>
  <c r="H11" i="1"/>
  <c r="H46" i="1"/>
  <c r="H7" i="1"/>
  <c r="I7" i="1" s="1"/>
  <c r="H38" i="1"/>
  <c r="H9" i="1"/>
  <c r="I9" i="1" s="1"/>
  <c r="I46" i="1" l="1"/>
  <c r="I38" i="1"/>
  <c r="H37" i="1"/>
  <c r="H51" i="1"/>
  <c r="H39" i="1"/>
  <c r="H16" i="1"/>
  <c r="H15" i="1"/>
  <c r="I11" i="1"/>
  <c r="H36" i="1" l="1"/>
  <c r="H19" i="1"/>
  <c r="I39" i="1"/>
  <c r="I51" i="1"/>
  <c r="H28" i="1"/>
  <c r="H48" i="1"/>
  <c r="I15" i="1"/>
  <c r="I37" i="1"/>
  <c r="H47" i="1"/>
  <c r="I16" i="1"/>
  <c r="H10" i="1" l="1"/>
  <c r="I48" i="1"/>
  <c r="I19" i="1"/>
  <c r="H25" i="1"/>
  <c r="H40" i="1"/>
  <c r="H30" i="1"/>
  <c r="I47" i="1"/>
  <c r="I28" i="1"/>
  <c r="H33" i="1"/>
  <c r="I36" i="1"/>
  <c r="H44" i="1" l="1"/>
  <c r="I25" i="1"/>
  <c r="H43" i="1"/>
  <c r="I30" i="1"/>
  <c r="H41" i="1"/>
  <c r="H17" i="1"/>
  <c r="H13" i="1"/>
  <c r="I33" i="1"/>
  <c r="I40" i="1"/>
  <c r="I10" i="1"/>
  <c r="H14" i="1" l="1"/>
  <c r="H20" i="1"/>
  <c r="I13" i="1"/>
  <c r="I43" i="1"/>
  <c r="H26" i="1"/>
  <c r="I17" i="1"/>
  <c r="H49" i="1"/>
  <c r="H27" i="1"/>
  <c r="I41" i="1"/>
  <c r="I44" i="1"/>
  <c r="H34" i="1" l="1"/>
  <c r="P9" i="1" s="1"/>
  <c r="H45" i="1"/>
  <c r="I49" i="1"/>
  <c r="H22" i="1"/>
  <c r="I27" i="1"/>
  <c r="I20" i="1"/>
  <c r="H18" i="1"/>
  <c r="H50" i="1"/>
  <c r="I26" i="1"/>
  <c r="I14" i="1"/>
  <c r="H55" i="1" l="1"/>
  <c r="I22" i="1"/>
  <c r="H54" i="1"/>
  <c r="I50" i="1"/>
  <c r="H52" i="1"/>
  <c r="I18" i="1"/>
  <c r="H61" i="1"/>
  <c r="H53" i="1"/>
  <c r="I45" i="1"/>
  <c r="I34" i="1"/>
  <c r="H58" i="1" l="1"/>
  <c r="P11" i="1" s="1"/>
  <c r="H69" i="1"/>
  <c r="P10" i="1" s="1"/>
  <c r="I54" i="1"/>
  <c r="H64" i="1"/>
  <c r="I53" i="1"/>
  <c r="I61" i="1"/>
  <c r="H56" i="1"/>
  <c r="H60" i="1"/>
  <c r="H59" i="1"/>
  <c r="H67" i="1"/>
  <c r="I52" i="1"/>
  <c r="J52" i="1"/>
  <c r="I55" i="1"/>
  <c r="P7" i="1" l="1"/>
  <c r="I67" i="1"/>
  <c r="I59" i="1"/>
  <c r="H66" i="1"/>
  <c r="H65" i="1"/>
  <c r="I60" i="1"/>
  <c r="I64" i="1"/>
  <c r="H63" i="1"/>
  <c r="H68" i="1"/>
  <c r="I69" i="1"/>
  <c r="H62" i="1"/>
  <c r="H57" i="1"/>
  <c r="P8" i="1" s="1"/>
  <c r="I56" i="1"/>
  <c r="I58" i="1"/>
  <c r="I57" i="1" l="1"/>
  <c r="F2" i="1"/>
  <c r="J69" i="1" s="1"/>
  <c r="J65" i="1"/>
  <c r="I65" i="1"/>
  <c r="I62" i="1"/>
  <c r="J66" i="1"/>
  <c r="I66" i="1"/>
  <c r="J68" i="1"/>
  <c r="I68" i="1"/>
  <c r="I63" i="1"/>
  <c r="S64" i="5" l="1"/>
  <c r="S64" i="4"/>
  <c r="S64" i="3"/>
  <c r="J64" i="2"/>
  <c r="R64" i="2" s="1"/>
  <c r="J67" i="1"/>
  <c r="J57" i="1"/>
  <c r="J63" i="1"/>
  <c r="J62" i="1"/>
  <c r="J8" i="1"/>
  <c r="J12" i="1"/>
  <c r="J39" i="1"/>
  <c r="J16" i="1"/>
  <c r="J28" i="1"/>
  <c r="J13" i="1"/>
  <c r="J44" i="1"/>
  <c r="J49" i="1"/>
  <c r="J14" i="1"/>
  <c r="J20" i="1"/>
  <c r="J45" i="1"/>
  <c r="J22" i="1"/>
  <c r="S17" i="4" s="1"/>
  <c r="J59" i="1"/>
  <c r="S54" i="3" s="1"/>
  <c r="J56" i="1"/>
  <c r="J64" i="1"/>
  <c r="J29" i="1"/>
  <c r="J35" i="1"/>
  <c r="J32" i="1"/>
  <c r="J21" i="1"/>
  <c r="J42" i="1"/>
  <c r="J23" i="1"/>
  <c r="J31" i="1"/>
  <c r="J9" i="1"/>
  <c r="J24" i="1"/>
  <c r="J7" i="1"/>
  <c r="J11" i="1"/>
  <c r="J38" i="1"/>
  <c r="J46" i="1"/>
  <c r="J51" i="1"/>
  <c r="J37" i="1"/>
  <c r="J15" i="1"/>
  <c r="J19" i="1"/>
  <c r="J10" i="1"/>
  <c r="J47" i="1"/>
  <c r="J40" i="1"/>
  <c r="J48" i="1"/>
  <c r="J36" i="1"/>
  <c r="J33" i="1"/>
  <c r="J25" i="1"/>
  <c r="J41" i="1"/>
  <c r="J17" i="1"/>
  <c r="J30" i="1"/>
  <c r="J43" i="1"/>
  <c r="J27" i="1"/>
  <c r="J26" i="1"/>
  <c r="J50" i="1"/>
  <c r="J18" i="1"/>
  <c r="J34" i="1"/>
  <c r="J61" i="1"/>
  <c r="J54" i="1"/>
  <c r="J55" i="1"/>
  <c r="S47" i="4" s="1"/>
  <c r="J53" i="1"/>
  <c r="J60" i="1"/>
  <c r="J58" i="1"/>
  <c r="S47" i="3" l="1"/>
  <c r="S47" i="5"/>
  <c r="S50" i="4"/>
  <c r="L2" i="1"/>
  <c r="S54" i="5"/>
  <c r="S64" i="2"/>
  <c r="N64" i="2"/>
  <c r="Q64" i="2"/>
  <c r="P64" i="2"/>
  <c r="M64" i="2"/>
  <c r="O64" i="2"/>
  <c r="T64" i="2"/>
  <c r="S54" i="4"/>
  <c r="S17" i="5"/>
  <c r="S17" i="3"/>
  <c r="S50" i="3"/>
  <c r="S50" i="5"/>
  <c r="J13" i="2"/>
  <c r="S22" i="5"/>
  <c r="S22" i="4"/>
  <c r="S22" i="3"/>
  <c r="S6" i="5"/>
  <c r="S6" i="4"/>
  <c r="S6" i="3"/>
  <c r="S34" i="5"/>
  <c r="S34" i="4"/>
  <c r="S34" i="3"/>
  <c r="J4" i="2"/>
  <c r="O4" i="2" s="1"/>
  <c r="S3" i="5"/>
  <c r="S3" i="3"/>
  <c r="S3" i="4"/>
  <c r="J59" i="2"/>
  <c r="S41" i="5"/>
  <c r="S41" i="4"/>
  <c r="S41" i="3"/>
  <c r="J39" i="2"/>
  <c r="S39" i="2" s="1"/>
  <c r="S51" i="4"/>
  <c r="S51" i="5"/>
  <c r="S51" i="3"/>
  <c r="S49" i="5"/>
  <c r="S49" i="4"/>
  <c r="S49" i="3"/>
  <c r="S21" i="5"/>
  <c r="S21" i="4"/>
  <c r="S21" i="3"/>
  <c r="S33" i="5"/>
  <c r="S33" i="4"/>
  <c r="S33" i="3"/>
  <c r="S38" i="5"/>
  <c r="S38" i="4"/>
  <c r="S38" i="3"/>
  <c r="S35" i="5"/>
  <c r="S35" i="4"/>
  <c r="S35" i="3"/>
  <c r="S13" i="5"/>
  <c r="S13" i="4"/>
  <c r="S13" i="3"/>
  <c r="S31" i="5"/>
  <c r="S31" i="4"/>
  <c r="S31" i="3"/>
  <c r="J45" i="2"/>
  <c r="S63" i="4"/>
  <c r="S63" i="5"/>
  <c r="S63" i="3"/>
  <c r="S60" i="5"/>
  <c r="S60" i="4"/>
  <c r="S60" i="3"/>
  <c r="S59" i="4"/>
  <c r="S59" i="5"/>
  <c r="S59" i="3"/>
  <c r="S16" i="5"/>
  <c r="S16" i="4"/>
  <c r="S16" i="3"/>
  <c r="S8" i="5"/>
  <c r="S8" i="4"/>
  <c r="S8" i="3"/>
  <c r="S45" i="5"/>
  <c r="S45" i="4"/>
  <c r="S45" i="3"/>
  <c r="S48" i="5"/>
  <c r="S48" i="4"/>
  <c r="S48" i="3"/>
  <c r="S20" i="5"/>
  <c r="S20" i="4"/>
  <c r="S20" i="3"/>
  <c r="J61" i="2"/>
  <c r="S61" i="5"/>
  <c r="S61" i="4"/>
  <c r="S61" i="3"/>
  <c r="J43" i="2"/>
  <c r="S18" i="5"/>
  <c r="S18" i="4"/>
  <c r="S18" i="3"/>
  <c r="S62" i="5"/>
  <c r="S62" i="4"/>
  <c r="S62" i="3"/>
  <c r="S43" i="4"/>
  <c r="S43" i="5"/>
  <c r="S43" i="3"/>
  <c r="J17" i="2"/>
  <c r="T17" i="2" s="1"/>
  <c r="S40" i="5"/>
  <c r="S40" i="4"/>
  <c r="S40" i="3"/>
  <c r="S39" i="5"/>
  <c r="S39" i="4"/>
  <c r="S39" i="3"/>
  <c r="J50" i="2"/>
  <c r="S10" i="5"/>
  <c r="S10" i="4"/>
  <c r="S10" i="3"/>
  <c r="S2" i="5"/>
  <c r="S2" i="3"/>
  <c r="S2" i="4"/>
  <c r="S53" i="5"/>
  <c r="S53" i="4"/>
  <c r="S53" i="3"/>
  <c r="S25" i="5"/>
  <c r="S25" i="4"/>
  <c r="S25" i="3"/>
  <c r="S58" i="4"/>
  <c r="S58" i="5"/>
  <c r="S58" i="3"/>
  <c r="S57" i="5"/>
  <c r="S57" i="4"/>
  <c r="S57" i="3"/>
  <c r="S11" i="5"/>
  <c r="S11" i="4"/>
  <c r="S11" i="3"/>
  <c r="J42" i="2"/>
  <c r="S24" i="5"/>
  <c r="S24" i="4"/>
  <c r="S24" i="3"/>
  <c r="S56" i="5"/>
  <c r="S56" i="4"/>
  <c r="S56" i="3"/>
  <c r="S36" i="5"/>
  <c r="S36" i="4"/>
  <c r="S36" i="3"/>
  <c r="S44" i="5"/>
  <c r="S44" i="4"/>
  <c r="S44" i="3"/>
  <c r="S30" i="5"/>
  <c r="S30" i="4"/>
  <c r="S30" i="3"/>
  <c r="J53" i="2"/>
  <c r="S46" i="5"/>
  <c r="S46" i="4"/>
  <c r="S46" i="3"/>
  <c r="S28" i="5"/>
  <c r="S28" i="4"/>
  <c r="S28" i="3"/>
  <c r="J25" i="2"/>
  <c r="S27" i="5"/>
  <c r="S27" i="4"/>
  <c r="S27" i="3"/>
  <c r="S26" i="5"/>
  <c r="S26" i="4"/>
  <c r="S26" i="3"/>
  <c r="J12" i="2"/>
  <c r="S15" i="5"/>
  <c r="S15" i="4"/>
  <c r="S15" i="3"/>
  <c r="J5" i="2"/>
  <c r="S55" i="4"/>
  <c r="S55" i="5"/>
  <c r="S55" i="3"/>
  <c r="S14" i="5"/>
  <c r="S14" i="4"/>
  <c r="S14" i="3"/>
  <c r="S42" i="5"/>
  <c r="S42" i="4"/>
  <c r="S42" i="3"/>
  <c r="J9" i="2"/>
  <c r="S5" i="5"/>
  <c r="S5" i="4"/>
  <c r="S5" i="3"/>
  <c r="S9" i="5"/>
  <c r="S9" i="4"/>
  <c r="S9" i="3"/>
  <c r="J31" i="2"/>
  <c r="N31" i="2" s="1"/>
  <c r="S7" i="5"/>
  <c r="S7" i="4"/>
  <c r="S7" i="3"/>
  <c r="J49" i="2"/>
  <c r="S37" i="5"/>
  <c r="S37" i="4"/>
  <c r="S37" i="3"/>
  <c r="J29" i="2"/>
  <c r="O29" i="2" s="1"/>
  <c r="S19" i="5"/>
  <c r="S19" i="4"/>
  <c r="S19" i="3"/>
  <c r="S29" i="5"/>
  <c r="S29" i="4"/>
  <c r="S29" i="3"/>
  <c r="S32" i="5"/>
  <c r="S32" i="4"/>
  <c r="S32" i="3"/>
  <c r="S23" i="5"/>
  <c r="S23" i="4"/>
  <c r="S23" i="3"/>
  <c r="S4" i="5"/>
  <c r="S4" i="4"/>
  <c r="S4" i="3"/>
  <c r="S12" i="5"/>
  <c r="S12" i="4"/>
  <c r="S12" i="3"/>
  <c r="S52" i="5"/>
  <c r="S52" i="4"/>
  <c r="S52" i="3"/>
  <c r="J58" i="2"/>
  <c r="J10" i="2"/>
  <c r="J54" i="2"/>
  <c r="S54" i="2" s="1"/>
  <c r="J47" i="2"/>
  <c r="O61" i="2"/>
  <c r="N61" i="2"/>
  <c r="J46" i="2"/>
  <c r="J18" i="2"/>
  <c r="J21" i="2"/>
  <c r="J38" i="2"/>
  <c r="J6" i="2"/>
  <c r="N6" i="2" s="1"/>
  <c r="J15" i="2"/>
  <c r="J7" i="2"/>
  <c r="J2" i="2"/>
  <c r="J63" i="2"/>
  <c r="Q63" i="2" s="1"/>
  <c r="J57" i="2"/>
  <c r="Q57" i="2" s="1"/>
  <c r="Q61" i="2"/>
  <c r="J56" i="2"/>
  <c r="S56" i="2" s="1"/>
  <c r="J36" i="2"/>
  <c r="O36" i="2" s="1"/>
  <c r="J14" i="2"/>
  <c r="S14" i="2" s="1"/>
  <c r="J19" i="2"/>
  <c r="J24" i="2"/>
  <c r="R24" i="2" s="1"/>
  <c r="J44" i="2"/>
  <c r="N44" i="2" s="1"/>
  <c r="S61" i="2"/>
  <c r="J27" i="2"/>
  <c r="N27" i="2" s="1"/>
  <c r="J30" i="2"/>
  <c r="Q30" i="2" s="1"/>
  <c r="P61" i="2"/>
  <c r="J28" i="2"/>
  <c r="Q28" i="2" s="1"/>
  <c r="J32" i="2"/>
  <c r="J26" i="2"/>
  <c r="R26" i="2" s="1"/>
  <c r="J51" i="2"/>
  <c r="J8" i="2"/>
  <c r="J52" i="2"/>
  <c r="Q52" i="2" s="1"/>
  <c r="M63" i="2"/>
  <c r="R61" i="2"/>
  <c r="J23" i="2"/>
  <c r="T23" i="2" s="1"/>
  <c r="J62" i="2"/>
  <c r="N63" i="2"/>
  <c r="M61" i="2"/>
  <c r="J55" i="2"/>
  <c r="J48" i="2"/>
  <c r="T48" i="2" s="1"/>
  <c r="J41" i="2"/>
  <c r="N41" i="2" s="1"/>
  <c r="J37" i="2"/>
  <c r="S37" i="2" s="1"/>
  <c r="J11" i="2"/>
  <c r="N11" i="2" s="1"/>
  <c r="R63" i="2"/>
  <c r="T61" i="2"/>
  <c r="J60" i="2"/>
  <c r="J22" i="2"/>
  <c r="S22" i="2" s="1"/>
  <c r="J33" i="2"/>
  <c r="M33" i="2" s="1"/>
  <c r="J16" i="2"/>
  <c r="J40" i="2"/>
  <c r="S40" i="2" s="1"/>
  <c r="J34" i="2"/>
  <c r="O34" i="2" s="1"/>
  <c r="M47" i="2"/>
  <c r="T47" i="2"/>
  <c r="P47" i="2"/>
  <c r="S47" i="2"/>
  <c r="O47" i="2"/>
  <c r="Q47" i="2"/>
  <c r="R47" i="2"/>
  <c r="N47" i="2"/>
  <c r="M43" i="2"/>
  <c r="O43" i="2"/>
  <c r="N43" i="2"/>
  <c r="S43" i="2"/>
  <c r="P43" i="2"/>
  <c r="Q43" i="2"/>
  <c r="T43" i="2"/>
  <c r="R43" i="2"/>
  <c r="N50" i="2"/>
  <c r="O50" i="2"/>
  <c r="R50" i="2"/>
  <c r="T50" i="2"/>
  <c r="P50" i="2"/>
  <c r="M50" i="2"/>
  <c r="S50" i="2"/>
  <c r="Q50" i="2"/>
  <c r="O11" i="1"/>
  <c r="J35" i="2"/>
  <c r="P49" i="2"/>
  <c r="Q49" i="2"/>
  <c r="S49" i="2"/>
  <c r="O49" i="2"/>
  <c r="M49" i="2"/>
  <c r="N49" i="2"/>
  <c r="T49" i="2"/>
  <c r="R49" i="2"/>
  <c r="P25" i="2"/>
  <c r="R25" i="2"/>
  <c r="S25" i="2"/>
  <c r="T25" i="2"/>
  <c r="O25" i="2"/>
  <c r="M25" i="2"/>
  <c r="Q25" i="2"/>
  <c r="N25" i="2"/>
  <c r="Q42" i="2"/>
  <c r="R42" i="2"/>
  <c r="T42" i="2"/>
  <c r="O42" i="2"/>
  <c r="S42" i="2"/>
  <c r="M42" i="2"/>
  <c r="N42" i="2"/>
  <c r="P42" i="2"/>
  <c r="M6" i="2"/>
  <c r="P27" i="2"/>
  <c r="Q27" i="2"/>
  <c r="S27" i="2"/>
  <c r="R15" i="2"/>
  <c r="T15" i="2"/>
  <c r="M15" i="2"/>
  <c r="S15" i="2"/>
  <c r="N15" i="2"/>
  <c r="O15" i="2"/>
  <c r="P15" i="2"/>
  <c r="Q15" i="2"/>
  <c r="R7" i="2"/>
  <c r="T7" i="2"/>
  <c r="M7" i="2"/>
  <c r="Q7" i="2"/>
  <c r="S7" i="2"/>
  <c r="N7" i="2"/>
  <c r="O7" i="2"/>
  <c r="P7" i="2"/>
  <c r="M11" i="2"/>
  <c r="P11" i="2"/>
  <c r="R11" i="2"/>
  <c r="N33" i="2"/>
  <c r="O33" i="2"/>
  <c r="N56" i="2"/>
  <c r="O56" i="2"/>
  <c r="M56" i="2"/>
  <c r="Q56" i="2"/>
  <c r="T56" i="2"/>
  <c r="S30" i="2"/>
  <c r="T30" i="2"/>
  <c r="N29" i="2"/>
  <c r="M14" i="2"/>
  <c r="N14" i="2"/>
  <c r="P14" i="2"/>
  <c r="P19" i="2"/>
  <c r="N19" i="2"/>
  <c r="S19" i="2"/>
  <c r="Q19" i="2"/>
  <c r="R19" i="2"/>
  <c r="M19" i="2"/>
  <c r="O19" i="2"/>
  <c r="T19" i="2"/>
  <c r="P24" i="2"/>
  <c r="O24" i="2"/>
  <c r="N24" i="2"/>
  <c r="R44" i="2"/>
  <c r="S44" i="2"/>
  <c r="M44" i="2"/>
  <c r="P44" i="2"/>
  <c r="T44" i="2"/>
  <c r="N57" i="2"/>
  <c r="P57" i="2"/>
  <c r="M57" i="2"/>
  <c r="T37" i="2"/>
  <c r="Q16" i="2"/>
  <c r="S16" i="2"/>
  <c r="R16" i="2"/>
  <c r="T16" i="2"/>
  <c r="M16" i="2"/>
  <c r="N16" i="2"/>
  <c r="P16" i="2"/>
  <c r="O16" i="2"/>
  <c r="O12" i="2"/>
  <c r="P12" i="2"/>
  <c r="N12" i="2"/>
  <c r="Q12" i="2"/>
  <c r="R12" i="2"/>
  <c r="S12" i="2"/>
  <c r="M12" i="2"/>
  <c r="T12" i="2"/>
  <c r="M9" i="2"/>
  <c r="N9" i="2"/>
  <c r="O9" i="2"/>
  <c r="P9" i="2"/>
  <c r="Q9" i="2"/>
  <c r="R9" i="2"/>
  <c r="S9" i="2"/>
  <c r="T9" i="2"/>
  <c r="O10" i="1"/>
  <c r="J20" i="2"/>
  <c r="Q10" i="2"/>
  <c r="O10" i="2"/>
  <c r="R10" i="2"/>
  <c r="P10" i="2"/>
  <c r="S10" i="2"/>
  <c r="M10" i="2"/>
  <c r="T10" i="2"/>
  <c r="N10" i="2"/>
  <c r="N4" i="2"/>
  <c r="P59" i="2"/>
  <c r="Q59" i="2"/>
  <c r="O59" i="2"/>
  <c r="T59" i="2"/>
  <c r="M59" i="2"/>
  <c r="S59" i="2"/>
  <c r="R59" i="2"/>
  <c r="N59" i="2"/>
  <c r="R39" i="2"/>
  <c r="N58" i="2"/>
  <c r="O58" i="2"/>
  <c r="T58" i="2"/>
  <c r="S58" i="2"/>
  <c r="R58" i="2"/>
  <c r="M58" i="2"/>
  <c r="Q58" i="2"/>
  <c r="P58" i="2"/>
  <c r="M41" i="2"/>
  <c r="Q41" i="2"/>
  <c r="S41" i="2"/>
  <c r="T41" i="2"/>
  <c r="S38" i="2"/>
  <c r="M38" i="2"/>
  <c r="N38" i="2"/>
  <c r="O38" i="2"/>
  <c r="T38" i="2"/>
  <c r="P38" i="2"/>
  <c r="Q38" i="2"/>
  <c r="R38" i="2"/>
  <c r="Q34" i="2"/>
  <c r="S34" i="2"/>
  <c r="T34" i="2"/>
  <c r="N34" i="2"/>
  <c r="M34" i="2"/>
  <c r="S2" i="2"/>
  <c r="T2" i="2"/>
  <c r="N2" i="2"/>
  <c r="P2" i="2"/>
  <c r="Q2" i="2"/>
  <c r="M2" i="2"/>
  <c r="R2" i="2"/>
  <c r="O2" i="2"/>
  <c r="M53" i="2"/>
  <c r="S53" i="2"/>
  <c r="Q53" i="2"/>
  <c r="R53" i="2"/>
  <c r="N53" i="2"/>
  <c r="O53" i="2"/>
  <c r="P53" i="2"/>
  <c r="T53" i="2"/>
  <c r="R28" i="2"/>
  <c r="P28" i="2"/>
  <c r="M28" i="2"/>
  <c r="N32" i="2"/>
  <c r="O32" i="2"/>
  <c r="P32" i="2"/>
  <c r="Q32" i="2"/>
  <c r="R32" i="2"/>
  <c r="S32" i="2"/>
  <c r="T32" i="2"/>
  <c r="M32" i="2"/>
  <c r="P51" i="2"/>
  <c r="Q51" i="2"/>
  <c r="O51" i="2"/>
  <c r="T51" i="2"/>
  <c r="M51" i="2"/>
  <c r="S51" i="2"/>
  <c r="R51" i="2"/>
  <c r="N51" i="2"/>
  <c r="S8" i="2"/>
  <c r="T8" i="2"/>
  <c r="P8" i="2"/>
  <c r="Q8" i="2"/>
  <c r="M8" i="2"/>
  <c r="N8" i="2"/>
  <c r="R8" i="2"/>
  <c r="O8" i="2"/>
  <c r="S52" i="2"/>
  <c r="P52" i="2"/>
  <c r="N52" i="2"/>
  <c r="M52" i="2"/>
  <c r="R48" i="2"/>
  <c r="O48" i="2"/>
  <c r="S48" i="2"/>
  <c r="P48" i="2"/>
  <c r="S17" i="2"/>
  <c r="Q5" i="2"/>
  <c r="R5" i="2"/>
  <c r="T5" i="2"/>
  <c r="M5" i="2"/>
  <c r="N5" i="2"/>
  <c r="S5" i="2"/>
  <c r="O5" i="2"/>
  <c r="P5" i="2"/>
  <c r="J3" i="2"/>
  <c r="O7" i="1"/>
  <c r="N13" i="2"/>
  <c r="T13" i="2"/>
  <c r="O13" i="2"/>
  <c r="P13" i="2"/>
  <c r="S13" i="2"/>
  <c r="M13" i="2"/>
  <c r="Q13" i="2"/>
  <c r="R13" i="2"/>
  <c r="T45" i="2"/>
  <c r="N45" i="2"/>
  <c r="O45" i="2"/>
  <c r="P45" i="2"/>
  <c r="Q45" i="2"/>
  <c r="R45" i="2"/>
  <c r="S45" i="2"/>
  <c r="M45" i="2"/>
  <c r="N55" i="2"/>
  <c r="M55" i="2"/>
  <c r="S55" i="2"/>
  <c r="T55" i="2"/>
  <c r="Q55" i="2"/>
  <c r="O55" i="2"/>
  <c r="R55" i="2"/>
  <c r="P55" i="2"/>
  <c r="T21" i="2"/>
  <c r="N21" i="2"/>
  <c r="M21" i="2"/>
  <c r="O21" i="2"/>
  <c r="S21" i="2"/>
  <c r="P21" i="2"/>
  <c r="Q21" i="2"/>
  <c r="R21" i="2"/>
  <c r="M31" i="2"/>
  <c r="Q46" i="2"/>
  <c r="S46" i="2"/>
  <c r="T46" i="2"/>
  <c r="M46" i="2"/>
  <c r="N46" i="2"/>
  <c r="P46" i="2"/>
  <c r="R46" i="2"/>
  <c r="O46" i="2"/>
  <c r="N18" i="2"/>
  <c r="P18" i="2"/>
  <c r="T18" i="2"/>
  <c r="Q18" i="2"/>
  <c r="O18" i="2"/>
  <c r="R18" i="2"/>
  <c r="M18" i="2"/>
  <c r="S18" i="2"/>
  <c r="M54" i="2"/>
  <c r="R23" i="2"/>
  <c r="S23" i="2"/>
  <c r="Q23" i="2"/>
  <c r="P23" i="2"/>
  <c r="N62" i="2"/>
  <c r="M62" i="2"/>
  <c r="R62" i="2"/>
  <c r="P62" i="2"/>
  <c r="S62" i="2"/>
  <c r="Q62" i="2"/>
  <c r="O62" i="2"/>
  <c r="T62" i="2"/>
  <c r="O9" i="1"/>
  <c r="B1" i="5"/>
  <c r="B1" i="4"/>
  <c r="O8" i="1"/>
  <c r="B1" i="3"/>
  <c r="G2" i="1"/>
  <c r="N54" i="2" l="1"/>
  <c r="T31" i="2"/>
  <c r="R17" i="2"/>
  <c r="P39" i="2"/>
  <c r="M4" i="2"/>
  <c r="R37" i="2"/>
  <c r="R29" i="2"/>
  <c r="R6" i="2"/>
  <c r="Q17" i="2"/>
  <c r="O39" i="2"/>
  <c r="T4" i="2"/>
  <c r="P37" i="2"/>
  <c r="M29" i="2"/>
  <c r="T6" i="2"/>
  <c r="O54" i="2"/>
  <c r="P31" i="2"/>
  <c r="P17" i="2"/>
  <c r="N39" i="2"/>
  <c r="Q4" i="2"/>
  <c r="O37" i="2"/>
  <c r="P36" i="2"/>
  <c r="Q29" i="2"/>
  <c r="S6" i="2"/>
  <c r="T54" i="2"/>
  <c r="S31" i="2"/>
  <c r="P40" i="2"/>
  <c r="O17" i="2"/>
  <c r="M39" i="2"/>
  <c r="P4" i="2"/>
  <c r="N37" i="2"/>
  <c r="N36" i="2"/>
  <c r="S29" i="2"/>
  <c r="S33" i="2"/>
  <c r="Q6" i="2"/>
  <c r="R54" i="2"/>
  <c r="Q31" i="2"/>
  <c r="R40" i="2"/>
  <c r="N17" i="2"/>
  <c r="T39" i="2"/>
  <c r="R4" i="2"/>
  <c r="Q37" i="2"/>
  <c r="P29" i="2"/>
  <c r="P6" i="2"/>
  <c r="R31" i="2"/>
  <c r="Q54" i="2"/>
  <c r="O31" i="2"/>
  <c r="O40" i="2"/>
  <c r="M17" i="2"/>
  <c r="Q39" i="2"/>
  <c r="S4" i="2"/>
  <c r="M37" i="2"/>
  <c r="T29" i="2"/>
  <c r="O6" i="2"/>
  <c r="P54" i="2"/>
  <c r="S57" i="2"/>
  <c r="R57" i="2"/>
  <c r="T57" i="2"/>
  <c r="O57" i="2"/>
  <c r="Q22" i="2"/>
  <c r="S63" i="2"/>
  <c r="T63" i="2"/>
  <c r="P63" i="2"/>
  <c r="O63" i="2"/>
  <c r="N22" i="2"/>
  <c r="Q40" i="2"/>
  <c r="S28" i="2"/>
  <c r="M24" i="2"/>
  <c r="S36" i="2"/>
  <c r="Q11" i="2"/>
  <c r="M22" i="2"/>
  <c r="O23" i="2"/>
  <c r="N40" i="2"/>
  <c r="P26" i="2"/>
  <c r="O28" i="2"/>
  <c r="T24" i="2"/>
  <c r="T11" i="2"/>
  <c r="M27" i="2"/>
  <c r="N23" i="2"/>
  <c r="M40" i="2"/>
  <c r="Q26" i="2"/>
  <c r="N28" i="2"/>
  <c r="Q24" i="2"/>
  <c r="O30" i="2"/>
  <c r="O11" i="2"/>
  <c r="T27" i="2"/>
  <c r="M23" i="2"/>
  <c r="T40" i="2"/>
  <c r="T26" i="2"/>
  <c r="T28" i="2"/>
  <c r="S24" i="2"/>
  <c r="S11" i="2"/>
  <c r="O26" i="2"/>
  <c r="N48" i="2"/>
  <c r="T52" i="2"/>
  <c r="M26" i="2"/>
  <c r="P34" i="2"/>
  <c r="R41" i="2"/>
  <c r="Q44" i="2"/>
  <c r="Q14" i="2"/>
  <c r="T36" i="2"/>
  <c r="R30" i="2"/>
  <c r="R56" i="2"/>
  <c r="T33" i="2"/>
  <c r="T22" i="2"/>
  <c r="O27" i="2"/>
  <c r="M60" i="2"/>
  <c r="Q60" i="2"/>
  <c r="R60" i="2"/>
  <c r="P60" i="2"/>
  <c r="T60" i="2"/>
  <c r="S60" i="2"/>
  <c r="N60" i="2"/>
  <c r="O60" i="2"/>
  <c r="Q48" i="2"/>
  <c r="O52" i="2"/>
  <c r="N26" i="2"/>
  <c r="P41" i="2"/>
  <c r="R14" i="2"/>
  <c r="R36" i="2"/>
  <c r="P30" i="2"/>
  <c r="R33" i="2"/>
  <c r="P22" i="2"/>
  <c r="M48" i="2"/>
  <c r="R52" i="2"/>
  <c r="S26" i="2"/>
  <c r="R34" i="2"/>
  <c r="O41" i="2"/>
  <c r="O44" i="2"/>
  <c r="O14" i="2"/>
  <c r="M36" i="2"/>
  <c r="N30" i="2"/>
  <c r="P56" i="2"/>
  <c r="Q33" i="2"/>
  <c r="O22" i="2"/>
  <c r="R27" i="2"/>
  <c r="T14" i="2"/>
  <c r="Q36" i="2"/>
  <c r="M30" i="2"/>
  <c r="P33" i="2"/>
  <c r="R22" i="2"/>
  <c r="T3" i="2"/>
  <c r="N3" i="2"/>
  <c r="B5" i="4" s="1"/>
  <c r="M3" i="2"/>
  <c r="O3" i="2"/>
  <c r="P3" i="2"/>
  <c r="Q3" i="2"/>
  <c r="R3" i="2"/>
  <c r="S3" i="2"/>
  <c r="S20" i="2"/>
  <c r="M20" i="2"/>
  <c r="T20" i="2"/>
  <c r="N20" i="2"/>
  <c r="O20" i="2"/>
  <c r="R20" i="2"/>
  <c r="P20" i="2"/>
  <c r="Q20" i="2"/>
  <c r="M35" i="2"/>
  <c r="S35" i="2"/>
  <c r="G5" i="4" s="1"/>
  <c r="G9" i="4" s="1"/>
  <c r="O35" i="2"/>
  <c r="N35" i="2"/>
  <c r="P35" i="2"/>
  <c r="D5" i="3" s="1"/>
  <c r="T35" i="2"/>
  <c r="Q35" i="2"/>
  <c r="R35" i="2"/>
  <c r="E5" i="3"/>
  <c r="G5" i="3"/>
  <c r="G9" i="3" s="1"/>
  <c r="O17" i="1"/>
  <c r="O14" i="1"/>
  <c r="G5" i="5"/>
  <c r="G9" i="5" s="1"/>
  <c r="F5" i="5"/>
  <c r="F9" i="5" s="1"/>
  <c r="B5" i="5"/>
  <c r="E5" i="5"/>
  <c r="A5" i="5"/>
  <c r="A9" i="5" s="1"/>
  <c r="C5" i="5" l="1"/>
  <c r="L64" i="5"/>
  <c r="L60" i="5"/>
  <c r="L56" i="5"/>
  <c r="L52" i="5"/>
  <c r="L48" i="5"/>
  <c r="L44" i="5"/>
  <c r="L40" i="5"/>
  <c r="L36" i="5"/>
  <c r="L32" i="5"/>
  <c r="L28" i="5"/>
  <c r="L24" i="5"/>
  <c r="L20" i="5"/>
  <c r="L16" i="5"/>
  <c r="L12" i="5"/>
  <c r="L8" i="5"/>
  <c r="L4" i="5"/>
  <c r="L62" i="5"/>
  <c r="L58" i="5"/>
  <c r="L54" i="5"/>
  <c r="L50" i="5"/>
  <c r="L46" i="5"/>
  <c r="L42" i="5"/>
  <c r="L38" i="5"/>
  <c r="L34" i="5"/>
  <c r="L30" i="5"/>
  <c r="L26" i="5"/>
  <c r="L22" i="5"/>
  <c r="L18" i="5"/>
  <c r="L14" i="5"/>
  <c r="L10" i="5"/>
  <c r="L6" i="5"/>
  <c r="L2" i="5"/>
  <c r="L61" i="5"/>
  <c r="L57" i="5"/>
  <c r="L53" i="5"/>
  <c r="L49" i="5"/>
  <c r="L45" i="5"/>
  <c r="L41" i="5"/>
  <c r="L37" i="5"/>
  <c r="L33" i="5"/>
  <c r="L29" i="5"/>
  <c r="L25" i="5"/>
  <c r="L21" i="5"/>
  <c r="L17" i="5"/>
  <c r="L13" i="5"/>
  <c r="L9" i="5"/>
  <c r="L5" i="5"/>
  <c r="L59" i="5"/>
  <c r="L51" i="5"/>
  <c r="L43" i="5"/>
  <c r="L63" i="5"/>
  <c r="L55" i="5"/>
  <c r="L47" i="5"/>
  <c r="L39" i="5"/>
  <c r="L35" i="5"/>
  <c r="L31" i="5"/>
  <c r="L27" i="5"/>
  <c r="L23" i="5"/>
  <c r="L19" i="5"/>
  <c r="L15" i="5"/>
  <c r="L11" i="5"/>
  <c r="L7" i="5"/>
  <c r="L3" i="5"/>
  <c r="R48" i="3"/>
  <c r="R52" i="3"/>
  <c r="R56" i="3"/>
  <c r="R60" i="3"/>
  <c r="R64" i="3"/>
  <c r="R49" i="3"/>
  <c r="R53" i="3"/>
  <c r="R57" i="3"/>
  <c r="R61" i="3"/>
  <c r="R50" i="3"/>
  <c r="R54" i="3"/>
  <c r="R58" i="3"/>
  <c r="R62" i="3"/>
  <c r="R47" i="3"/>
  <c r="R51" i="3"/>
  <c r="R55" i="3"/>
  <c r="R59" i="3"/>
  <c r="R63" i="3"/>
  <c r="A5" i="3"/>
  <c r="A9" i="3" s="1"/>
  <c r="Q61" i="5"/>
  <c r="Q57" i="5"/>
  <c r="Q53" i="5"/>
  <c r="Q49" i="5"/>
  <c r="Q45" i="5"/>
  <c r="Q41" i="5"/>
  <c r="Q37" i="5"/>
  <c r="Q33" i="5"/>
  <c r="Q29" i="5"/>
  <c r="Q25" i="5"/>
  <c r="Q21" i="5"/>
  <c r="Q17" i="5"/>
  <c r="Q13" i="5"/>
  <c r="Q9" i="5"/>
  <c r="Q5" i="5"/>
  <c r="Q64" i="5"/>
  <c r="Q62" i="5"/>
  <c r="Q58" i="5"/>
  <c r="Q54" i="5"/>
  <c r="Q50" i="5"/>
  <c r="Q46" i="5"/>
  <c r="Q42" i="5"/>
  <c r="Q59" i="5"/>
  <c r="Q51" i="5"/>
  <c r="Q43" i="5"/>
  <c r="Q60" i="5"/>
  <c r="Q52" i="5"/>
  <c r="Q44" i="5"/>
  <c r="Q38" i="5"/>
  <c r="Q34" i="5"/>
  <c r="Q30" i="5"/>
  <c r="Q26" i="5"/>
  <c r="Q22" i="5"/>
  <c r="Q18" i="5"/>
  <c r="Q14" i="5"/>
  <c r="Q10" i="5"/>
  <c r="Q6" i="5"/>
  <c r="Q2" i="5"/>
  <c r="Q63" i="5"/>
  <c r="Q55" i="5"/>
  <c r="Q47" i="5"/>
  <c r="Q39" i="5"/>
  <c r="Q35" i="5"/>
  <c r="Q31" i="5"/>
  <c r="Q27" i="5"/>
  <c r="Q23" i="5"/>
  <c r="Q19" i="5"/>
  <c r="Q15" i="5"/>
  <c r="Q11" i="5"/>
  <c r="Q7" i="5"/>
  <c r="Q3" i="5"/>
  <c r="Q56" i="5"/>
  <c r="Q48" i="5"/>
  <c r="Q40" i="5"/>
  <c r="Q36" i="5"/>
  <c r="Q32" i="5"/>
  <c r="Q28" i="5"/>
  <c r="Q24" i="5"/>
  <c r="Q20" i="5"/>
  <c r="Q16" i="5"/>
  <c r="Q12" i="5"/>
  <c r="Q8" i="5"/>
  <c r="Q4" i="5"/>
  <c r="R61" i="5"/>
  <c r="R57" i="5"/>
  <c r="R53" i="5"/>
  <c r="R49" i="5"/>
  <c r="R45" i="5"/>
  <c r="R41" i="5"/>
  <c r="R37" i="5"/>
  <c r="R33" i="5"/>
  <c r="R29" i="5"/>
  <c r="R25" i="5"/>
  <c r="R21" i="5"/>
  <c r="R17" i="5"/>
  <c r="R13" i="5"/>
  <c r="R9" i="5"/>
  <c r="R5" i="5"/>
  <c r="R64" i="5"/>
  <c r="R63" i="5"/>
  <c r="R59" i="5"/>
  <c r="R55" i="5"/>
  <c r="R51" i="5"/>
  <c r="R47" i="5"/>
  <c r="R43" i="5"/>
  <c r="R39" i="5"/>
  <c r="R35" i="5"/>
  <c r="R31" i="5"/>
  <c r="R27" i="5"/>
  <c r="R23" i="5"/>
  <c r="R19" i="5"/>
  <c r="R15" i="5"/>
  <c r="R11" i="5"/>
  <c r="R7" i="5"/>
  <c r="R3" i="5"/>
  <c r="R62" i="5"/>
  <c r="R58" i="5"/>
  <c r="R54" i="5"/>
  <c r="R50" i="5"/>
  <c r="R46" i="5"/>
  <c r="R42" i="5"/>
  <c r="R38" i="5"/>
  <c r="R34" i="5"/>
  <c r="R30" i="5"/>
  <c r="R26" i="5"/>
  <c r="R22" i="5"/>
  <c r="R18" i="5"/>
  <c r="R14" i="5"/>
  <c r="R10" i="5"/>
  <c r="R6" i="5"/>
  <c r="R2" i="5"/>
  <c r="R60" i="5"/>
  <c r="R52" i="5"/>
  <c r="R44" i="5"/>
  <c r="R56" i="5"/>
  <c r="R48" i="5"/>
  <c r="R40" i="5"/>
  <c r="R36" i="5"/>
  <c r="R32" i="5"/>
  <c r="R28" i="5"/>
  <c r="R24" i="5"/>
  <c r="R20" i="5"/>
  <c r="R16" i="5"/>
  <c r="R12" i="5"/>
  <c r="R8" i="5"/>
  <c r="R4" i="5"/>
  <c r="R64" i="4"/>
  <c r="R62" i="4"/>
  <c r="R58" i="4"/>
  <c r="R54" i="4"/>
  <c r="R50" i="4"/>
  <c r="R46" i="4"/>
  <c r="R61" i="4"/>
  <c r="R57" i="4"/>
  <c r="R53" i="4"/>
  <c r="R42" i="4"/>
  <c r="R38" i="4"/>
  <c r="R34" i="4"/>
  <c r="R30" i="4"/>
  <c r="R26" i="4"/>
  <c r="R22" i="4"/>
  <c r="R59" i="4"/>
  <c r="R56" i="4"/>
  <c r="R55" i="4"/>
  <c r="R52" i="4"/>
  <c r="R51" i="4"/>
  <c r="R49" i="4"/>
  <c r="R60" i="4"/>
  <c r="R48" i="4"/>
  <c r="R41" i="4"/>
  <c r="R37" i="4"/>
  <c r="R33" i="4"/>
  <c r="R29" i="4"/>
  <c r="R25" i="4"/>
  <c r="R47" i="4"/>
  <c r="R40" i="4"/>
  <c r="R36" i="4"/>
  <c r="R32" i="4"/>
  <c r="R28" i="4"/>
  <c r="R24" i="4"/>
  <c r="R20" i="4"/>
  <c r="R45" i="4"/>
  <c r="R63" i="4"/>
  <c r="R44" i="4"/>
  <c r="R39" i="4"/>
  <c r="R35" i="4"/>
  <c r="R31" i="4"/>
  <c r="R43" i="4"/>
  <c r="R19" i="4"/>
  <c r="R17" i="4"/>
  <c r="R15" i="4"/>
  <c r="R13" i="4"/>
  <c r="R11" i="4"/>
  <c r="R9" i="4"/>
  <c r="R7" i="4"/>
  <c r="R5" i="4"/>
  <c r="R18" i="4"/>
  <c r="R16" i="4"/>
  <c r="R14" i="4"/>
  <c r="R12" i="4"/>
  <c r="R10" i="4"/>
  <c r="R8" i="4"/>
  <c r="R6" i="4"/>
  <c r="R27" i="4"/>
  <c r="R4" i="4"/>
  <c r="R3" i="4"/>
  <c r="R21" i="4"/>
  <c r="R23" i="4"/>
  <c r="R2" i="4"/>
  <c r="Q65" i="2"/>
  <c r="C5" i="3"/>
  <c r="D9" i="6" s="1"/>
  <c r="M65" i="2"/>
  <c r="F5" i="4"/>
  <c r="F9" i="4" s="1"/>
  <c r="A5" i="4"/>
  <c r="A9" i="4" s="1"/>
  <c r="E5" i="4"/>
  <c r="B5" i="3"/>
  <c r="S65" i="2"/>
  <c r="T65" i="2"/>
  <c r="D5" i="5"/>
  <c r="B10" i="6" s="1"/>
  <c r="F5" i="3"/>
  <c r="F9" i="3" s="1"/>
  <c r="Q5" i="3" s="1"/>
  <c r="O65" i="2"/>
  <c r="P65" i="2"/>
  <c r="C5" i="4"/>
  <c r="C9" i="4" s="1"/>
  <c r="N65" i="2"/>
  <c r="R65" i="2"/>
  <c r="D5" i="4"/>
  <c r="C10" i="6" s="1"/>
  <c r="D9" i="3"/>
  <c r="D10" i="6"/>
  <c r="C9" i="5"/>
  <c r="B9" i="6"/>
  <c r="R32" i="3"/>
  <c r="R14" i="3"/>
  <c r="R11" i="3"/>
  <c r="R27" i="3"/>
  <c r="R29" i="3"/>
  <c r="R34" i="3"/>
  <c r="R40" i="3"/>
  <c r="R23" i="3"/>
  <c r="R25" i="3"/>
  <c r="R38" i="3"/>
  <c r="R43" i="3"/>
  <c r="R45" i="3"/>
  <c r="R13" i="3"/>
  <c r="R42" i="3"/>
  <c r="R12" i="3"/>
  <c r="R17" i="3"/>
  <c r="R7" i="3"/>
  <c r="R22" i="3"/>
  <c r="R20" i="3"/>
  <c r="R26" i="3"/>
  <c r="R28" i="3"/>
  <c r="R19" i="3"/>
  <c r="R4" i="3"/>
  <c r="R36" i="3"/>
  <c r="R21" i="3"/>
  <c r="R31" i="3"/>
  <c r="R37" i="3"/>
  <c r="R30" i="3"/>
  <c r="R41" i="3"/>
  <c r="R2" i="3"/>
  <c r="R44" i="3"/>
  <c r="R5" i="3"/>
  <c r="R15" i="3"/>
  <c r="R9" i="3"/>
  <c r="R33" i="3"/>
  <c r="R3" i="3"/>
  <c r="R8" i="3"/>
  <c r="R35" i="3"/>
  <c r="G13" i="3" s="1"/>
  <c r="R39" i="3"/>
  <c r="R24" i="3"/>
  <c r="R46" i="3"/>
  <c r="R18" i="3"/>
  <c r="R10" i="3"/>
  <c r="R6" i="3"/>
  <c r="R16" i="3"/>
  <c r="E9" i="5"/>
  <c r="B11" i="6"/>
  <c r="L6" i="3"/>
  <c r="L20" i="3"/>
  <c r="L45" i="3"/>
  <c r="L39" i="3"/>
  <c r="L8" i="3"/>
  <c r="L41" i="3"/>
  <c r="L42" i="3"/>
  <c r="L22" i="3"/>
  <c r="L2" i="3"/>
  <c r="L25" i="3"/>
  <c r="L24" i="3"/>
  <c r="L10" i="3"/>
  <c r="L11" i="3"/>
  <c r="L5" i="3"/>
  <c r="L38" i="3"/>
  <c r="L33" i="3"/>
  <c r="L32" i="3"/>
  <c r="L34" i="3"/>
  <c r="L43" i="3"/>
  <c r="L13" i="3"/>
  <c r="L7" i="3"/>
  <c r="L27" i="3"/>
  <c r="L19" i="3"/>
  <c r="L12" i="3"/>
  <c r="L21" i="3"/>
  <c r="L15" i="3"/>
  <c r="L28" i="3"/>
  <c r="L18" i="3"/>
  <c r="L4" i="3"/>
  <c r="L3" i="3"/>
  <c r="L29" i="3"/>
  <c r="L23" i="3"/>
  <c r="L14" i="3"/>
  <c r="L31" i="3"/>
  <c r="L17" i="3"/>
  <c r="L9" i="3"/>
  <c r="L36" i="3"/>
  <c r="L46" i="3"/>
  <c r="L26" i="3"/>
  <c r="L16" i="3"/>
  <c r="L35" i="3"/>
  <c r="L40" i="3"/>
  <c r="L44" i="3"/>
  <c r="L30" i="3"/>
  <c r="L37" i="3"/>
  <c r="B9" i="5"/>
  <c r="B8" i="6"/>
  <c r="D11" i="6"/>
  <c r="E9" i="3"/>
  <c r="B9" i="4"/>
  <c r="C8" i="6"/>
  <c r="Q19" i="3"/>
  <c r="Q25" i="3"/>
  <c r="Q43" i="3"/>
  <c r="Q28" i="3"/>
  <c r="Q2" i="3"/>
  <c r="Q27" i="3"/>
  <c r="Q37" i="3"/>
  <c r="Q10" i="3"/>
  <c r="B9" i="3"/>
  <c r="D8" i="6"/>
  <c r="E9" i="4"/>
  <c r="C11" i="6"/>
  <c r="Q40" i="3" l="1"/>
  <c r="Q8" i="3"/>
  <c r="Q15" i="3"/>
  <c r="D9" i="5"/>
  <c r="C9" i="3"/>
  <c r="M63" i="5"/>
  <c r="M59" i="5"/>
  <c r="M55" i="5"/>
  <c r="M51" i="5"/>
  <c r="M47" i="5"/>
  <c r="M43" i="5"/>
  <c r="M39" i="5"/>
  <c r="M35" i="5"/>
  <c r="M31" i="5"/>
  <c r="M27" i="5"/>
  <c r="M23" i="5"/>
  <c r="M19" i="5"/>
  <c r="M15" i="5"/>
  <c r="M11" i="5"/>
  <c r="M7" i="5"/>
  <c r="M3" i="5"/>
  <c r="M64" i="5"/>
  <c r="M60" i="5"/>
  <c r="M56" i="5"/>
  <c r="M52" i="5"/>
  <c r="M48" i="5"/>
  <c r="M44" i="5"/>
  <c r="M40" i="5"/>
  <c r="M36" i="5"/>
  <c r="M32" i="5"/>
  <c r="M28" i="5"/>
  <c r="M24" i="5"/>
  <c r="M20" i="5"/>
  <c r="M16" i="5"/>
  <c r="M12" i="5"/>
  <c r="M8" i="5"/>
  <c r="M4" i="5"/>
  <c r="M62" i="5"/>
  <c r="M54" i="5"/>
  <c r="M46" i="5"/>
  <c r="M57" i="5"/>
  <c r="M49" i="5"/>
  <c r="M41" i="5"/>
  <c r="M37" i="5"/>
  <c r="M33" i="5"/>
  <c r="M29" i="5"/>
  <c r="M25" i="5"/>
  <c r="M21" i="5"/>
  <c r="M17" i="5"/>
  <c r="M13" i="5"/>
  <c r="M9" i="5"/>
  <c r="M5" i="5"/>
  <c r="M38" i="5"/>
  <c r="M34" i="5"/>
  <c r="M30" i="5"/>
  <c r="M26" i="5"/>
  <c r="M22" i="5"/>
  <c r="M18" i="5"/>
  <c r="M14" i="5"/>
  <c r="M10" i="5"/>
  <c r="M6" i="5"/>
  <c r="M2" i="5"/>
  <c r="M58" i="5"/>
  <c r="M50" i="5"/>
  <c r="M42" i="5"/>
  <c r="M61" i="5"/>
  <c r="M53" i="5"/>
  <c r="M45" i="5"/>
  <c r="P62" i="5"/>
  <c r="P58" i="5"/>
  <c r="P54" i="5"/>
  <c r="P50" i="5"/>
  <c r="P46" i="5"/>
  <c r="P42" i="5"/>
  <c r="P38" i="5"/>
  <c r="P34" i="5"/>
  <c r="P30" i="5"/>
  <c r="P26" i="5"/>
  <c r="P22" i="5"/>
  <c r="P18" i="5"/>
  <c r="P14" i="5"/>
  <c r="P10" i="5"/>
  <c r="P6" i="5"/>
  <c r="P2" i="5"/>
  <c r="P64" i="5"/>
  <c r="P60" i="5"/>
  <c r="P56" i="5"/>
  <c r="P52" i="5"/>
  <c r="P48" i="5"/>
  <c r="P44" i="5"/>
  <c r="P40" i="5"/>
  <c r="P36" i="5"/>
  <c r="P32" i="5"/>
  <c r="P28" i="5"/>
  <c r="P24" i="5"/>
  <c r="P20" i="5"/>
  <c r="P16" i="5"/>
  <c r="P12" i="5"/>
  <c r="P8" i="5"/>
  <c r="P4" i="5"/>
  <c r="P63" i="5"/>
  <c r="P59" i="5"/>
  <c r="P55" i="5"/>
  <c r="P51" i="5"/>
  <c r="P47" i="5"/>
  <c r="P43" i="5"/>
  <c r="P39" i="5"/>
  <c r="P35" i="5"/>
  <c r="P31" i="5"/>
  <c r="P27" i="5"/>
  <c r="P23" i="5"/>
  <c r="P19" i="5"/>
  <c r="P15" i="5"/>
  <c r="P11" i="5"/>
  <c r="P7" i="5"/>
  <c r="P3" i="5"/>
  <c r="P57" i="5"/>
  <c r="P49" i="5"/>
  <c r="P41" i="5"/>
  <c r="P37" i="5"/>
  <c r="P33" i="5"/>
  <c r="P29" i="5"/>
  <c r="P25" i="5"/>
  <c r="P21" i="5"/>
  <c r="P17" i="5"/>
  <c r="P13" i="5"/>
  <c r="P9" i="5"/>
  <c r="P5" i="5"/>
  <c r="P61" i="5"/>
  <c r="P53" i="5"/>
  <c r="P45" i="5"/>
  <c r="O62" i="5"/>
  <c r="O58" i="5"/>
  <c r="O54" i="5"/>
  <c r="O50" i="5"/>
  <c r="O46" i="5"/>
  <c r="O42" i="5"/>
  <c r="O38" i="5"/>
  <c r="O34" i="5"/>
  <c r="O30" i="5"/>
  <c r="O26" i="5"/>
  <c r="O22" i="5"/>
  <c r="O18" i="5"/>
  <c r="O14" i="5"/>
  <c r="O10" i="5"/>
  <c r="O6" i="5"/>
  <c r="O2" i="5"/>
  <c r="O64" i="5"/>
  <c r="O63" i="5"/>
  <c r="O59" i="5"/>
  <c r="O55" i="5"/>
  <c r="O51" i="5"/>
  <c r="O47" i="5"/>
  <c r="O43" i="5"/>
  <c r="O56" i="5"/>
  <c r="O48" i="5"/>
  <c r="O40" i="5"/>
  <c r="O36" i="5"/>
  <c r="O32" i="5"/>
  <c r="O28" i="5"/>
  <c r="O24" i="5"/>
  <c r="O20" i="5"/>
  <c r="O16" i="5"/>
  <c r="O12" i="5"/>
  <c r="O8" i="5"/>
  <c r="O4" i="5"/>
  <c r="O57" i="5"/>
  <c r="O49" i="5"/>
  <c r="O41" i="5"/>
  <c r="O37" i="5"/>
  <c r="O33" i="5"/>
  <c r="O29" i="5"/>
  <c r="O25" i="5"/>
  <c r="O21" i="5"/>
  <c r="O17" i="5"/>
  <c r="O13" i="5"/>
  <c r="O9" i="5"/>
  <c r="O5" i="5"/>
  <c r="O60" i="5"/>
  <c r="O52" i="5"/>
  <c r="O44" i="5"/>
  <c r="O61" i="5"/>
  <c r="O53" i="5"/>
  <c r="O45" i="5"/>
  <c r="O39" i="5"/>
  <c r="O35" i="5"/>
  <c r="O31" i="5"/>
  <c r="O27" i="5"/>
  <c r="O23" i="5"/>
  <c r="O19" i="5"/>
  <c r="O15" i="5"/>
  <c r="O11" i="5"/>
  <c r="O7" i="5"/>
  <c r="O3" i="5"/>
  <c r="P63" i="4"/>
  <c r="P59" i="4"/>
  <c r="P55" i="4"/>
  <c r="P51" i="4"/>
  <c r="P47" i="4"/>
  <c r="P43" i="4"/>
  <c r="P62" i="4"/>
  <c r="P58" i="4"/>
  <c r="P54" i="4"/>
  <c r="P50" i="4"/>
  <c r="P44" i="4"/>
  <c r="P39" i="4"/>
  <c r="P35" i="4"/>
  <c r="P31" i="4"/>
  <c r="P27" i="4"/>
  <c r="P23" i="4"/>
  <c r="P64" i="4"/>
  <c r="P57" i="4"/>
  <c r="P53" i="4"/>
  <c r="P42" i="4"/>
  <c r="P38" i="4"/>
  <c r="P34" i="4"/>
  <c r="P30" i="4"/>
  <c r="P26" i="4"/>
  <c r="P60" i="4"/>
  <c r="P56" i="4"/>
  <c r="P52" i="4"/>
  <c r="P49" i="4"/>
  <c r="P61" i="4"/>
  <c r="P48" i="4"/>
  <c r="P41" i="4"/>
  <c r="P37" i="4"/>
  <c r="P33" i="4"/>
  <c r="P29" i="4"/>
  <c r="P25" i="4"/>
  <c r="P21" i="4"/>
  <c r="P46" i="4"/>
  <c r="P40" i="4"/>
  <c r="P36" i="4"/>
  <c r="P32" i="4"/>
  <c r="P45" i="4"/>
  <c r="P28" i="4"/>
  <c r="P2" i="4"/>
  <c r="P22" i="4"/>
  <c r="P20" i="4"/>
  <c r="P19" i="4"/>
  <c r="P18" i="4"/>
  <c r="P17" i="4"/>
  <c r="P16" i="4"/>
  <c r="P15" i="4"/>
  <c r="P14" i="4"/>
  <c r="P13" i="4"/>
  <c r="P12" i="4"/>
  <c r="P11" i="4"/>
  <c r="P10" i="4"/>
  <c r="P9" i="4"/>
  <c r="P8" i="4"/>
  <c r="P7" i="4"/>
  <c r="P6" i="4"/>
  <c r="P5" i="4"/>
  <c r="P24" i="4"/>
  <c r="P4" i="4"/>
  <c r="P3" i="4"/>
  <c r="N62" i="4"/>
  <c r="N64" i="4"/>
  <c r="N60" i="4"/>
  <c r="N56" i="4"/>
  <c r="N52" i="4"/>
  <c r="N48" i="4"/>
  <c r="N44" i="4"/>
  <c r="N63" i="4"/>
  <c r="N59" i="4"/>
  <c r="N55" i="4"/>
  <c r="N51" i="4"/>
  <c r="N40" i="4"/>
  <c r="N36" i="4"/>
  <c r="N32" i="4"/>
  <c r="N28" i="4"/>
  <c r="N24" i="4"/>
  <c r="N45" i="4"/>
  <c r="N43" i="4"/>
  <c r="N39" i="4"/>
  <c r="N35" i="4"/>
  <c r="N31" i="4"/>
  <c r="N27" i="4"/>
  <c r="N23" i="4"/>
  <c r="N58" i="4"/>
  <c r="N54" i="4"/>
  <c r="N50" i="4"/>
  <c r="N57" i="4"/>
  <c r="N53" i="4"/>
  <c r="N42" i="4"/>
  <c r="N38" i="4"/>
  <c r="N34" i="4"/>
  <c r="N30" i="4"/>
  <c r="N26" i="4"/>
  <c r="N22" i="4"/>
  <c r="N61" i="4"/>
  <c r="N49" i="4"/>
  <c r="N47" i="4"/>
  <c r="N41" i="4"/>
  <c r="N37" i="4"/>
  <c r="N33" i="4"/>
  <c r="N46" i="4"/>
  <c r="N25" i="4"/>
  <c r="N3" i="4"/>
  <c r="N2" i="4"/>
  <c r="N19" i="4"/>
  <c r="N17" i="4"/>
  <c r="N15" i="4"/>
  <c r="N13" i="4"/>
  <c r="N11" i="4"/>
  <c r="N9" i="4"/>
  <c r="N7" i="4"/>
  <c r="N29" i="4"/>
  <c r="N20" i="4"/>
  <c r="N18" i="4"/>
  <c r="N16" i="4"/>
  <c r="N14" i="4"/>
  <c r="N12" i="4"/>
  <c r="N10" i="4"/>
  <c r="N8" i="4"/>
  <c r="N6" i="4"/>
  <c r="N5" i="4"/>
  <c r="N21" i="4"/>
  <c r="N4" i="4"/>
  <c r="M62" i="4"/>
  <c r="M46" i="4"/>
  <c r="M63" i="4"/>
  <c r="M40" i="4"/>
  <c r="M36" i="4"/>
  <c r="M32" i="4"/>
  <c r="M28" i="4"/>
  <c r="M24" i="4"/>
  <c r="M20" i="4"/>
  <c r="M16" i="4"/>
  <c r="M12" i="4"/>
  <c r="M8" i="4"/>
  <c r="M45" i="4"/>
  <c r="M44" i="4"/>
  <c r="M64" i="4"/>
  <c r="M43" i="4"/>
  <c r="M39" i="4"/>
  <c r="M35" i="4"/>
  <c r="M31" i="4"/>
  <c r="M27" i="4"/>
  <c r="M23" i="4"/>
  <c r="M59" i="4"/>
  <c r="M58" i="4"/>
  <c r="M55" i="4"/>
  <c r="M54" i="4"/>
  <c r="M51" i="4"/>
  <c r="M50" i="4"/>
  <c r="M60" i="4"/>
  <c r="M57" i="4"/>
  <c r="M56" i="4"/>
  <c r="M53" i="4"/>
  <c r="M52" i="4"/>
  <c r="M42" i="4"/>
  <c r="M38" i="4"/>
  <c r="M34" i="4"/>
  <c r="M30" i="4"/>
  <c r="M26" i="4"/>
  <c r="M22" i="4"/>
  <c r="M18" i="4"/>
  <c r="M14" i="4"/>
  <c r="M10" i="4"/>
  <c r="M6" i="4"/>
  <c r="M61" i="4"/>
  <c r="M49" i="4"/>
  <c r="M48" i="4"/>
  <c r="M47" i="4"/>
  <c r="M41" i="4"/>
  <c r="M37" i="4"/>
  <c r="M33" i="4"/>
  <c r="M29" i="4"/>
  <c r="M25" i="4"/>
  <c r="M21" i="4"/>
  <c r="M4" i="4"/>
  <c r="M3" i="4"/>
  <c r="M2" i="4"/>
  <c r="M19" i="4"/>
  <c r="M17" i="4"/>
  <c r="M15" i="4"/>
  <c r="M13" i="4"/>
  <c r="M11" i="4"/>
  <c r="M9" i="4"/>
  <c r="M7" i="4"/>
  <c r="M5" i="4"/>
  <c r="L63" i="4"/>
  <c r="L61" i="4"/>
  <c r="L57" i="4"/>
  <c r="L53" i="4"/>
  <c r="L49" i="4"/>
  <c r="L45" i="4"/>
  <c r="L64" i="4"/>
  <c r="L60" i="4"/>
  <c r="L56" i="4"/>
  <c r="L52" i="4"/>
  <c r="L47" i="4"/>
  <c r="L41" i="4"/>
  <c r="L37" i="4"/>
  <c r="L33" i="4"/>
  <c r="L29" i="4"/>
  <c r="L25" i="4"/>
  <c r="L21" i="4"/>
  <c r="L46" i="4"/>
  <c r="L40" i="4"/>
  <c r="L36" i="4"/>
  <c r="L32" i="4"/>
  <c r="L28" i="4"/>
  <c r="L24" i="4"/>
  <c r="L44" i="4"/>
  <c r="L43" i="4"/>
  <c r="L39" i="4"/>
  <c r="L35" i="4"/>
  <c r="L31" i="4"/>
  <c r="L27" i="4"/>
  <c r="L23" i="4"/>
  <c r="L59" i="4"/>
  <c r="L58" i="4"/>
  <c r="L55" i="4"/>
  <c r="L54" i="4"/>
  <c r="L51" i="4"/>
  <c r="L50" i="4"/>
  <c r="L42" i="4"/>
  <c r="L38" i="4"/>
  <c r="L34" i="4"/>
  <c r="L30" i="4"/>
  <c r="L62" i="4"/>
  <c r="L48" i="4"/>
  <c r="L4" i="4"/>
  <c r="L22" i="4"/>
  <c r="L3" i="4"/>
  <c r="L2" i="4"/>
  <c r="L26" i="4"/>
  <c r="L20" i="4"/>
  <c r="L19" i="4"/>
  <c r="L18" i="4"/>
  <c r="L17" i="4"/>
  <c r="L16" i="4"/>
  <c r="L15" i="4"/>
  <c r="L14" i="4"/>
  <c r="L13" i="4"/>
  <c r="L12" i="4"/>
  <c r="L11" i="4"/>
  <c r="L10" i="4"/>
  <c r="L9" i="4"/>
  <c r="L8" i="4"/>
  <c r="L7" i="4"/>
  <c r="L6" i="4"/>
  <c r="L5" i="4"/>
  <c r="P49" i="3"/>
  <c r="P53" i="3"/>
  <c r="P57" i="3"/>
  <c r="P61" i="3"/>
  <c r="P50" i="3"/>
  <c r="P54" i="3"/>
  <c r="P58" i="3"/>
  <c r="P62" i="3"/>
  <c r="P47" i="3"/>
  <c r="P51" i="3"/>
  <c r="P55" i="3"/>
  <c r="P59" i="3"/>
  <c r="P63" i="3"/>
  <c r="P48" i="3"/>
  <c r="P52" i="3"/>
  <c r="P56" i="3"/>
  <c r="P60" i="3"/>
  <c r="P64" i="3"/>
  <c r="M47" i="3"/>
  <c r="M51" i="3"/>
  <c r="M55" i="3"/>
  <c r="M59" i="3"/>
  <c r="M63" i="3"/>
  <c r="M48" i="3"/>
  <c r="M52" i="3"/>
  <c r="M56" i="3"/>
  <c r="M60" i="3"/>
  <c r="M64" i="3"/>
  <c r="M49" i="3"/>
  <c r="M53" i="3"/>
  <c r="M57" i="3"/>
  <c r="M61" i="3"/>
  <c r="M50" i="3"/>
  <c r="M54" i="3"/>
  <c r="M58" i="3"/>
  <c r="M62" i="3"/>
  <c r="N63" i="5"/>
  <c r="N59" i="5"/>
  <c r="N55" i="5"/>
  <c r="N51" i="5"/>
  <c r="N47" i="5"/>
  <c r="N43" i="5"/>
  <c r="N39" i="5"/>
  <c r="N35" i="5"/>
  <c r="N31" i="5"/>
  <c r="N27" i="5"/>
  <c r="N23" i="5"/>
  <c r="N19" i="5"/>
  <c r="N15" i="5"/>
  <c r="N11" i="5"/>
  <c r="N7" i="5"/>
  <c r="N3" i="5"/>
  <c r="N61" i="5"/>
  <c r="N57" i="5"/>
  <c r="N53" i="5"/>
  <c r="N49" i="5"/>
  <c r="N45" i="5"/>
  <c r="N41" i="5"/>
  <c r="N37" i="5"/>
  <c r="N33" i="5"/>
  <c r="N29" i="5"/>
  <c r="N25" i="5"/>
  <c r="N21" i="5"/>
  <c r="N17" i="5"/>
  <c r="N13" i="5"/>
  <c r="N9" i="5"/>
  <c r="N5" i="5"/>
  <c r="N64" i="5"/>
  <c r="N60" i="5"/>
  <c r="N56" i="5"/>
  <c r="N52" i="5"/>
  <c r="N48" i="5"/>
  <c r="N44" i="5"/>
  <c r="N40" i="5"/>
  <c r="N36" i="5"/>
  <c r="N32" i="5"/>
  <c r="N28" i="5"/>
  <c r="N24" i="5"/>
  <c r="N20" i="5"/>
  <c r="N16" i="5"/>
  <c r="N12" i="5"/>
  <c r="N8" i="5"/>
  <c r="N4" i="5"/>
  <c r="N62" i="5"/>
  <c r="N54" i="5"/>
  <c r="N46" i="5"/>
  <c r="N38" i="5"/>
  <c r="N34" i="5"/>
  <c r="N30" i="5"/>
  <c r="N26" i="5"/>
  <c r="N22" i="5"/>
  <c r="N18" i="5"/>
  <c r="N14" i="5"/>
  <c r="N10" i="5"/>
  <c r="N6" i="5"/>
  <c r="N2" i="5"/>
  <c r="N58" i="5"/>
  <c r="N50" i="5"/>
  <c r="N42" i="5"/>
  <c r="Q64" i="4"/>
  <c r="Q60" i="4"/>
  <c r="Q43" i="4"/>
  <c r="Q58" i="4"/>
  <c r="Q57" i="4"/>
  <c r="Q54" i="4"/>
  <c r="Q53" i="4"/>
  <c r="Q50" i="4"/>
  <c r="Q42" i="4"/>
  <c r="Q38" i="4"/>
  <c r="Q34" i="4"/>
  <c r="Q30" i="4"/>
  <c r="Q26" i="4"/>
  <c r="Q22" i="4"/>
  <c r="Q18" i="4"/>
  <c r="Q14" i="4"/>
  <c r="Q10" i="4"/>
  <c r="Q6" i="4"/>
  <c r="Q59" i="4"/>
  <c r="Q56" i="4"/>
  <c r="Q55" i="4"/>
  <c r="Q52" i="4"/>
  <c r="Q51" i="4"/>
  <c r="Q49" i="4"/>
  <c r="Q61" i="4"/>
  <c r="Q48" i="4"/>
  <c r="Q41" i="4"/>
  <c r="Q37" i="4"/>
  <c r="Q33" i="4"/>
  <c r="Q29" i="4"/>
  <c r="Q25" i="4"/>
  <c r="Q21" i="4"/>
  <c r="Q47" i="4"/>
  <c r="Q46" i="4"/>
  <c r="Q62" i="4"/>
  <c r="Q40" i="4"/>
  <c r="Q36" i="4"/>
  <c r="Q32" i="4"/>
  <c r="Q28" i="4"/>
  <c r="Q24" i="4"/>
  <c r="Q20" i="4"/>
  <c r="Q16" i="4"/>
  <c r="Q12" i="4"/>
  <c r="Q8" i="4"/>
  <c r="Q45" i="4"/>
  <c r="Q63" i="4"/>
  <c r="Q44" i="4"/>
  <c r="Q39" i="4"/>
  <c r="Q35" i="4"/>
  <c r="Q31" i="4"/>
  <c r="Q27" i="4"/>
  <c r="Q23" i="4"/>
  <c r="Q2" i="4"/>
  <c r="Q19" i="4"/>
  <c r="Q17" i="4"/>
  <c r="Q15" i="4"/>
  <c r="Q13" i="4"/>
  <c r="Q11" i="4"/>
  <c r="Q9" i="4"/>
  <c r="Q7" i="4"/>
  <c r="Q5" i="4"/>
  <c r="Q4" i="4"/>
  <c r="Q3" i="4"/>
  <c r="Q33" i="3"/>
  <c r="Q49" i="3"/>
  <c r="Q53" i="3"/>
  <c r="Q57" i="3"/>
  <c r="Q61" i="3"/>
  <c r="Q50" i="3"/>
  <c r="Q54" i="3"/>
  <c r="Q58" i="3"/>
  <c r="Q62" i="3"/>
  <c r="Q47" i="3"/>
  <c r="Q51" i="3"/>
  <c r="Q55" i="3"/>
  <c r="Q59" i="3"/>
  <c r="Q63" i="3"/>
  <c r="Q48" i="3"/>
  <c r="Q52" i="3"/>
  <c r="Q56" i="3"/>
  <c r="Q60" i="3"/>
  <c r="Q64" i="3"/>
  <c r="L47" i="3"/>
  <c r="L51" i="3"/>
  <c r="L55" i="3"/>
  <c r="L59" i="3"/>
  <c r="L63" i="3"/>
  <c r="L48" i="3"/>
  <c r="A13" i="3" s="1"/>
  <c r="L52" i="3"/>
  <c r="L56" i="3"/>
  <c r="L60" i="3"/>
  <c r="L64" i="3"/>
  <c r="L49" i="3"/>
  <c r="L53" i="3"/>
  <c r="L57" i="3"/>
  <c r="L61" i="3"/>
  <c r="L50" i="3"/>
  <c r="L54" i="3"/>
  <c r="L58" i="3"/>
  <c r="L62" i="3"/>
  <c r="N50" i="3"/>
  <c r="N54" i="3"/>
  <c r="N58" i="3"/>
  <c r="N62" i="3"/>
  <c r="N47" i="3"/>
  <c r="N51" i="3"/>
  <c r="N55" i="3"/>
  <c r="N59" i="3"/>
  <c r="N63" i="3"/>
  <c r="N48" i="3"/>
  <c r="N52" i="3"/>
  <c r="N56" i="3"/>
  <c r="N60" i="3"/>
  <c r="N64" i="3"/>
  <c r="N49" i="3"/>
  <c r="N53" i="3"/>
  <c r="N57" i="3"/>
  <c r="N61" i="3"/>
  <c r="O50" i="3"/>
  <c r="O54" i="3"/>
  <c r="O58" i="3"/>
  <c r="O62" i="3"/>
  <c r="O47" i="3"/>
  <c r="O51" i="3"/>
  <c r="O55" i="3"/>
  <c r="O59" i="3"/>
  <c r="O63" i="3"/>
  <c r="O48" i="3"/>
  <c r="O52" i="3"/>
  <c r="O56" i="3"/>
  <c r="O60" i="3"/>
  <c r="O64" i="3"/>
  <c r="O49" i="3"/>
  <c r="O53" i="3"/>
  <c r="O57" i="3"/>
  <c r="O61" i="3"/>
  <c r="Q12" i="3"/>
  <c r="Q34" i="3"/>
  <c r="Q14" i="3"/>
  <c r="Q9" i="3"/>
  <c r="Q26" i="3"/>
  <c r="Q6" i="3"/>
  <c r="Q16" i="3"/>
  <c r="Q7" i="3"/>
  <c r="Q22" i="3"/>
  <c r="Q32" i="3"/>
  <c r="Q30" i="3"/>
  <c r="Q17" i="3"/>
  <c r="Q20" i="3"/>
  <c r="Q39" i="3"/>
  <c r="Q11" i="3"/>
  <c r="D9" i="4"/>
  <c r="Q3" i="3"/>
  <c r="Q42" i="3"/>
  <c r="Q21" i="3"/>
  <c r="Q38" i="3"/>
  <c r="Q41" i="3"/>
  <c r="Q13" i="3"/>
  <c r="Q18" i="3"/>
  <c r="Q46" i="3"/>
  <c r="Q23" i="3"/>
  <c r="Q44" i="3"/>
  <c r="Q36" i="3"/>
  <c r="Q4" i="3"/>
  <c r="C9" i="6"/>
  <c r="Q24" i="3"/>
  <c r="Q29" i="3"/>
  <c r="Q31" i="3"/>
  <c r="Q35" i="3"/>
  <c r="Q45" i="3"/>
  <c r="S67" i="2"/>
  <c r="S68" i="2"/>
  <c r="P31" i="3"/>
  <c r="P27" i="3"/>
  <c r="P20" i="3"/>
  <c r="P22" i="3"/>
  <c r="P39" i="3"/>
  <c r="P30" i="3"/>
  <c r="P8" i="3"/>
  <c r="P7" i="3"/>
  <c r="P38" i="3"/>
  <c r="P42" i="3"/>
  <c r="P44" i="3"/>
  <c r="P26" i="3"/>
  <c r="P15" i="3"/>
  <c r="P45" i="3"/>
  <c r="P6" i="3"/>
  <c r="P16" i="3"/>
  <c r="P41" i="3"/>
  <c r="P10" i="3"/>
  <c r="P12" i="3"/>
  <c r="P36" i="3"/>
  <c r="P14" i="3"/>
  <c r="P24" i="3"/>
  <c r="P21" i="3"/>
  <c r="P25" i="3"/>
  <c r="P46" i="3"/>
  <c r="P5" i="3"/>
  <c r="P32" i="3"/>
  <c r="P33" i="3"/>
  <c r="P35" i="3"/>
  <c r="P17" i="3"/>
  <c r="P28" i="3"/>
  <c r="P40" i="3"/>
  <c r="P37" i="3"/>
  <c r="P19" i="3"/>
  <c r="P23" i="3"/>
  <c r="P3" i="3"/>
  <c r="P9" i="3"/>
  <c r="P11" i="3"/>
  <c r="P4" i="3"/>
  <c r="P29" i="3"/>
  <c r="P2" i="3"/>
  <c r="P18" i="3"/>
  <c r="P34" i="3"/>
  <c r="P13" i="3"/>
  <c r="P43" i="3"/>
  <c r="M9" i="3"/>
  <c r="M34" i="3"/>
  <c r="M13" i="3"/>
  <c r="M27" i="3"/>
  <c r="M7" i="3"/>
  <c r="M8" i="3"/>
  <c r="M16" i="3"/>
  <c r="M41" i="3"/>
  <c r="M44" i="3"/>
  <c r="M36" i="3"/>
  <c r="M28" i="3"/>
  <c r="M10" i="3"/>
  <c r="M33" i="3"/>
  <c r="M37" i="3"/>
  <c r="M20" i="3"/>
  <c r="M45" i="3"/>
  <c r="M6" i="3"/>
  <c r="M24" i="3"/>
  <c r="M43" i="3"/>
  <c r="M14" i="3"/>
  <c r="M38" i="3"/>
  <c r="M2" i="3"/>
  <c r="M32" i="3"/>
  <c r="M26" i="3"/>
  <c r="M3" i="3"/>
  <c r="M11" i="3"/>
  <c r="M40" i="3"/>
  <c r="M21" i="3"/>
  <c r="M46" i="3"/>
  <c r="M35" i="3"/>
  <c r="M25" i="3"/>
  <c r="M23" i="3"/>
  <c r="M15" i="3"/>
  <c r="M29" i="3"/>
  <c r="M22" i="3"/>
  <c r="M39" i="3"/>
  <c r="M30" i="3"/>
  <c r="M42" i="3"/>
  <c r="M12" i="3"/>
  <c r="M5" i="3"/>
  <c r="M17" i="3"/>
  <c r="M4" i="3"/>
  <c r="M18" i="3"/>
  <c r="M19" i="3"/>
  <c r="M31" i="3"/>
  <c r="N45" i="3"/>
  <c r="N23" i="3"/>
  <c r="N3" i="3"/>
  <c r="N39" i="3"/>
  <c r="N41" i="3"/>
  <c r="N13" i="3"/>
  <c r="N30" i="3"/>
  <c r="N25" i="3"/>
  <c r="N36" i="3"/>
  <c r="N40" i="3"/>
  <c r="N32" i="3"/>
  <c r="N44" i="3"/>
  <c r="N34" i="3"/>
  <c r="N14" i="3"/>
  <c r="N10" i="3"/>
  <c r="N27" i="3"/>
  <c r="N38" i="3"/>
  <c r="N4" i="3"/>
  <c r="N18" i="3"/>
  <c r="N42" i="3"/>
  <c r="N46" i="3"/>
  <c r="N28" i="3"/>
  <c r="N5" i="3"/>
  <c r="N35" i="3"/>
  <c r="N33" i="3"/>
  <c r="N21" i="3"/>
  <c r="N11" i="3"/>
  <c r="N16" i="3"/>
  <c r="N9" i="3"/>
  <c r="N2" i="3"/>
  <c r="N37" i="3"/>
  <c r="N12" i="3"/>
  <c r="N7" i="3"/>
  <c r="N31" i="3"/>
  <c r="N6" i="3"/>
  <c r="N17" i="3"/>
  <c r="N24" i="3"/>
  <c r="N20" i="3"/>
  <c r="N29" i="3"/>
  <c r="N19" i="3"/>
  <c r="N22" i="3"/>
  <c r="N43" i="3"/>
  <c r="N15" i="3"/>
  <c r="N26" i="3"/>
  <c r="N8" i="3"/>
  <c r="G13" i="4"/>
  <c r="G13" i="5"/>
  <c r="O42" i="3"/>
  <c r="O24" i="3"/>
  <c r="O29" i="3"/>
  <c r="O41" i="3"/>
  <c r="O13" i="3"/>
  <c r="O3" i="3"/>
  <c r="O15" i="3"/>
  <c r="O8" i="3"/>
  <c r="O2" i="3"/>
  <c r="O19" i="3"/>
  <c r="O17" i="3"/>
  <c r="O30" i="3"/>
  <c r="O32" i="3"/>
  <c r="O45" i="3"/>
  <c r="O10" i="3"/>
  <c r="O27" i="3"/>
  <c r="O25" i="3"/>
  <c r="O40" i="3"/>
  <c r="O44" i="3"/>
  <c r="O14" i="3"/>
  <c r="O11" i="3"/>
  <c r="O20" i="3"/>
  <c r="O39" i="3"/>
  <c r="O35" i="3"/>
  <c r="O9" i="3"/>
  <c r="O23" i="3"/>
  <c r="O43" i="3"/>
  <c r="O21" i="3"/>
  <c r="O33" i="3"/>
  <c r="O4" i="3"/>
  <c r="O31" i="3"/>
  <c r="O36" i="3"/>
  <c r="O28" i="3"/>
  <c r="O12" i="3"/>
  <c r="O46" i="3"/>
  <c r="O18" i="3"/>
  <c r="O16" i="3"/>
  <c r="O22" i="3"/>
  <c r="O38" i="3"/>
  <c r="O34" i="3"/>
  <c r="O7" i="3"/>
  <c r="O37" i="3"/>
  <c r="O5" i="3"/>
  <c r="O26" i="3"/>
  <c r="O6" i="3"/>
  <c r="F13" i="5"/>
  <c r="A13" i="5"/>
  <c r="F13" i="4" l="1"/>
  <c r="A13" i="4"/>
  <c r="F13" i="3"/>
  <c r="O61" i="4"/>
  <c r="O63" i="4"/>
  <c r="O45" i="4"/>
  <c r="O44" i="4"/>
  <c r="O43" i="4"/>
  <c r="O39" i="4"/>
  <c r="O35" i="4"/>
  <c r="O31" i="4"/>
  <c r="O27" i="4"/>
  <c r="O23" i="4"/>
  <c r="O19" i="4"/>
  <c r="O15" i="4"/>
  <c r="O11" i="4"/>
  <c r="O7" i="4"/>
  <c r="O64" i="4"/>
  <c r="O58" i="4"/>
  <c r="O54" i="4"/>
  <c r="O50" i="4"/>
  <c r="O59" i="4"/>
  <c r="O57" i="4"/>
  <c r="O55" i="4"/>
  <c r="O53" i="4"/>
  <c r="O51" i="4"/>
  <c r="O42" i="4"/>
  <c r="O38" i="4"/>
  <c r="O34" i="4"/>
  <c r="O30" i="4"/>
  <c r="O26" i="4"/>
  <c r="O22" i="4"/>
  <c r="O60" i="4"/>
  <c r="O56" i="4"/>
  <c r="O52" i="4"/>
  <c r="O49" i="4"/>
  <c r="O48" i="4"/>
  <c r="O47" i="4"/>
  <c r="O41" i="4"/>
  <c r="O37" i="4"/>
  <c r="O33" i="4"/>
  <c r="O29" i="4"/>
  <c r="O25" i="4"/>
  <c r="O21" i="4"/>
  <c r="O17" i="4"/>
  <c r="O13" i="4"/>
  <c r="O9" i="4"/>
  <c r="O62" i="4"/>
  <c r="O46" i="4"/>
  <c r="O40" i="4"/>
  <c r="O36" i="4"/>
  <c r="O32" i="4"/>
  <c r="O28" i="4"/>
  <c r="O24" i="4"/>
  <c r="O3" i="4"/>
  <c r="O2" i="4"/>
  <c r="O20" i="4"/>
  <c r="O18" i="4"/>
  <c r="O16" i="4"/>
  <c r="O14" i="4"/>
  <c r="O12" i="4"/>
  <c r="O10" i="4"/>
  <c r="O8" i="4"/>
  <c r="O6" i="4"/>
  <c r="O5" i="4"/>
  <c r="O4" i="4"/>
  <c r="D13" i="3"/>
  <c r="D18" i="6" s="1"/>
  <c r="I18" i="6" s="1"/>
  <c r="E13" i="5"/>
  <c r="B19" i="6" s="1"/>
  <c r="G19" i="6" s="1"/>
  <c r="E13" i="4"/>
  <c r="C19" i="6" s="1"/>
  <c r="H19" i="6" s="1"/>
  <c r="C13" i="3"/>
  <c r="D17" i="6" s="1"/>
  <c r="I17" i="6" s="1"/>
  <c r="B13" i="3"/>
  <c r="D16" i="6" s="1"/>
  <c r="I16" i="6" s="1"/>
  <c r="C13" i="4"/>
  <c r="C17" i="6" s="1"/>
  <c r="H17" i="6" s="1"/>
  <c r="E13" i="3"/>
  <c r="D19" i="6" s="1"/>
  <c r="I19" i="6" s="1"/>
  <c r="C13" i="5"/>
  <c r="B17" i="6" s="1"/>
  <c r="G17" i="6" s="1"/>
  <c r="B13" i="5"/>
  <c r="B16" i="6" s="1"/>
  <c r="G16" i="6" s="1"/>
  <c r="D13" i="5"/>
  <c r="B18" i="6" s="1"/>
  <c r="G18" i="6" s="1"/>
  <c r="B13" i="4"/>
  <c r="C16" i="6" s="1"/>
  <c r="H16" i="6" s="1"/>
  <c r="D13" i="4" l="1"/>
  <c r="C18" i="6" s="1"/>
  <c r="H18" i="6" s="1"/>
  <c r="H22" i="6" s="1"/>
</calcChain>
</file>

<file path=xl/sharedStrings.xml><?xml version="1.0" encoding="utf-8"?>
<sst xmlns="http://schemas.openxmlformats.org/spreadsheetml/2006/main" count="312" uniqueCount="118">
  <si>
    <t>Conformer Relative Populations</t>
  </si>
  <si>
    <t>Conv. Hartree to kcal/mol</t>
  </si>
  <si>
    <t>r (in kcal/(K*mol))</t>
  </si>
  <si>
    <t>Temp (K)</t>
  </si>
  <si>
    <t>Sum of Rel Pop</t>
  </si>
  <si>
    <t>Sum of Weights</t>
  </si>
  <si>
    <t>Energy (hartrees)</t>
  </si>
  <si>
    <t>Energy (kcal)</t>
  </si>
  <si>
    <t>Rel E</t>
  </si>
  <si>
    <t>Gibbs Energy (hartree)</t>
  </si>
  <si>
    <t>Conformer</t>
  </si>
  <si>
    <t>Classification</t>
  </si>
  <si>
    <t>rel G</t>
  </si>
  <si>
    <t>rel Pop</t>
  </si>
  <si>
    <t>weight</t>
  </si>
  <si>
    <t>Notes</t>
  </si>
  <si>
    <t>4H6</t>
  </si>
  <si>
    <t>6H4</t>
  </si>
  <si>
    <t>56E</t>
  </si>
  <si>
    <t>5C12</t>
  </si>
  <si>
    <t>12C5</t>
  </si>
  <si>
    <t>Boltzmann Contribution</t>
  </si>
  <si>
    <t>Average E</t>
  </si>
  <si>
    <t xml:space="preserve">Conf1   </t>
  </si>
  <si>
    <t xml:space="preserve">Conf2   </t>
  </si>
  <si>
    <t xml:space="preserve">Conf4   </t>
  </si>
  <si>
    <t xml:space="preserve">Conf8   </t>
  </si>
  <si>
    <t xml:space="preserve">Conf20   </t>
  </si>
  <si>
    <t xml:space="preserve">Conf21   </t>
  </si>
  <si>
    <t xml:space="preserve">Conf27   </t>
  </si>
  <si>
    <t xml:space="preserve">Conf30   </t>
  </si>
  <si>
    <t xml:space="preserve">Conf40   </t>
  </si>
  <si>
    <t xml:space="preserve">Conf57   </t>
  </si>
  <si>
    <t xml:space="preserve">Conf86   </t>
  </si>
  <si>
    <t xml:space="preserve">Conf144   </t>
  </si>
  <si>
    <t>J1,2</t>
  </si>
  <si>
    <t>J2,3</t>
  </si>
  <si>
    <t>J34</t>
  </si>
  <si>
    <t>J45</t>
  </si>
  <si>
    <t>J56</t>
  </si>
  <si>
    <t>J67</t>
  </si>
  <si>
    <t>J77'</t>
  </si>
  <si>
    <t>J67'</t>
  </si>
  <si>
    <t>classification</t>
  </si>
  <si>
    <t>Column1</t>
  </si>
  <si>
    <t>Sum of Chair Weights</t>
  </si>
  <si>
    <t>Column2</t>
  </si>
  <si>
    <t>J1,23</t>
  </si>
  <si>
    <t>J2,34</t>
  </si>
  <si>
    <t>J345</t>
  </si>
  <si>
    <t>J456</t>
  </si>
  <si>
    <t>J567</t>
  </si>
  <si>
    <t>J678</t>
  </si>
  <si>
    <t>J67'9</t>
  </si>
  <si>
    <t>J77'10</t>
  </si>
  <si>
    <t>RMSD</t>
  </si>
  <si>
    <t>Exp (Hz)</t>
  </si>
  <si>
    <t>DFT (Hz)</t>
  </si>
  <si>
    <t>Scaled DFT (Hz)</t>
  </si>
  <si>
    <t>weighted</t>
  </si>
  <si>
    <t>Average</t>
  </si>
  <si>
    <t>SdDev</t>
  </si>
  <si>
    <t>J23</t>
  </si>
  <si>
    <t>SD</t>
  </si>
  <si>
    <t xml:space="preserve">Conf14   </t>
  </si>
  <si>
    <t xml:space="preserve">Conf25   </t>
  </si>
  <si>
    <t xml:space="preserve">Conf29   </t>
  </si>
  <si>
    <t xml:space="preserve">Conf32   </t>
  </si>
  <si>
    <t xml:space="preserve">Conf35   </t>
  </si>
  <si>
    <t xml:space="preserve">Conf36   </t>
  </si>
  <si>
    <t xml:space="preserve">Conf44   </t>
  </si>
  <si>
    <t xml:space="preserve">Conf47   </t>
  </si>
  <si>
    <t xml:space="preserve">Conf52   </t>
  </si>
  <si>
    <t xml:space="preserve">Conf54   </t>
  </si>
  <si>
    <t xml:space="preserve">Conf55   </t>
  </si>
  <si>
    <t xml:space="preserve">Conf58   </t>
  </si>
  <si>
    <t xml:space="preserve">Conf60   </t>
  </si>
  <si>
    <t xml:space="preserve">Conf70   </t>
  </si>
  <si>
    <t xml:space="preserve">Conf90   </t>
  </si>
  <si>
    <t xml:space="preserve">Conf92   </t>
  </si>
  <si>
    <t xml:space="preserve">Conf93   </t>
  </si>
  <si>
    <t xml:space="preserve">Conf95   </t>
  </si>
  <si>
    <t xml:space="preserve">Conf100   </t>
  </si>
  <si>
    <t xml:space="preserve">Conf118   </t>
  </si>
  <si>
    <t xml:space="preserve">Conf120   </t>
  </si>
  <si>
    <t xml:space="preserve">Conf122   </t>
  </si>
  <si>
    <t xml:space="preserve">Conf129   </t>
  </si>
  <si>
    <t xml:space="preserve">Conf155   </t>
  </si>
  <si>
    <t xml:space="preserve">Conf159   </t>
  </si>
  <si>
    <t xml:space="preserve">Conf164   </t>
  </si>
  <si>
    <t xml:space="preserve">Conf170   </t>
  </si>
  <si>
    <t xml:space="preserve">Conf184   </t>
  </si>
  <si>
    <t xml:space="preserve">Conf189   </t>
  </si>
  <si>
    <t xml:space="preserve">Conf190   </t>
  </si>
  <si>
    <t xml:space="preserve">Conf205   </t>
  </si>
  <si>
    <t xml:space="preserve">Conf247   </t>
  </si>
  <si>
    <t xml:space="preserve">Conf387   </t>
  </si>
  <si>
    <t>45E</t>
  </si>
  <si>
    <t>E45</t>
  </si>
  <si>
    <t xml:space="preserve">Conf5   </t>
  </si>
  <si>
    <t xml:space="preserve">Conf42   </t>
  </si>
  <si>
    <t xml:space="preserve">Conf43   </t>
  </si>
  <si>
    <t xml:space="preserve">Conf51   </t>
  </si>
  <si>
    <t xml:space="preserve">Conf65   </t>
  </si>
  <si>
    <t xml:space="preserve">Conf69   </t>
  </si>
  <si>
    <t xml:space="preserve">Conf89   </t>
  </si>
  <si>
    <t xml:space="preserve">Conf112   </t>
  </si>
  <si>
    <t xml:space="preserve">Conf115   </t>
  </si>
  <si>
    <t xml:space="preserve">Conf117   </t>
  </si>
  <si>
    <t xml:space="preserve">Conf124   </t>
  </si>
  <si>
    <t xml:space="preserve">Conf125   </t>
  </si>
  <si>
    <t xml:space="preserve">Conf126   </t>
  </si>
  <si>
    <t xml:space="preserve">Conf199   </t>
  </si>
  <si>
    <t xml:space="preserve">Conf201   </t>
  </si>
  <si>
    <t xml:space="preserve">Conf217   </t>
  </si>
  <si>
    <t xml:space="preserve">Conf225   </t>
  </si>
  <si>
    <t xml:space="preserve">Conf376   </t>
  </si>
  <si>
    <t>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</si>
</sst>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00B0F0"/>
      <name val="Arial"/>
      <family val="2"/>
    </font>
    <font>
      <sz val="8"/>
      <name val="Calibri"/>
      <family val="2"/>
      <scheme val="minor"/>
    </font>
    <font>
      <sz val="10"/>
      <color rgb="FF000000"/>
      <name val="Lucida Console"/>
      <family val="3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0" fillId="0" borderId="0" xfId="0" applyNumberFormat="1"/>
    <xf numFmtId="0" fontId="0" fillId="0" borderId="1" xfId="0" applyBorder="1"/>
    <xf numFmtId="2" fontId="0" fillId="0" borderId="0" xfId="0" applyNumberFormat="1"/>
    <xf numFmtId="0" fontId="5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0" fontId="0" fillId="0" borderId="0" xfId="0" applyFont="1"/>
    <xf numFmtId="164" fontId="0" fillId="0" borderId="0" xfId="0" applyNumberFormat="1"/>
    <xf numFmtId="0" fontId="0" fillId="0" borderId="1" xfId="0" applyFont="1" applyBorder="1"/>
    <xf numFmtId="0" fontId="0" fillId="0" borderId="2" xfId="0" applyFont="1" applyBorder="1"/>
  </cellXfs>
  <cellStyles count="1">
    <cellStyle name="Normal" xfId="0" builtinId="0"/>
  </cellStyles>
  <dxfs count="31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color rgb="FF006100"/>
      </font>
      <fill>
        <patternFill>
          <bgColor rgb="FFC6EFCE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4" formatCode="0.0000"/>
    </dxf>
    <dxf>
      <numFmt numFmtId="164" formatCode="0.0000"/>
    </dxf>
    <dxf>
      <numFmt numFmtId="164" formatCode="0.0000"/>
    </dxf>
    <dxf>
      <numFmt numFmtId="0" formatCode="General"/>
    </dxf>
    <dxf>
      <numFmt numFmtId="0" formatCode="General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Boltzmann</a:t>
            </a:r>
            <a:r>
              <a:rPr lang="en-US" baseline="0"/>
              <a:t> Distribution of Mannose-based Oxepine in Chloroform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DED-4924-AC9A-58265F8E505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DED-4924-AC9A-58265F8E505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DED-4924-AC9A-58265F8E505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DED-4924-AC9A-58265F8E505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DED-4924-AC9A-58265F8E5055}"/>
              </c:ext>
            </c:extLst>
          </c:dPt>
          <c:dLbls>
            <c:dLbl>
              <c:idx val="3"/>
              <c:layout>
                <c:manualLayout>
                  <c:x val="2.2405074365704287E-2"/>
                  <c:y val="5.506211723534558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DED-4924-AC9A-58265F8E505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chloroform!$N$7:$N$11</c:f>
              <c:strCache>
                <c:ptCount val="5"/>
                <c:pt idx="0">
                  <c:v>4H6</c:v>
                </c:pt>
                <c:pt idx="1">
                  <c:v>5C12</c:v>
                </c:pt>
                <c:pt idx="2">
                  <c:v>6H4</c:v>
                </c:pt>
                <c:pt idx="3">
                  <c:v>12C5</c:v>
                </c:pt>
                <c:pt idx="4">
                  <c:v>56E</c:v>
                </c:pt>
              </c:strCache>
            </c:strRef>
          </c:cat>
          <c:val>
            <c:numRef>
              <c:f>chloroform!$O$7:$O$11</c:f>
              <c:numCache>
                <c:formatCode>General</c:formatCode>
                <c:ptCount val="5"/>
                <c:pt idx="0">
                  <c:v>0.60029569669909921</c:v>
                </c:pt>
                <c:pt idx="1">
                  <c:v>0.33743296366755693</c:v>
                </c:pt>
                <c:pt idx="2">
                  <c:v>4.1665009100275249E-2</c:v>
                </c:pt>
                <c:pt idx="3">
                  <c:v>1.9863360518236551E-2</c:v>
                </c:pt>
                <c:pt idx="4">
                  <c:v>7.4297001483256294E-4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87-4FFD-BFD3-5EBF4F45B71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Populations</a:t>
            </a:r>
            <a:r>
              <a:rPr lang="en-US" baseline="0"/>
              <a:t> in Solution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47C-4E7D-BC79-59000301665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47C-4E7D-BC79-59000301665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47C-4E7D-BC79-59000301665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Sheet6!$M$9:$M$11</c:f>
              <c:strCache>
                <c:ptCount val="2"/>
                <c:pt idx="0">
                  <c:v>4H6</c:v>
                </c:pt>
                <c:pt idx="1">
                  <c:v>5C12</c:v>
                </c:pt>
              </c:strCache>
            </c:strRef>
          </c:cat>
          <c:val>
            <c:numRef>
              <c:f>Sheet6!$N$9:$N$11</c:f>
              <c:numCache>
                <c:formatCode>General</c:formatCode>
                <c:ptCount val="3"/>
                <c:pt idx="0">
                  <c:v>0.65210000000000001</c:v>
                </c:pt>
                <c:pt idx="1">
                  <c:v>0.34789999999999999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44-4B7E-84DF-1A0D32F98913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119903</xdr:colOff>
      <xdr:row>19</xdr:row>
      <xdr:rowOff>78441</xdr:rowOff>
    </xdr:from>
    <xdr:to>
      <xdr:col>19</xdr:col>
      <xdr:colOff>424703</xdr:colOff>
      <xdr:row>34</xdr:row>
      <xdr:rowOff>78441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2D88416-F6C6-4E8B-BF60-08E01D1EC4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280987</xdr:colOff>
      <xdr:row>14</xdr:row>
      <xdr:rowOff>98107</xdr:rowOff>
    </xdr:from>
    <xdr:to>
      <xdr:col>21</xdr:col>
      <xdr:colOff>585787</xdr:colOff>
      <xdr:row>28</xdr:row>
      <xdr:rowOff>176212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9369B8-BB4E-49C6-825A-729EE5C9DA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50F378A-7FF5-477E-9F58-AA57ACA0A4EA}" name="Table1" displayName="Table1" ref="A6:K69" totalsRowShown="0">
  <autoFilter ref="A6:K69" xr:uid="{D2222DA1-7940-4CAF-B639-69BE9EB6EC23}"/>
  <sortState xmlns:xlrd2="http://schemas.microsoft.com/office/spreadsheetml/2017/richdata2" ref="A7:K69">
    <sortCondition ref="E6:E69"/>
  </sortState>
  <tableColumns count="11">
    <tableColumn id="1" xr3:uid="{FEE07942-27E5-496C-9CE0-57C74379E5FA}" name="Energy (hartrees)"/>
    <tableColumn id="2" xr3:uid="{63BAC07D-9EEB-4F2C-8811-E61BDC1C21EA}" name="Energy (kcal)">
      <calculatedColumnFormula>Table1[[#This Row],[Energy (hartrees)]]*$C$2</calculatedColumnFormula>
    </tableColumn>
    <tableColumn id="3" xr3:uid="{12894FA1-734B-45A6-9EF2-5148A247DA7B}" name="Rel E" dataDxfId="27">
      <calculatedColumnFormula>Table1[[#This Row],[Energy (kcal)]]-MIN(Table1[Energy (kcal)])</calculatedColumnFormula>
    </tableColumn>
    <tableColumn id="4" xr3:uid="{54C0F622-FA42-47B1-9E9E-743875831B4F}" name="Gibbs Energy (hartree)" dataDxfId="26"/>
    <tableColumn id="5" xr3:uid="{BDB0ECDE-37A8-4A43-A3CD-DD9087669A2C}" name="Conformer" dataCellStyle="Normal"/>
    <tableColumn id="6" xr3:uid="{21628E59-03EB-4814-A6DC-64A3C143958C}" name="Classification"/>
    <tableColumn id="7" xr3:uid="{AA0E77B5-E211-487E-B49A-CB97CCF7EB4C}" name="9"/>
    <tableColumn id="8" xr3:uid="{C8505BC0-77EE-412B-881D-63638FDCF736}" name="rel G" dataDxfId="25">
      <calculatedColumnFormula>Table1[[#This Row],[Rel E]]</calculatedColumnFormula>
    </tableColumn>
    <tableColumn id="9" xr3:uid="{EBC562E8-B9B1-406E-97BC-1FF976A70B16}" name="rel Pop" dataDxfId="24">
      <calculatedColumnFormula>IF(Table1[[#This Row],[rel G]]&lt;5,EXP(-H7/(D$2*E$2)),0)</calculatedColumnFormula>
    </tableColumn>
    <tableColumn id="10" xr3:uid="{7DDF65B3-2008-4EF1-B471-33FC09D4BF35}" name="weight" dataDxfId="23">
      <calculatedColumnFormula>IF(Table1[[#This Row],[rel G]]&lt;5,I7/$F$2,0)</calculatedColumnFormula>
    </tableColumn>
    <tableColumn id="11" xr3:uid="{89EB24DF-08B1-411D-9901-685CD4A89140}" name="Notes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620E235-C4B7-40BE-BA2F-32B5A8BAB326}" name="Table2" displayName="Table2" ref="A1:T64" totalsRowShown="0">
  <autoFilter ref="A1:T64" xr:uid="{80F3E59D-79C5-4B7B-9568-C30BCF944036}"/>
  <tableColumns count="20">
    <tableColumn id="1" xr3:uid="{2198BB88-6605-48FF-B11D-ABBAC4DF32C9}" name="Column1"/>
    <tableColumn id="2" xr3:uid="{ECA138EF-DFE0-4FA2-8395-F326AA2F3EC0}" name="J1,2"/>
    <tableColumn id="3" xr3:uid="{B9719F06-DA97-4A47-A1D7-7DB788F1468E}" name="J2,3"/>
    <tableColumn id="4" xr3:uid="{433F98E4-42A0-4622-9B85-6ED7E3978782}" name="J34"/>
    <tableColumn id="5" xr3:uid="{0D07CCDF-37DB-4EE9-8CAB-117F3F1CC3F9}" name="J45"/>
    <tableColumn id="6" xr3:uid="{35492A16-3276-4B47-BBDF-0FEDEEFEA748}" name="J56"/>
    <tableColumn id="7" xr3:uid="{CAAE7FE1-3744-44F8-AF5E-3389DFAB73C4}" name="J67"/>
    <tableColumn id="8" xr3:uid="{9D491360-065E-4CBB-9EB5-7812C352DDD6}" name="J77'"/>
    <tableColumn id="9" xr3:uid="{16E42B76-E02F-4E7A-B038-1A1894011742}" name="J67'"/>
    <tableColumn id="10" xr3:uid="{A5ABFF3F-34FD-4AA6-A6B0-B78B399F171C}" name="weight" dataDxfId="22">
      <calculatedColumnFormula>chloroform!J7</calculatedColumnFormula>
    </tableColumn>
    <tableColumn id="11" xr3:uid="{F5D86611-FEEF-4B78-86A2-EDD564E6E521}" name="classification">
      <calculatedColumnFormula>chloroform!F8</calculatedColumnFormula>
    </tableColumn>
    <tableColumn id="12" xr3:uid="{BA3D2A2B-257F-4BF1-8E9D-90AD4EBF46A9}" name="Column2"/>
    <tableColumn id="13" xr3:uid="{5F435E63-4F32-4514-99E6-0CED455594F8}" name="J1,23">
      <calculatedColumnFormula>0.9155*Table2[[#This Row],[J1,2]]*Table2[[#This Row],[weight]]</calculatedColumnFormula>
    </tableColumn>
    <tableColumn id="14" xr3:uid="{D5A178FE-CB99-47E9-8362-119DC69FD52C}" name="J2,34">
      <calculatedColumnFormula>0.9155*Table2[[#This Row],[J2,3]]*Table2[[#This Row],[weight]]</calculatedColumnFormula>
    </tableColumn>
    <tableColumn id="15" xr3:uid="{8DCD0B45-C5C6-4C5E-B29A-BB6B1BB901BE}" name="J345">
      <calculatedColumnFormula>0.9155*Table2[[#This Row],[J34]]*Table2[[#This Row],[weight]]</calculatedColumnFormula>
    </tableColumn>
    <tableColumn id="16" xr3:uid="{38299B99-8E91-4F27-81EB-5940CBE11CD5}" name="J456">
      <calculatedColumnFormula>0.9155*Table2[[#This Row],[J45]]*Table2[[#This Row],[weight]]</calculatedColumnFormula>
    </tableColumn>
    <tableColumn id="17" xr3:uid="{ABCC17F3-244D-4473-80F1-D83E9E5DB0D9}" name="J567">
      <calculatedColumnFormula>0.9155*Table2[[#This Row],[J56]]*Table2[[#This Row],[weight]]</calculatedColumnFormula>
    </tableColumn>
    <tableColumn id="18" xr3:uid="{31B4933A-A11E-45C2-895C-F766E90CEA50}" name="J678">
      <calculatedColumnFormula>0.9155*Table2[[#This Row],[J67]]*Table2[[#This Row],[weight]]</calculatedColumnFormula>
    </tableColumn>
    <tableColumn id="19" xr3:uid="{91FA6AC6-01C4-442E-910F-0358D29D2E39}" name="J67'9">
      <calculatedColumnFormula>0.9155*Table2[[#This Row],[J67'']]*Table2[[#This Row],[weight]]</calculatedColumnFormula>
    </tableColumn>
    <tableColumn id="20" xr3:uid="{5A98559C-FB8A-42AD-8563-88BCBF6953A2}" name="J77'10">
      <calculatedColumnFormula>0.9155*Table2[[#This Row],[J77'']]*Table2[[#This Row],[weight]]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C9683B3-1EAE-460D-8A60-9BB936A5D5B7}" name="Table3" displayName="Table3" ref="K1:T64" totalsRowShown="0">
  <autoFilter ref="K1:T64" xr:uid="{D8941E95-9795-4A93-81A8-7906E931066E}"/>
  <tableColumns count="10">
    <tableColumn id="1" xr3:uid="{502316A8-00C9-483C-A55E-042B44DAC480}" name="Column1">
      <calculatedColumnFormula>chloroform!E7</calculatedColumnFormula>
    </tableColumn>
    <tableColumn id="2" xr3:uid="{0E2E6069-2A77-412C-ADA4-C97F3F31DD5A}" name="J1,2" dataDxfId="21">
      <calculatedColumnFormula>Table3[[#This Row],[weight]]*(0.9155*Table2[[#This Row],[J1,2]]-A$9)^2</calculatedColumnFormula>
    </tableColumn>
    <tableColumn id="3" xr3:uid="{99C8AE46-1D36-4558-BECE-2A9182B49057}" name="J2,3" dataDxfId="20">
      <calculatedColumnFormula>Table3[[#This Row],[weight]]*(0.9155*Table2[[#This Row],[J2,3]]-B$9)^2</calculatedColumnFormula>
    </tableColumn>
    <tableColumn id="4" xr3:uid="{803275AF-CFEE-4850-AA59-B7DB234A210B}" name="J34" dataDxfId="19">
      <calculatedColumnFormula>Table3[[#This Row],[weight]]*(0.9155*Table2[[#This Row],[J34]]-C$9)^2</calculatedColumnFormula>
    </tableColumn>
    <tableColumn id="5" xr3:uid="{AD807DCB-A3B0-4EB1-BD30-22361475CD38}" name="J45" dataDxfId="18">
      <calculatedColumnFormula>Table3[[#This Row],[weight]]*(0.9155*Table2[[#This Row],[J45]]-D$9)^2</calculatedColumnFormula>
    </tableColumn>
    <tableColumn id="6" xr3:uid="{37B27F45-4581-4973-9AE8-D34D9029691D}" name="J56" dataDxfId="17">
      <calculatedColumnFormula>Table3[[#This Row],[weight]]*(0.9155*Table2[[#This Row],[J56]]-E$9)^2</calculatedColumnFormula>
    </tableColumn>
    <tableColumn id="7" xr3:uid="{BF4C5F4D-3601-4174-8A18-5C730E7E580B}" name="J67" dataDxfId="16">
      <calculatedColumnFormula>Table3[[#This Row],[weight]]*(0.9155*Table2[[#This Row],[J67]]-F$9)^2</calculatedColumnFormula>
    </tableColumn>
    <tableColumn id="8" xr3:uid="{8B48EF87-E5AD-478B-B6EE-9EF474E2BF1E}" name="J67'" dataDxfId="15">
      <calculatedColumnFormula>Table3[[#This Row],[weight]]*(0.9155*Table2[[#This Row],[J67'']]-G$9)^2</calculatedColumnFormula>
    </tableColumn>
    <tableColumn id="9" xr3:uid="{23ACD263-BA0B-4F2B-A70A-089C885DE580}" name="weight">
      <calculatedColumnFormula>chloroform!J7</calculatedColumnFormula>
    </tableColumn>
    <tableColumn id="10" xr3:uid="{B8477986-80BC-40E3-A47B-C498CC76E9FD}" name="classification">
      <calculatedColumnFormula>chloroform!F7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9990A7D-F08D-45EC-8330-F088888D87E7}" name="Table4" displayName="Table4" ref="K1:T64" totalsRowShown="0">
  <autoFilter ref="K1:T64" xr:uid="{4F6235A9-2023-4B62-B342-F82B4F81652B}"/>
  <tableColumns count="10">
    <tableColumn id="1" xr3:uid="{5B9CA255-F4EB-4BA1-9F23-B3010FB265F8}" name="Column1">
      <calculatedColumnFormula>chloroform!E7</calculatedColumnFormula>
    </tableColumn>
    <tableColumn id="2" xr3:uid="{AFCE0D9A-0221-486C-9779-B132188E694D}" name="J1,2" dataDxfId="14">
      <calculatedColumnFormula>Table3[[#This Row],[weight]]*(0.9155*Table2[[#This Row],[J1,2]]-A$9)^2</calculatedColumnFormula>
    </tableColumn>
    <tableColumn id="3" xr3:uid="{BC0FF307-497E-4FCE-8FED-D07A264094F7}" name="J2,3" dataDxfId="13">
      <calculatedColumnFormula>Table3[[#This Row],[weight]]*(0.9155*Table2[[#This Row],[J2,3]]-B$9)^2</calculatedColumnFormula>
    </tableColumn>
    <tableColumn id="4" xr3:uid="{42A112DC-DE7A-4ED7-BE47-C9179C10D485}" name="J34" dataDxfId="12">
      <calculatedColumnFormula>Table3[[#This Row],[weight]]*(0.9155*Table2[[#This Row],[J34]]-C$9)^2</calculatedColumnFormula>
    </tableColumn>
    <tableColumn id="5" xr3:uid="{E539553D-57EB-4732-A8E5-359F42069025}" name="J45" dataDxfId="11">
      <calculatedColumnFormula>Table3[[#This Row],[weight]]*(0.9155*Table2[[#This Row],[J45]]-D$9)^2</calculatedColumnFormula>
    </tableColumn>
    <tableColumn id="6" xr3:uid="{37B63D85-DB86-4579-B791-957465BF93B6}" name="J56" dataDxfId="10">
      <calculatedColumnFormula>Table3[[#This Row],[weight]]*(0.9155*Table2[[#This Row],[J56]]-E$9)^2</calculatedColumnFormula>
    </tableColumn>
    <tableColumn id="7" xr3:uid="{8F331390-F594-461F-984E-59C28C29DB64}" name="J67" dataDxfId="9">
      <calculatedColumnFormula>Table3[[#This Row],[weight]]*(0.9155*Table2[[#This Row],[J67]]-F$9)^2</calculatedColumnFormula>
    </tableColumn>
    <tableColumn id="8" xr3:uid="{10E7EDE2-9C64-4F79-A89A-2F9F4A7441CB}" name="J67'" dataDxfId="8">
      <calculatedColumnFormula>Table3[[#This Row],[weight]]*(0.9155*Table2[[#This Row],[J67'']]-G$9)^2</calculatedColumnFormula>
    </tableColumn>
    <tableColumn id="9" xr3:uid="{5DC7A02F-F6F6-40A5-AF33-C35C8FA56DBB}" name="weight">
      <calculatedColumnFormula>chloroform!J7</calculatedColumnFormula>
    </tableColumn>
    <tableColumn id="10" xr3:uid="{98B8F559-A649-4983-8224-F55C307297F5}" name="classification">
      <calculatedColumnFormula>chloroform!F7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241CADD4-BC5A-4C62-A1DD-8B2ACB42A230}" name="Table412" displayName="Table412" ref="K1:T64" totalsRowShown="0">
  <autoFilter ref="K1:T64" xr:uid="{1806F2C9-8FD9-4610-A72B-2F8BDF927ED4}"/>
  <tableColumns count="10">
    <tableColumn id="1" xr3:uid="{89A33290-2469-4E8E-BD7B-5BA4CA99D366}" name="Column1">
      <calculatedColumnFormula>chloroform!E7</calculatedColumnFormula>
    </tableColumn>
    <tableColumn id="2" xr3:uid="{94F061F3-AB05-4D67-AA4A-2028D7B5CD10}" name="J1,2" dataDxfId="6">
      <calculatedColumnFormula>Table3[[#This Row],[weight]]*(0.9155*Table2[[#This Row],[J1,2]]-A$9)^2</calculatedColumnFormula>
    </tableColumn>
    <tableColumn id="3" xr3:uid="{2D7C7D69-3E91-4640-AF04-B9CC191C2A07}" name="J2,3" dataDxfId="5">
      <calculatedColumnFormula>Table3[[#This Row],[weight]]*(0.9155*Table2[[#This Row],[J2,3]]-B$9)^2</calculatedColumnFormula>
    </tableColumn>
    <tableColumn id="4" xr3:uid="{A97DBE92-A35B-4666-BF5E-6AEC54E9B882}" name="J34" dataDxfId="4">
      <calculatedColumnFormula>Table3[[#This Row],[weight]]*(0.9155*Table2[[#This Row],[J34]]-C$9)^2</calculatedColumnFormula>
    </tableColumn>
    <tableColumn id="5" xr3:uid="{9A2341B3-24AE-4078-8254-F52F4524C242}" name="J45" dataDxfId="3">
      <calculatedColumnFormula>Table3[[#This Row],[weight]]*(0.9155*Table2[[#This Row],[J45]]-D$9)^2</calculatedColumnFormula>
    </tableColumn>
    <tableColumn id="6" xr3:uid="{5A4E9992-292D-49F5-9013-B8D2F5B01F8A}" name="J56" dataDxfId="2">
      <calculatedColumnFormula>Table3[[#This Row],[weight]]*(0.9155*Table2[[#This Row],[J56]]-E$9)^2</calculatedColumnFormula>
    </tableColumn>
    <tableColumn id="7" xr3:uid="{40297247-3FCF-4DDF-BF44-7D824AE90E7B}" name="J67" dataDxfId="1">
      <calculatedColumnFormula>Table3[[#This Row],[weight]]*(0.9155*Table2[[#This Row],[J67]]-F$9)^2</calculatedColumnFormula>
    </tableColumn>
    <tableColumn id="8" xr3:uid="{046CDBAF-0325-4EAD-AE5F-9E1CD7E09D19}" name="J67'" dataDxfId="0">
      <calculatedColumnFormula>Table3[[#This Row],[weight]]*(0.9155*Table2[[#This Row],[J67'']]-G$9)^2</calculatedColumnFormula>
    </tableColumn>
    <tableColumn id="9" xr3:uid="{C84FDD17-032C-4844-A1EB-FAC55434AC5E}" name="weight">
      <calculatedColumnFormula>chloroform!J7</calculatedColumnFormula>
    </tableColumn>
    <tableColumn id="10" xr3:uid="{39377053-392F-4CFC-B2C6-4E63FCAA601D}" name="classification">
      <calculatedColumnFormula>chloroform!F7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C78BB-2BC0-4325-8544-70B963963355}">
  <dimension ref="A1:Q83"/>
  <sheetViews>
    <sheetView zoomScale="85" zoomScaleNormal="85" workbookViewId="0">
      <selection activeCell="L4" sqref="L4"/>
    </sheetView>
  </sheetViews>
  <sheetFormatPr defaultRowHeight="15" x14ac:dyDescent="0.25"/>
  <cols>
    <col min="1" max="1" width="16.7109375" customWidth="1"/>
    <col min="2" max="2" width="13.140625" customWidth="1"/>
    <col min="4" max="4" width="20.7109375" customWidth="1"/>
    <col min="5" max="5" width="11.7109375" customWidth="1"/>
    <col min="6" max="6" width="13.7109375" customWidth="1"/>
    <col min="7" max="7" width="10" customWidth="1"/>
    <col min="8" max="8" width="11.140625" bestFit="1" customWidth="1"/>
    <col min="9" max="10" width="9.7109375" bestFit="1" customWidth="1"/>
    <col min="24" max="24" width="11" bestFit="1" customWidth="1"/>
  </cols>
  <sheetData>
    <row r="1" spans="1:16" x14ac:dyDescent="0.25">
      <c r="A1" s="1" t="s">
        <v>0</v>
      </c>
      <c r="B1" s="2"/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</row>
    <row r="2" spans="1:16" x14ac:dyDescent="0.25">
      <c r="A2" s="3"/>
      <c r="B2" s="2"/>
      <c r="C2" s="2">
        <v>627.51</v>
      </c>
      <c r="D2" s="2">
        <v>1.9858800000000002E-3</v>
      </c>
      <c r="E2" s="2">
        <v>298.2</v>
      </c>
      <c r="F2">
        <f>SUMIF(Table1[rel G],"&lt;5",Table1[rel Pop])</f>
        <v>4.4977718221049772</v>
      </c>
      <c r="G2">
        <f>SUM(J7:J103)</f>
        <v>1.0000000000000002</v>
      </c>
      <c r="L2" s="10">
        <f>J9+J14+J25+J36+J40+J54+J67</f>
        <v>0.56031049946233846</v>
      </c>
    </row>
    <row r="6" spans="1:16" x14ac:dyDescent="0.25">
      <c r="A6" t="s">
        <v>6</v>
      </c>
      <c r="B6" t="s">
        <v>7</v>
      </c>
      <c r="C6" t="s">
        <v>8</v>
      </c>
      <c r="D6" t="s">
        <v>9</v>
      </c>
      <c r="E6" t="s">
        <v>10</v>
      </c>
      <c r="F6" t="s">
        <v>11</v>
      </c>
      <c r="G6" t="s">
        <v>117</v>
      </c>
      <c r="H6" t="s">
        <v>12</v>
      </c>
      <c r="I6" t="s">
        <v>13</v>
      </c>
      <c r="J6" t="s">
        <v>14</v>
      </c>
      <c r="K6" t="s">
        <v>15</v>
      </c>
      <c r="O6" t="s">
        <v>21</v>
      </c>
      <c r="P6" t="s">
        <v>22</v>
      </c>
    </row>
    <row r="7" spans="1:16" x14ac:dyDescent="0.25">
      <c r="A7">
        <v>-1260.0254391378401</v>
      </c>
      <c r="B7">
        <f>Table1[[#This Row],[Energy (hartrees)]]*$C$2</f>
        <v>-790678.56331338605</v>
      </c>
      <c r="C7" s="4">
        <f>Table1[[#This Row],[Energy (kcal)]]-MIN(Table1[Energy (kcal)])</f>
        <v>1.5822095685871318</v>
      </c>
      <c r="D7">
        <v>-1260.0254391378401</v>
      </c>
      <c r="E7">
        <v>1</v>
      </c>
      <c r="F7" t="s">
        <v>17</v>
      </c>
      <c r="H7" s="10">
        <f>Table1[[#This Row],[Rel E]]</f>
        <v>1.5822095685871318</v>
      </c>
      <c r="I7" s="10">
        <f>IF(Table1[[#This Row],[rel G]]&lt;5,EXP(-H7/(D$2*E$2)),0)</f>
        <v>6.9127930090616074E-2</v>
      </c>
      <c r="J7" s="10">
        <f>IF(Table1[[#This Row],[rel G]]&lt;5,I7/$F$2,0)</f>
        <v>1.5369372396989205E-2</v>
      </c>
      <c r="M7">
        <f>COUNTIF(Table1[Classification],N7)</f>
        <v>26</v>
      </c>
      <c r="N7" t="s">
        <v>16</v>
      </c>
      <c r="O7">
        <f>SUMIF(Table1[Classification],N7,Table1[weight])</f>
        <v>0.60029569669909921</v>
      </c>
      <c r="P7">
        <f>AVERAGEIF(Table1[Classification],N7,Table1[rel G])</f>
        <v>2.9838737620604943</v>
      </c>
    </row>
    <row r="8" spans="1:16" x14ac:dyDescent="0.25">
      <c r="A8">
        <v>-1260.02646755248</v>
      </c>
      <c r="B8">
        <f>Table1[[#This Row],[Energy (hartrees)]]*$C$2</f>
        <v>-790679.20865385665</v>
      </c>
      <c r="C8" s="4">
        <f>Table1[[#This Row],[Energy (kcal)]]-MIN(Table1[Energy (kcal)])</f>
        <v>0.93686909798998386</v>
      </c>
      <c r="D8">
        <v>-1260.02646755248</v>
      </c>
      <c r="E8">
        <v>2</v>
      </c>
      <c r="F8" t="s">
        <v>16</v>
      </c>
      <c r="H8" s="10">
        <f>Table1[[#This Row],[Rel E]]</f>
        <v>0.93686909798998386</v>
      </c>
      <c r="I8" s="10">
        <f>IF(Table1[[#This Row],[rel G]]&lt;5,EXP(-H8/(D$2*E$2)),0)</f>
        <v>0.205554728370208</v>
      </c>
      <c r="J8" s="10">
        <f>IF(Table1[[#This Row],[rel G]]&lt;5,I8/$F$2,0)</f>
        <v>4.5701457632861299E-2</v>
      </c>
      <c r="M8">
        <f>COUNTIF(Table1[Classification],N8)</f>
        <v>13</v>
      </c>
      <c r="N8" t="s">
        <v>19</v>
      </c>
      <c r="O8">
        <f>SUMIF(Table1[Classification],N8,Table1[weight])</f>
        <v>0.33743296366755693</v>
      </c>
      <c r="P8">
        <f>AVERAGEIF(Table1[Classification],N8,Table1[rel G])</f>
        <v>3.0040051686273026</v>
      </c>
    </row>
    <row r="9" spans="1:16" x14ac:dyDescent="0.25">
      <c r="A9">
        <v>-1260.0273156713599</v>
      </c>
      <c r="B9">
        <f>Table1[[#This Row],[Energy (hartrees)]]*$C$2</f>
        <v>-790679.74085693504</v>
      </c>
      <c r="C9" s="4">
        <f>Table1[[#This Row],[Energy (kcal)]]-MIN(Table1[Energy (kcal)])</f>
        <v>0.40466601960361004</v>
      </c>
      <c r="D9">
        <v>-1260.0273156713599</v>
      </c>
      <c r="E9">
        <v>4</v>
      </c>
      <c r="F9" t="s">
        <v>16</v>
      </c>
      <c r="H9" s="10">
        <f>Table1[[#This Row],[Rel E]]</f>
        <v>0.40466601960361004</v>
      </c>
      <c r="I9" s="10">
        <f>IF(Table1[[#This Row],[rel G]]&lt;5,EXP(-H9/(D$2*E$2)),0)</f>
        <v>0.50492830765436969</v>
      </c>
      <c r="J9" s="10">
        <f>IF(Table1[[#This Row],[rel G]]&lt;5,I9/$F$2,0)</f>
        <v>0.1122618771305435</v>
      </c>
      <c r="M9">
        <f>COUNTIF(Table1[Classification],N9)</f>
        <v>10</v>
      </c>
      <c r="N9" t="s">
        <v>17</v>
      </c>
      <c r="O9">
        <f>SUMIF(Table1[Classification],N9,Table1[weight])</f>
        <v>4.1665009100275249E-2</v>
      </c>
      <c r="P9">
        <f>AVERAGEIF(Table1[Classification],N9,Table1[rel G])</f>
        <v>4.2440885706106197</v>
      </c>
    </row>
    <row r="10" spans="1:16" x14ac:dyDescent="0.25">
      <c r="A10">
        <v>-1260.0186917204201</v>
      </c>
      <c r="B10">
        <f>Table1[[#This Row],[Energy (hartrees)]]*$C$2</f>
        <v>-790674.32924148079</v>
      </c>
      <c r="C10" s="4">
        <f>Table1[[#This Row],[Energy (kcal)]]-MIN(Table1[Energy (kcal)])</f>
        <v>5.8162814738461748</v>
      </c>
      <c r="D10">
        <v>-1260.0186917204201</v>
      </c>
      <c r="E10">
        <v>5</v>
      </c>
      <c r="F10" t="s">
        <v>17</v>
      </c>
      <c r="H10" s="10">
        <f>Table1[[#This Row],[Rel E]]</f>
        <v>5.8162814738461748</v>
      </c>
      <c r="I10" s="10">
        <f>IF(Table1[[#This Row],[rel G]]&lt;5,EXP(-H10/(D$2*E$2)),0)</f>
        <v>0</v>
      </c>
      <c r="J10" s="10">
        <f>IF(Table1[[#This Row],[rel G]]&lt;5,I10/$F$2,0)</f>
        <v>0</v>
      </c>
      <c r="M10">
        <f>COUNTIF(Table1[Classification],N10)</f>
        <v>9</v>
      </c>
      <c r="N10" t="s">
        <v>20</v>
      </c>
      <c r="O10">
        <f>SUMIF(Table1[Classification],N10,Table1[weight])</f>
        <v>1.9863360518236551E-2</v>
      </c>
      <c r="P10">
        <f>AVERAGEIF(Table1[Classification],N10,Table1[rel G])</f>
        <v>4.38721927242457</v>
      </c>
    </row>
    <row r="11" spans="1:16" x14ac:dyDescent="0.25">
      <c r="A11">
        <v>-1260.01862546038</v>
      </c>
      <c r="B11">
        <f>Table1[[#This Row],[Energy (hartrees)]]*$C$2</f>
        <v>-790674.28766264301</v>
      </c>
      <c r="C11" s="4">
        <f>Table1[[#This Row],[Energy (kcal)]]-MIN(Table1[Energy (kcal)])</f>
        <v>5.8578603116329759</v>
      </c>
      <c r="D11">
        <v>-1260.01862546038</v>
      </c>
      <c r="E11">
        <v>8</v>
      </c>
      <c r="F11" t="s">
        <v>17</v>
      </c>
      <c r="H11" s="10">
        <f>Table1[[#This Row],[Rel E]]</f>
        <v>5.8578603116329759</v>
      </c>
      <c r="I11" s="10">
        <f>IF(Table1[[#This Row],[rel G]]&lt;5,EXP(-H11/(D$2*E$2)),0)</f>
        <v>0</v>
      </c>
      <c r="J11" s="10">
        <f>IF(Table1[[#This Row],[rel G]]&lt;5,I11/$F$2,0)</f>
        <v>0</v>
      </c>
      <c r="M11">
        <f>COUNTIF(Table1[Classification],N11)</f>
        <v>2</v>
      </c>
      <c r="N11" t="s">
        <v>18</v>
      </c>
      <c r="O11">
        <f>SUMIF(Table1[Classification],N11,Table1[weight])</f>
        <v>7.4297001483256294E-4</v>
      </c>
      <c r="P11">
        <f>AVERAGEIF(Table1[Classification],N11,Table1[rel G])</f>
        <v>4.1824741738382727</v>
      </c>
    </row>
    <row r="12" spans="1:16" x14ac:dyDescent="0.25">
      <c r="A12">
        <v>-1260.0227025721599</v>
      </c>
      <c r="B12">
        <f>Table1[[#This Row],[Energy (hartrees)]]*$C$2</f>
        <v>-790676.84609105601</v>
      </c>
      <c r="C12" s="4">
        <f>Table1[[#This Row],[Energy (kcal)]]-MIN(Table1[Energy (kcal)])</f>
        <v>3.2994318986311555</v>
      </c>
      <c r="D12">
        <v>-1260.0227025721599</v>
      </c>
      <c r="E12">
        <v>14</v>
      </c>
      <c r="F12" t="s">
        <v>16</v>
      </c>
      <c r="H12" s="10">
        <f>Table1[[#This Row],[Rel E]]</f>
        <v>3.2994318986311555</v>
      </c>
      <c r="I12" s="10">
        <f>IF(Table1[[#This Row],[rel G]]&lt;5,EXP(-H12/(D$2*E$2)),0)</f>
        <v>3.8044569678607333E-3</v>
      </c>
      <c r="J12" s="10">
        <f>IF(Table1[[#This Row],[rel G]]&lt;5,I12/$F$2,0)</f>
        <v>8.4585370675389904E-4</v>
      </c>
    </row>
    <row r="13" spans="1:16" x14ac:dyDescent="0.25">
      <c r="A13">
        <v>-1260.0257876958001</v>
      </c>
      <c r="B13">
        <f>Table1[[#This Row],[Energy (hartrees)]]*$C$2</f>
        <v>-790678.78203699156</v>
      </c>
      <c r="C13" s="4">
        <f>Table1[[#This Row],[Energy (kcal)]]-MIN(Table1[Energy (kcal)])</f>
        <v>1.3634859630838037</v>
      </c>
      <c r="D13">
        <v>-1260.0257876958001</v>
      </c>
      <c r="E13">
        <v>20</v>
      </c>
      <c r="F13" t="s">
        <v>17</v>
      </c>
      <c r="H13" s="10">
        <f>Table1[[#This Row],[Rel E]]</f>
        <v>1.3634859630838037</v>
      </c>
      <c r="I13" s="10">
        <f>IF(Table1[[#This Row],[rel G]]&lt;5,EXP(-H13/(D$2*E$2)),0)</f>
        <v>0.10001360441509027</v>
      </c>
      <c r="J13" s="10">
        <f>IF(Table1[[#This Row],[rel G]]&lt;5,I13/$F$2,0)</f>
        <v>2.2236255721901754E-2</v>
      </c>
    </row>
    <row r="14" spans="1:16" x14ac:dyDescent="0.25">
      <c r="A14">
        <v>-1260.02696242241</v>
      </c>
      <c r="B14">
        <f>Table1[[#This Row],[Energy (hartrees)]]*$C$2</f>
        <v>-790679.51918968651</v>
      </c>
      <c r="C14" s="4">
        <f>Table1[[#This Row],[Energy (kcal)]]-MIN(Table1[Energy (kcal)])</f>
        <v>0.62633326812647283</v>
      </c>
      <c r="D14">
        <v>-1260.02696242241</v>
      </c>
      <c r="E14">
        <v>21</v>
      </c>
      <c r="F14" t="s">
        <v>16</v>
      </c>
      <c r="H14" s="10">
        <f>Table1[[#This Row],[Rel E]]</f>
        <v>0.62633326812647283</v>
      </c>
      <c r="I14" s="10">
        <f>IF(Table1[[#This Row],[rel G]]&lt;5,EXP(-H14/(D$2*E$2)),0)</f>
        <v>0.34726851563925304</v>
      </c>
      <c r="J14" s="10">
        <f>IF(Table1[[#This Row],[rel G]]&lt;5,I14/$F$2,0)</f>
        <v>7.7209011344806247E-2</v>
      </c>
      <c r="O14">
        <f>SUM(O7:O13)</f>
        <v>1.0000000000000004</v>
      </c>
    </row>
    <row r="15" spans="1:16" x14ac:dyDescent="0.25">
      <c r="A15">
        <v>-1260.02215876984</v>
      </c>
      <c r="B15">
        <f>Table1[[#This Row],[Energy (hartrees)]]*$C$2</f>
        <v>-790676.50484966231</v>
      </c>
      <c r="C15" s="4">
        <f>Table1[[#This Row],[Energy (kcal)]]-MIN(Table1[Energy (kcal)])</f>
        <v>3.6406732923351228</v>
      </c>
      <c r="D15">
        <v>-1260.02215876984</v>
      </c>
      <c r="E15">
        <v>25</v>
      </c>
      <c r="F15" t="s">
        <v>16</v>
      </c>
      <c r="H15" s="10">
        <f>Table1[[#This Row],[Rel E]]</f>
        <v>3.6406732923351228</v>
      </c>
      <c r="I15" s="10">
        <f>IF(Table1[[#This Row],[rel G]]&lt;5,EXP(-H15/(D$2*E$2)),0)</f>
        <v>2.1381401556538888E-3</v>
      </c>
      <c r="J15" s="10">
        <f>IF(Table1[[#This Row],[rel G]]&lt;5,I15/$F$2,0)</f>
        <v>4.7537764035642649E-4</v>
      </c>
    </row>
    <row r="16" spans="1:16" x14ac:dyDescent="0.25">
      <c r="A16">
        <v>-1260.0212327635199</v>
      </c>
      <c r="B16">
        <f>Table1[[#This Row],[Energy (hartrees)]]*$C$2</f>
        <v>-790675.92377143644</v>
      </c>
      <c r="C16" s="4">
        <f>Table1[[#This Row],[Energy (kcal)]]-MIN(Table1[Energy (kcal)])</f>
        <v>4.221751518198289</v>
      </c>
      <c r="D16">
        <v>-1260.0212327635199</v>
      </c>
      <c r="E16">
        <v>27</v>
      </c>
      <c r="F16" t="s">
        <v>16</v>
      </c>
      <c r="H16" s="10">
        <f>Table1[[#This Row],[Rel E]]</f>
        <v>4.221751518198289</v>
      </c>
      <c r="I16" s="10">
        <f>IF(Table1[[#This Row],[rel G]]&lt;5,EXP(-H16/(D$2*E$2)),0)</f>
        <v>8.014756113994126E-4</v>
      </c>
      <c r="J16" s="10">
        <f>IF(Table1[[#This Row],[rel G]]&lt;5,I16/$F$2,0)</f>
        <v>1.781939242583272E-4</v>
      </c>
    </row>
    <row r="17" spans="1:15" x14ac:dyDescent="0.25">
      <c r="A17">
        <v>-1260.0251046471701</v>
      </c>
      <c r="B17">
        <f>Table1[[#This Row],[Energy (hartrees)]]*$C$2</f>
        <v>-790678.35341714567</v>
      </c>
      <c r="C17" s="4">
        <f>Table1[[#This Row],[Energy (kcal)]]-MIN(Table1[Energy (kcal)])</f>
        <v>1.7921058089705184</v>
      </c>
      <c r="D17">
        <v>-1260.0251046471701</v>
      </c>
      <c r="E17">
        <v>29</v>
      </c>
      <c r="F17" t="s">
        <v>16</v>
      </c>
      <c r="H17" s="10">
        <f>Table1[[#This Row],[Rel E]]</f>
        <v>1.7921058089705184</v>
      </c>
      <c r="I17" s="10">
        <f>IF(Table1[[#This Row],[rel G]]&lt;5,EXP(-H17/(D$2*E$2)),0)</f>
        <v>4.8497768855016429E-2</v>
      </c>
      <c r="J17" s="10">
        <f>IF(Table1[[#This Row],[rel G]]&lt;5,I17/$F$2,0)</f>
        <v>1.0782620989501255E-2</v>
      </c>
      <c r="O17">
        <f>SUM(O7:O9)</f>
        <v>0.9793936694669314</v>
      </c>
    </row>
    <row r="18" spans="1:15" x14ac:dyDescent="0.25">
      <c r="A18">
        <v>-1260.0241090538</v>
      </c>
      <c r="B18">
        <f>Table1[[#This Row],[Energy (hartrees)]]*$C$2</f>
        <v>-790677.72867235006</v>
      </c>
      <c r="C18" s="4">
        <f>Table1[[#This Row],[Energy (kcal)]]-MIN(Table1[Energy (kcal)])</f>
        <v>2.4168506045825779</v>
      </c>
      <c r="D18">
        <v>-1260.0241090538</v>
      </c>
      <c r="E18">
        <v>30</v>
      </c>
      <c r="F18" t="s">
        <v>17</v>
      </c>
      <c r="H18" s="10">
        <f>Table1[[#This Row],[Rel E]]</f>
        <v>2.4168506045825779</v>
      </c>
      <c r="I18" s="10">
        <f>IF(Table1[[#This Row],[rel G]]&lt;5,EXP(-H18/(D$2*E$2)),0)</f>
        <v>1.688698468519309E-2</v>
      </c>
      <c r="J18" s="10">
        <f>IF(Table1[[#This Row],[rel G]]&lt;5,I18/$F$2,0)</f>
        <v>3.7545223175171893E-3</v>
      </c>
    </row>
    <row r="19" spans="1:15" x14ac:dyDescent="0.25">
      <c r="A19">
        <v>-1260.0225642765499</v>
      </c>
      <c r="B19">
        <f>Table1[[#This Row],[Energy (hartrees)]]*$C$2</f>
        <v>-790676.75930917787</v>
      </c>
      <c r="C19" s="4">
        <f>Table1[[#This Row],[Energy (kcal)]]-MIN(Table1[Energy (kcal)])</f>
        <v>3.3862137767719105</v>
      </c>
      <c r="D19">
        <v>-1260.0225642765499</v>
      </c>
      <c r="E19">
        <v>32</v>
      </c>
      <c r="F19" t="s">
        <v>16</v>
      </c>
      <c r="H19" s="10">
        <f>Table1[[#This Row],[Rel E]]</f>
        <v>3.3862137767719105</v>
      </c>
      <c r="I19" s="10">
        <f>IF(Table1[[#This Row],[rel G]]&lt;5,EXP(-H19/(D$2*E$2)),0)</f>
        <v>3.2858623980424246E-3</v>
      </c>
      <c r="J19" s="10">
        <f>IF(Table1[[#This Row],[rel G]]&lt;5,I19/$F$2,0)</f>
        <v>7.3055337798452974E-4</v>
      </c>
    </row>
    <row r="20" spans="1:15" x14ac:dyDescent="0.25">
      <c r="A20">
        <v>-1260.0204961941799</v>
      </c>
      <c r="B20">
        <f>Table1[[#This Row],[Energy (hartrees)]]*$C$2</f>
        <v>-790675.4615668098</v>
      </c>
      <c r="C20" s="4">
        <f>Table1[[#This Row],[Energy (kcal)]]-MIN(Table1[Energy (kcal)])</f>
        <v>4.6839561448432505</v>
      </c>
      <c r="D20">
        <v>-1260.0204961941799</v>
      </c>
      <c r="E20">
        <v>35</v>
      </c>
      <c r="F20" t="s">
        <v>17</v>
      </c>
      <c r="H20" s="10">
        <f>Table1[[#This Row],[Rel E]]</f>
        <v>4.6839561448432505</v>
      </c>
      <c r="I20" s="10">
        <f>IF(Table1[[#This Row],[rel G]]&lt;5,EXP(-H20/(D$2*E$2)),0)</f>
        <v>3.6721709517546232E-4</v>
      </c>
      <c r="J20" s="10">
        <f>IF(Table1[[#This Row],[rel G]]&lt;5,I20/$F$2,0)</f>
        <v>8.1644225118472793E-5</v>
      </c>
    </row>
    <row r="21" spans="1:15" x14ac:dyDescent="0.25">
      <c r="A21">
        <v>-1260.0236963728501</v>
      </c>
      <c r="B21">
        <f>Table1[[#This Row],[Energy (hartrees)]]*$C$2</f>
        <v>-790677.46971092711</v>
      </c>
      <c r="C21" s="4">
        <f>Table1[[#This Row],[Energy (kcal)]]-MIN(Table1[Energy (kcal)])</f>
        <v>2.6758120275335386</v>
      </c>
      <c r="D21">
        <v>-1260.0236963728501</v>
      </c>
      <c r="E21">
        <v>36</v>
      </c>
      <c r="F21" t="s">
        <v>16</v>
      </c>
      <c r="H21" s="10">
        <f>Table1[[#This Row],[Rel E]]</f>
        <v>2.6758120275335386</v>
      </c>
      <c r="I21" s="10">
        <f>IF(Table1[[#This Row],[rel G]]&lt;5,EXP(-H21/(D$2*E$2)),0)</f>
        <v>1.0905293012311867E-2</v>
      </c>
      <c r="J21" s="10">
        <f>IF(Table1[[#This Row],[rel G]]&lt;5,I21/$F$2,0)</f>
        <v>2.4245989889296209E-3</v>
      </c>
    </row>
    <row r="22" spans="1:15" x14ac:dyDescent="0.25">
      <c r="A22">
        <v>-1260.02122279788</v>
      </c>
      <c r="B22">
        <f>Table1[[#This Row],[Energy (hartrees)]]*$C$2</f>
        <v>-790675.91751789767</v>
      </c>
      <c r="C22" s="4">
        <f>Table1[[#This Row],[Energy (kcal)]]-MIN(Table1[Energy (kcal)])</f>
        <v>4.2280050569679588</v>
      </c>
      <c r="D22">
        <v>-1260.02122279788</v>
      </c>
      <c r="E22">
        <v>40</v>
      </c>
      <c r="F22" t="s">
        <v>16</v>
      </c>
      <c r="H22" s="10">
        <f>Table1[[#This Row],[Rel E]]</f>
        <v>4.2280050569679588</v>
      </c>
      <c r="I22" s="10">
        <f>IF(Table1[[#This Row],[rel G]]&lt;5,EXP(-H22/(D$2*E$2)),0)</f>
        <v>7.9305653494779374E-4</v>
      </c>
      <c r="J22" s="10">
        <f>IF(Table1[[#This Row],[rel G]]&lt;5,I22/$F$2,0)</f>
        <v>1.7632209154101546E-4</v>
      </c>
    </row>
    <row r="23" spans="1:15" x14ac:dyDescent="0.25">
      <c r="A23">
        <v>-1260.01783885637</v>
      </c>
      <c r="B23">
        <f>Table1[[#This Row],[Energy (hartrees)]]*$C$2</f>
        <v>-790673.79406076076</v>
      </c>
      <c r="C23" s="4">
        <f>Table1[[#This Row],[Energy (kcal)]]-MIN(Table1[Energy (kcal)])</f>
        <v>6.3514621938811615</v>
      </c>
      <c r="D23">
        <v>-1260.01783885637</v>
      </c>
      <c r="E23">
        <v>42</v>
      </c>
      <c r="F23" t="s">
        <v>17</v>
      </c>
      <c r="H23" s="10">
        <f>Table1[[#This Row],[Rel E]]</f>
        <v>6.3514621938811615</v>
      </c>
      <c r="I23" s="10">
        <f>IF(Table1[[#This Row],[rel G]]&lt;5,EXP(-H23/(D$2*E$2)),0)</f>
        <v>0</v>
      </c>
      <c r="J23" s="10">
        <f>IF(Table1[[#This Row],[rel G]]&lt;5,I23/$F$2,0)</f>
        <v>0</v>
      </c>
    </row>
    <row r="24" spans="1:15" x14ac:dyDescent="0.25">
      <c r="A24">
        <v>-1260.0240059497401</v>
      </c>
      <c r="B24">
        <f>Table1[[#This Row],[Energy (hartrees)]]*$C$2</f>
        <v>-790677.66397352132</v>
      </c>
      <c r="C24" s="4">
        <f>Table1[[#This Row],[Energy (kcal)]]-MIN(Table1[Energy (kcal)])</f>
        <v>2.4815494333161041</v>
      </c>
      <c r="D24">
        <v>-1260.0240059497401</v>
      </c>
      <c r="E24">
        <v>43</v>
      </c>
      <c r="F24" t="s">
        <v>20</v>
      </c>
      <c r="H24" s="10">
        <f>Table1[[#This Row],[Rel E]]</f>
        <v>2.4815494333161041</v>
      </c>
      <c r="I24" s="10">
        <f>IF(Table1[[#This Row],[rel G]]&lt;5,EXP(-H24/(D$2*E$2)),0)</f>
        <v>1.5139232950055296E-2</v>
      </c>
      <c r="J24" s="10">
        <f>IF(Table1[[#This Row],[rel G]]&lt;5,I24/$F$2,0)</f>
        <v>3.3659406365728149E-3</v>
      </c>
    </row>
    <row r="25" spans="1:15" x14ac:dyDescent="0.25">
      <c r="A25">
        <v>-1260.02692995848</v>
      </c>
      <c r="B25">
        <f>Table1[[#This Row],[Energy (hartrees)]]*$C$2</f>
        <v>-790679.49881824572</v>
      </c>
      <c r="C25" s="4">
        <f>Table1[[#This Row],[Energy (kcal)]]-MIN(Table1[Energy (kcal)])</f>
        <v>0.64670470892451704</v>
      </c>
      <c r="D25">
        <v>-1260.02692995848</v>
      </c>
      <c r="E25">
        <v>44</v>
      </c>
      <c r="F25" t="s">
        <v>16</v>
      </c>
      <c r="H25" s="10">
        <f>Table1[[#This Row],[Rel E]]</f>
        <v>0.64670470892451704</v>
      </c>
      <c r="I25" s="10">
        <f>IF(Table1[[#This Row],[rel G]]&lt;5,EXP(-H25/(D$2*E$2)),0)</f>
        <v>0.3355255438237516</v>
      </c>
      <c r="J25" s="10">
        <f>IF(Table1[[#This Row],[rel G]]&lt;5,I25/$F$2,0)</f>
        <v>7.4598169292350663E-2</v>
      </c>
    </row>
    <row r="26" spans="1:15" x14ac:dyDescent="0.25">
      <c r="A26">
        <v>-1260.0194042185699</v>
      </c>
      <c r="B26">
        <f>Table1[[#This Row],[Energy (hartrees)]]*$C$2</f>
        <v>-790674.77634119475</v>
      </c>
      <c r="C26" s="4">
        <f>Table1[[#This Row],[Energy (kcal)]]-MIN(Table1[Energy (kcal)])</f>
        <v>5.3691817598883063</v>
      </c>
      <c r="D26">
        <v>-1260.0194042185699</v>
      </c>
      <c r="E26">
        <v>47</v>
      </c>
      <c r="F26" t="s">
        <v>17</v>
      </c>
      <c r="H26" s="10">
        <f>Table1[[#This Row],[Rel E]]</f>
        <v>5.3691817598883063</v>
      </c>
      <c r="I26" s="10">
        <f>IF(Table1[[#This Row],[rel G]]&lt;5,EXP(-H26/(D$2*E$2)),0)</f>
        <v>0</v>
      </c>
      <c r="J26" s="10">
        <f>IF(Table1[[#This Row],[rel G]]&lt;5,I26/$F$2,0)</f>
        <v>0</v>
      </c>
    </row>
    <row r="27" spans="1:15" x14ac:dyDescent="0.25">
      <c r="A27">
        <v>-1260.0174871930401</v>
      </c>
      <c r="B27">
        <f>Table1[[#This Row],[Energy (hartrees)]]*$C$2</f>
        <v>-790673.57338850456</v>
      </c>
      <c r="C27" s="4">
        <f>Table1[[#This Row],[Energy (kcal)]]-MIN(Table1[Energy (kcal)])</f>
        <v>6.5721344500780106</v>
      </c>
      <c r="D27">
        <v>-1260.0174871930401</v>
      </c>
      <c r="E27">
        <v>51</v>
      </c>
      <c r="F27" t="s">
        <v>97</v>
      </c>
      <c r="H27" s="10">
        <f>Table1[[#This Row],[Rel E]]</f>
        <v>6.5721344500780106</v>
      </c>
      <c r="I27" s="10">
        <f>IF(Table1[[#This Row],[rel G]]&lt;5,EXP(-H27/(D$2*E$2)),0)</f>
        <v>0</v>
      </c>
      <c r="J27" s="10">
        <f>IF(Table1[[#This Row],[rel G]]&lt;5,I27/$F$2,0)</f>
        <v>0</v>
      </c>
    </row>
    <row r="28" spans="1:15" x14ac:dyDescent="0.25">
      <c r="A28">
        <v>-1260.02676881358</v>
      </c>
      <c r="B28">
        <f>Table1[[#This Row],[Energy (hartrees)]]*$C$2</f>
        <v>-790679.39769820962</v>
      </c>
      <c r="C28" s="4">
        <f>Table1[[#This Row],[Energy (kcal)]]-MIN(Table1[Energy (kcal)])</f>
        <v>0.74782474501989782</v>
      </c>
      <c r="D28">
        <v>-1260.02676881358</v>
      </c>
      <c r="E28">
        <v>52</v>
      </c>
      <c r="F28" t="s">
        <v>16</v>
      </c>
      <c r="H28" s="10">
        <f>Table1[[#This Row],[Rel E]]</f>
        <v>0.74782474501989782</v>
      </c>
      <c r="I28" s="10">
        <f>IF(Table1[[#This Row],[rel G]]&lt;5,EXP(-H28/(D$2*E$2)),0)</f>
        <v>0.28285710856188961</v>
      </c>
      <c r="J28" s="10">
        <f>IF(Table1[[#This Row],[rel G]]&lt;5,I28/$F$2,0)</f>
        <v>6.2888274405505803E-2</v>
      </c>
    </row>
    <row r="29" spans="1:15" x14ac:dyDescent="0.25">
      <c r="A29">
        <v>-1260.02729858971</v>
      </c>
      <c r="B29">
        <f>Table1[[#This Row],[Energy (hartrees)]]*$C$2</f>
        <v>-790679.73013802886</v>
      </c>
      <c r="C29" s="4">
        <f>Table1[[#This Row],[Energy (kcal)]]-MIN(Table1[Energy (kcal)])</f>
        <v>0.41538492578547448</v>
      </c>
      <c r="D29">
        <v>-1260.02729858971</v>
      </c>
      <c r="E29">
        <v>54</v>
      </c>
      <c r="F29" t="s">
        <v>16</v>
      </c>
      <c r="H29" s="10">
        <f>Table1[[#This Row],[Rel E]]</f>
        <v>0.41538492578547448</v>
      </c>
      <c r="I29" s="10">
        <f>IF(Table1[[#This Row],[rel G]]&lt;5,EXP(-H29/(D$2*E$2)),0)</f>
        <v>0.4958710857249633</v>
      </c>
      <c r="J29" s="10">
        <f>IF(Table1[[#This Row],[rel G]]&lt;5,I29/$F$2,0)</f>
        <v>0.11024816405490606</v>
      </c>
    </row>
    <row r="30" spans="1:15" x14ac:dyDescent="0.25">
      <c r="A30">
        <v>-1260.02326540165</v>
      </c>
      <c r="B30">
        <f>Table1[[#This Row],[Energy (hartrees)]]*$C$2</f>
        <v>-790677.19927218941</v>
      </c>
      <c r="C30" s="4">
        <f>Table1[[#This Row],[Energy (kcal)]]-MIN(Table1[Energy (kcal)])</f>
        <v>2.9462507652351633</v>
      </c>
      <c r="D30">
        <v>-1260.02326540165</v>
      </c>
      <c r="E30">
        <v>55</v>
      </c>
      <c r="F30" t="s">
        <v>20</v>
      </c>
      <c r="H30" s="10">
        <f>Table1[[#This Row],[Rel E]]</f>
        <v>2.9462507652351633</v>
      </c>
      <c r="I30" s="10">
        <f>IF(Table1[[#This Row],[rel G]]&lt;5,EXP(-H30/(D$2*E$2)),0)</f>
        <v>6.9072542132910513E-3</v>
      </c>
      <c r="J30" s="10">
        <f>IF(Table1[[#This Row],[rel G]]&lt;5,I30/$F$2,0)</f>
        <v>1.5357057864394787E-3</v>
      </c>
    </row>
    <row r="31" spans="1:15" x14ac:dyDescent="0.25">
      <c r="A31">
        <v>-1260.0213253670499</v>
      </c>
      <c r="B31">
        <f>Table1[[#This Row],[Energy (hartrees)]]*$C$2</f>
        <v>-790675.98188107752</v>
      </c>
      <c r="C31" s="4">
        <f>Table1[[#This Row],[Energy (kcal)]]-MIN(Table1[Energy (kcal)])</f>
        <v>4.1636418771231547</v>
      </c>
      <c r="D31">
        <v>-1260.0213253670499</v>
      </c>
      <c r="E31">
        <v>57</v>
      </c>
      <c r="F31" t="s">
        <v>16</v>
      </c>
      <c r="H31" s="10">
        <f>Table1[[#This Row],[Rel E]]</f>
        <v>4.1636418771231547</v>
      </c>
      <c r="I31" s="10">
        <f>IF(Table1[[#This Row],[rel G]]&lt;5,EXP(-H31/(D$2*E$2)),0)</f>
        <v>8.8410985368357023E-4</v>
      </c>
      <c r="J31" s="10">
        <f>IF(Table1[[#This Row],[rel G]]&lt;5,I31/$F$2,0)</f>
        <v>1.9656618624770586E-4</v>
      </c>
    </row>
    <row r="32" spans="1:15" x14ac:dyDescent="0.25">
      <c r="A32">
        <v>-1260.02153944151</v>
      </c>
      <c r="B32">
        <f>Table1[[#This Row],[Energy (hartrees)]]*$C$2</f>
        <v>-790676.11621494195</v>
      </c>
      <c r="C32" s="4">
        <f>Table1[[#This Row],[Energy (kcal)]]-MIN(Table1[Energy (kcal)])</f>
        <v>4.0293080126866698</v>
      </c>
      <c r="D32">
        <v>-1260.02153944151</v>
      </c>
      <c r="E32">
        <v>58</v>
      </c>
      <c r="F32" t="s">
        <v>16</v>
      </c>
      <c r="H32" s="10">
        <f>Table1[[#This Row],[Rel E]]</f>
        <v>4.0293080126866698</v>
      </c>
      <c r="I32" s="10">
        <f>IF(Table1[[#This Row],[rel G]]&lt;5,EXP(-H32/(D$2*E$2)),0)</f>
        <v>1.10923298933932E-3</v>
      </c>
      <c r="J32" s="10">
        <f>IF(Table1[[#This Row],[rel G]]&lt;5,I32/$F$2,0)</f>
        <v>2.4661833307946558E-4</v>
      </c>
    </row>
    <row r="33" spans="1:17" x14ac:dyDescent="0.25">
      <c r="A33">
        <v>-1260.0242997524699</v>
      </c>
      <c r="B33">
        <f>Table1[[#This Row],[Energy (hartrees)]]*$C$2</f>
        <v>-790677.84833767242</v>
      </c>
      <c r="C33" s="4">
        <f>Table1[[#This Row],[Energy (kcal)]]-MIN(Table1[Energy (kcal)])</f>
        <v>2.2971852822229266</v>
      </c>
      <c r="D33">
        <v>-1260.0242997524699</v>
      </c>
      <c r="E33">
        <v>60</v>
      </c>
      <c r="F33" t="s">
        <v>20</v>
      </c>
      <c r="H33" s="10">
        <f>Table1[[#This Row],[Rel E]]</f>
        <v>2.2971852822229266</v>
      </c>
      <c r="I33" s="10">
        <f>IF(Table1[[#This Row],[rel G]]&lt;5,EXP(-H33/(D$2*E$2)),0)</f>
        <v>2.066860540765408E-2</v>
      </c>
      <c r="J33" s="10">
        <f>IF(Table1[[#This Row],[rel G]]&lt;5,I33/$F$2,0)</f>
        <v>4.5952987890748717E-3</v>
      </c>
    </row>
    <row r="34" spans="1:17" x14ac:dyDescent="0.25">
      <c r="A34">
        <v>-1260.0246775885801</v>
      </c>
      <c r="B34">
        <f>Table1[[#This Row],[Energy (hartrees)]]*$C$2</f>
        <v>-790678.0854336099</v>
      </c>
      <c r="C34" s="4">
        <f>Table1[[#This Row],[Energy (kcal)]]-MIN(Table1[Energy (kcal)])</f>
        <v>2.0600893447408453</v>
      </c>
      <c r="D34">
        <v>-1260.0246775885801</v>
      </c>
      <c r="E34">
        <v>65</v>
      </c>
      <c r="F34" t="s">
        <v>16</v>
      </c>
      <c r="H34" s="10">
        <f>Table1[[#This Row],[Rel E]]</f>
        <v>2.0600893447408453</v>
      </c>
      <c r="I34" s="10">
        <f>IF(Table1[[#This Row],[rel G]]&lt;5,EXP(-H34/(D$2*E$2)),0)</f>
        <v>3.0845401944327073E-2</v>
      </c>
      <c r="J34" s="10">
        <f>IF(Table1[[#This Row],[rel G]]&lt;5,I34/$F$2,0)</f>
        <v>6.8579294735968367E-3</v>
      </c>
    </row>
    <row r="35" spans="1:17" x14ac:dyDescent="0.25">
      <c r="A35">
        <v>-1260.02084369052</v>
      </c>
      <c r="B35">
        <f>Table1[[#This Row],[Energy (hartrees)]]*$C$2</f>
        <v>-790675.67962423817</v>
      </c>
      <c r="C35" s="4">
        <f>Table1[[#This Row],[Energy (kcal)]]-MIN(Table1[Energy (kcal)])</f>
        <v>4.4658987164730206</v>
      </c>
      <c r="D35">
        <v>-1260.02084369052</v>
      </c>
      <c r="E35">
        <v>69</v>
      </c>
      <c r="F35" t="s">
        <v>17</v>
      </c>
      <c r="H35" s="10">
        <f>Table1[[#This Row],[Rel E]]</f>
        <v>4.4658987164730206</v>
      </c>
      <c r="I35" s="10">
        <f>IF(Table1[[#This Row],[rel G]]&lt;5,EXP(-H35/(D$2*E$2)),0)</f>
        <v>5.3068872682680997E-4</v>
      </c>
      <c r="J35" s="10">
        <f>IF(Table1[[#This Row],[rel G]]&lt;5,I35/$F$2,0)</f>
        <v>1.1798925063709552E-4</v>
      </c>
    </row>
    <row r="36" spans="1:17" x14ac:dyDescent="0.25">
      <c r="A36">
        <v>-1260.0269176950301</v>
      </c>
      <c r="B36">
        <f>Table1[[#This Row],[Energy (hartrees)]]*$C$2</f>
        <v>-790679.49112280831</v>
      </c>
      <c r="C36" s="4">
        <f>Table1[[#This Row],[Energy (kcal)]]-MIN(Table1[Energy (kcal)])</f>
        <v>0.65440014633350074</v>
      </c>
      <c r="D36">
        <v>-1260.0269176950301</v>
      </c>
      <c r="E36">
        <v>70</v>
      </c>
      <c r="F36" t="s">
        <v>16</v>
      </c>
      <c r="H36" s="10">
        <f>Table1[[#This Row],[Rel E]]</f>
        <v>0.65440014633350074</v>
      </c>
      <c r="I36" s="10">
        <f>IF(Table1[[#This Row],[rel G]]&lt;5,EXP(-H36/(D$2*E$2)),0)</f>
        <v>0.33119363298863452</v>
      </c>
      <c r="J36" s="10">
        <f>IF(Table1[[#This Row],[rel G]]&lt;5,I36/$F$2,0)</f>
        <v>7.3635045548761172E-2</v>
      </c>
    </row>
    <row r="37" spans="1:17" x14ac:dyDescent="0.25">
      <c r="A37">
        <v>-1260.0225110067099</v>
      </c>
      <c r="B37">
        <f>Table1[[#This Row],[Energy (hartrees)]]*$C$2</f>
        <v>-790676.72588182054</v>
      </c>
      <c r="C37" s="4">
        <f>Table1[[#This Row],[Energy (kcal)]]-MIN(Table1[Energy (kcal)])</f>
        <v>3.4196411340963095</v>
      </c>
      <c r="D37">
        <v>-1260.0225110067099</v>
      </c>
      <c r="E37">
        <v>86</v>
      </c>
      <c r="F37" t="s">
        <v>18</v>
      </c>
      <c r="H37" s="10">
        <f>Table1[[#This Row],[Rel E]]</f>
        <v>3.4196411340963095</v>
      </c>
      <c r="I37" s="10">
        <f>IF(Table1[[#This Row],[rel G]]&lt;5,EXP(-H37/(D$2*E$2)),0)</f>
        <v>3.1055227965161875E-3</v>
      </c>
      <c r="J37" s="10">
        <f>IF(Table1[[#This Row],[rel G]]&lt;5,I37/$F$2,0)</f>
        <v>6.9045805775509283E-4</v>
      </c>
    </row>
    <row r="38" spans="1:17" x14ac:dyDescent="0.25">
      <c r="A38">
        <v>-1260.0190335567099</v>
      </c>
      <c r="B38">
        <f>Table1[[#This Row],[Energy (hartrees)]]*$C$2</f>
        <v>-790674.54374717106</v>
      </c>
      <c r="C38" s="4">
        <f>Table1[[#This Row],[Energy (kcal)]]-MIN(Table1[Energy (kcal)])</f>
        <v>5.6017757835797966</v>
      </c>
      <c r="D38">
        <v>-1260.0190335567099</v>
      </c>
      <c r="E38">
        <v>89</v>
      </c>
      <c r="F38" t="s">
        <v>16</v>
      </c>
      <c r="H38" s="10">
        <f>Table1[[#This Row],[Rel E]]</f>
        <v>5.6017757835797966</v>
      </c>
      <c r="I38" s="10">
        <f>IF(Table1[[#This Row],[rel G]]&lt;5,EXP(-H38/(D$2*E$2)),0)</f>
        <v>0</v>
      </c>
      <c r="J38" s="10">
        <f>IF(Table1[[#This Row],[rel G]]&lt;5,I38/$F$2,0)</f>
        <v>0</v>
      </c>
    </row>
    <row r="39" spans="1:17" x14ac:dyDescent="0.25">
      <c r="A39">
        <v>-1260.0182662239099</v>
      </c>
      <c r="B39">
        <f>Table1[[#This Row],[Energy (hartrees)]]*$C$2</f>
        <v>-790674.06223816564</v>
      </c>
      <c r="C39" s="4">
        <f>Table1[[#This Row],[Energy (kcal)]]-MIN(Table1[Energy (kcal)])</f>
        <v>6.0832847889978439</v>
      </c>
      <c r="D39">
        <v>-1260.0182662239099</v>
      </c>
      <c r="E39">
        <v>90</v>
      </c>
      <c r="F39" t="s">
        <v>16</v>
      </c>
      <c r="H39" s="10">
        <f>Table1[[#This Row],[Rel E]]</f>
        <v>6.0832847889978439</v>
      </c>
      <c r="I39" s="10">
        <f>IF(Table1[[#This Row],[rel G]]&lt;5,EXP(-H39/(D$2*E$2)),0)</f>
        <v>0</v>
      </c>
      <c r="J39" s="10">
        <f>IF(Table1[[#This Row],[rel G]]&lt;5,I39/$F$2,0)</f>
        <v>0</v>
      </c>
      <c r="Q39" s="11"/>
    </row>
    <row r="40" spans="1:17" x14ac:dyDescent="0.25">
      <c r="A40">
        <v>-1260.0279605471701</v>
      </c>
      <c r="B40">
        <f>Table1[[#This Row],[Energy (hartrees)]]*$C$2</f>
        <v>-790680.14552295464</v>
      </c>
      <c r="C40" s="4">
        <f>Table1[[#This Row],[Energy (kcal)]]-MIN(Table1[Energy (kcal)])</f>
        <v>0</v>
      </c>
      <c r="D40">
        <v>-1260.0279605471701</v>
      </c>
      <c r="E40">
        <v>92</v>
      </c>
      <c r="F40" t="s">
        <v>19</v>
      </c>
      <c r="H40" s="10">
        <f>Table1[[#This Row],[Rel E]]</f>
        <v>0</v>
      </c>
      <c r="I40" s="10">
        <f>IF(Table1[[#This Row],[rel G]]&lt;5,EXP(-H40/(D$2*E$2)),0)</f>
        <v>1</v>
      </c>
      <c r="J40" s="10">
        <f>IF(Table1[[#This Row],[rel G]]&lt;5,I40/$F$2,0)</f>
        <v>0.22233231020865696</v>
      </c>
      <c r="Q40" s="11"/>
    </row>
    <row r="41" spans="1:17" x14ac:dyDescent="0.25">
      <c r="A41">
        <v>-1260.02274295751</v>
      </c>
      <c r="B41">
        <f>Table1[[#This Row],[Energy (hartrees)]]*$C$2</f>
        <v>-790676.87143326714</v>
      </c>
      <c r="C41" s="4">
        <f>Table1[[#This Row],[Energy (kcal)]]-MIN(Table1[Energy (kcal)])</f>
        <v>3.2740896875038743</v>
      </c>
      <c r="D41">
        <v>-1260.02274295751</v>
      </c>
      <c r="E41">
        <v>93</v>
      </c>
      <c r="F41" t="s">
        <v>20</v>
      </c>
      <c r="H41" s="10">
        <f>Table1[[#This Row],[Rel E]]</f>
        <v>3.2740896875038743</v>
      </c>
      <c r="I41" s="10">
        <f>IF(Table1[[#This Row],[rel G]]&lt;5,EXP(-H41/(D$2*E$2)),0)</f>
        <v>3.9707991132196243E-3</v>
      </c>
      <c r="J41" s="10">
        <f>IF(Table1[[#This Row],[rel G]]&lt;5,I41/$F$2,0)</f>
        <v>8.8283694021660543E-4</v>
      </c>
      <c r="Q41" s="11"/>
    </row>
    <row r="42" spans="1:17" x14ac:dyDescent="0.25">
      <c r="A42">
        <v>-1260.0207356440301</v>
      </c>
      <c r="B42">
        <f>Table1[[#This Row],[Energy (hartrees)]]*$C$2</f>
        <v>-790675.61182398535</v>
      </c>
      <c r="C42" s="4">
        <f>Table1[[#This Row],[Energy (kcal)]]-MIN(Table1[Energy (kcal)])</f>
        <v>4.5336989692877978</v>
      </c>
      <c r="D42">
        <v>-1260.0207356440301</v>
      </c>
      <c r="E42">
        <v>95</v>
      </c>
      <c r="F42" t="s">
        <v>17</v>
      </c>
      <c r="H42" s="10">
        <f>Table1[[#This Row],[Rel E]]</f>
        <v>4.5336989692877978</v>
      </c>
      <c r="I42" s="10">
        <f>IF(Table1[[#This Row],[rel G]]&lt;5,EXP(-H42/(D$2*E$2)),0)</f>
        <v>4.7327888606379405E-4</v>
      </c>
      <c r="J42" s="10">
        <f>IF(Table1[[#This Row],[rel G]]&lt;5,I42/$F$2,0)</f>
        <v>1.0522518811154306E-4</v>
      </c>
      <c r="Q42" s="11"/>
    </row>
    <row r="43" spans="1:17" x14ac:dyDescent="0.25">
      <c r="A43">
        <v>-1260.02618935084</v>
      </c>
      <c r="B43">
        <f>Table1[[#This Row],[Energy (hartrees)]]*$C$2</f>
        <v>-790679.03407954564</v>
      </c>
      <c r="C43" s="4">
        <f>Table1[[#This Row],[Energy (kcal)]]-MIN(Table1[Energy (kcal)])</f>
        <v>1.1114434089977294</v>
      </c>
      <c r="D43">
        <v>-1260.02618935084</v>
      </c>
      <c r="E43">
        <v>100</v>
      </c>
      <c r="F43" t="s">
        <v>19</v>
      </c>
      <c r="H43" s="10">
        <f>Table1[[#This Row],[Rel E]]</f>
        <v>1.1114434089977294</v>
      </c>
      <c r="I43" s="10">
        <f>IF(Table1[[#This Row],[rel G]]&lt;5,EXP(-H43/(D$2*E$2)),0)</f>
        <v>0.15307340844353765</v>
      </c>
      <c r="J43" s="10">
        <f>IF(Table1[[#This Row],[rel G]]&lt;5,I43/$F$2,0)</f>
        <v>3.4033164530765062E-2</v>
      </c>
      <c r="Q43" s="11"/>
    </row>
    <row r="44" spans="1:17" x14ac:dyDescent="0.25">
      <c r="A44">
        <v>-1260.01920333824</v>
      </c>
      <c r="B44">
        <f>Table1[[#This Row],[Energy (hartrees)]]*$C$2</f>
        <v>-790674.65028677892</v>
      </c>
      <c r="C44" s="4">
        <f>Table1[[#This Row],[Energy (kcal)]]-MIN(Table1[Energy (kcal)])</f>
        <v>5.4952361757168546</v>
      </c>
      <c r="D44">
        <v>-1260.01920333824</v>
      </c>
      <c r="E44">
        <v>112</v>
      </c>
      <c r="F44" t="s">
        <v>16</v>
      </c>
      <c r="H44" s="10">
        <f>Table1[[#This Row],[Rel E]]</f>
        <v>5.4952361757168546</v>
      </c>
      <c r="I44" s="10">
        <f>IF(Table1[[#This Row],[rel G]]&lt;5,EXP(-H44/(D$2*E$2)),0)</f>
        <v>0</v>
      </c>
      <c r="J44" s="10">
        <f>IF(Table1[[#This Row],[rel G]]&lt;5,I44/$F$2,0)</f>
        <v>0</v>
      </c>
      <c r="Q44" s="11"/>
    </row>
    <row r="45" spans="1:17" x14ac:dyDescent="0.25">
      <c r="A45">
        <v>-1260.01815805195</v>
      </c>
      <c r="B45">
        <f>Table1[[#This Row],[Energy (hartrees)]]*$C$2</f>
        <v>-790673.99435917917</v>
      </c>
      <c r="C45" s="4">
        <f>Table1[[#This Row],[Energy (kcal)]]-MIN(Table1[Energy (kcal)])</f>
        <v>6.1511637754738331</v>
      </c>
      <c r="D45">
        <v>-1260.01815805195</v>
      </c>
      <c r="E45">
        <v>115</v>
      </c>
      <c r="F45" t="s">
        <v>20</v>
      </c>
      <c r="H45" s="10">
        <f>Table1[[#This Row],[Rel E]]</f>
        <v>6.1511637754738331</v>
      </c>
      <c r="I45" s="10">
        <f>IF(Table1[[#This Row],[rel G]]&lt;5,EXP(-H45/(D$2*E$2)),0)</f>
        <v>0</v>
      </c>
      <c r="J45" s="10">
        <f>IF(Table1[[#This Row],[rel G]]&lt;5,I45/$F$2,0)</f>
        <v>0</v>
      </c>
      <c r="Q45" s="11"/>
    </row>
    <row r="46" spans="1:17" x14ac:dyDescent="0.25">
      <c r="A46">
        <v>-1260.0170953448701</v>
      </c>
      <c r="B46">
        <f>Table1[[#This Row],[Energy (hartrees)]]*$C$2</f>
        <v>-790673.32749985938</v>
      </c>
      <c r="C46" s="4">
        <f>Table1[[#This Row],[Energy (kcal)]]-MIN(Table1[Energy (kcal)])</f>
        <v>6.818023095256649</v>
      </c>
      <c r="D46">
        <v>-1260.0170953448701</v>
      </c>
      <c r="E46">
        <v>117</v>
      </c>
      <c r="F46" t="s">
        <v>20</v>
      </c>
      <c r="H46" s="10">
        <f>Table1[[#This Row],[Rel E]]</f>
        <v>6.818023095256649</v>
      </c>
      <c r="I46" s="10">
        <f>IF(Table1[[#This Row],[rel G]]&lt;5,EXP(-H46/(D$2*E$2)),0)</f>
        <v>0</v>
      </c>
      <c r="J46" s="10">
        <f>IF(Table1[[#This Row],[rel G]]&lt;5,I46/$F$2,0)</f>
        <v>0</v>
      </c>
      <c r="Q46" s="11"/>
    </row>
    <row r="47" spans="1:17" x14ac:dyDescent="0.25">
      <c r="A47">
        <v>-1260.0237105568399</v>
      </c>
      <c r="B47">
        <f>Table1[[#This Row],[Energy (hartrees)]]*$C$2</f>
        <v>-790677.47861152259</v>
      </c>
      <c r="C47" s="4">
        <f>Table1[[#This Row],[Energy (kcal)]]-MIN(Table1[Energy (kcal)])</f>
        <v>2.6669114320538938</v>
      </c>
      <c r="D47">
        <v>-1260.0237105568399</v>
      </c>
      <c r="E47">
        <v>118</v>
      </c>
      <c r="F47" t="s">
        <v>19</v>
      </c>
      <c r="H47" s="10">
        <f>Table1[[#This Row],[Rel E]]</f>
        <v>2.6669114320538938</v>
      </c>
      <c r="I47" s="10">
        <f>IF(Table1[[#This Row],[rel G]]&lt;5,EXP(-H47/(D$2*E$2)),0)</f>
        <v>1.1070437304490897E-2</v>
      </c>
      <c r="J47" s="10">
        <f>IF(Table1[[#This Row],[rel G]]&lt;5,I47/$F$2,0)</f>
        <v>2.4613159009275582E-3</v>
      </c>
      <c r="Q47" s="11"/>
    </row>
    <row r="48" spans="1:17" x14ac:dyDescent="0.25">
      <c r="A48">
        <v>-1260.0247878759701</v>
      </c>
      <c r="B48">
        <f>Table1[[#This Row],[Energy (hartrees)]]*$C$2</f>
        <v>-790678.15464005002</v>
      </c>
      <c r="C48" s="4">
        <f>Table1[[#This Row],[Energy (kcal)]]-MIN(Table1[Energy (kcal)])</f>
        <v>1.9908829046180472</v>
      </c>
      <c r="D48">
        <v>-1260.0247878759701</v>
      </c>
      <c r="E48">
        <v>120</v>
      </c>
      <c r="F48" t="s">
        <v>16</v>
      </c>
      <c r="H48" s="10">
        <f>Table1[[#This Row],[Rel E]]</f>
        <v>1.9908829046180472</v>
      </c>
      <c r="I48" s="10">
        <f>IF(Table1[[#This Row],[rel G]]&lt;5,EXP(-H48/(D$2*E$2)),0)</f>
        <v>3.4669248094753448E-2</v>
      </c>
      <c r="J48" s="10">
        <f>IF(Table1[[#This Row],[rel G]]&lt;5,I48/$F$2,0)</f>
        <v>7.7080940221036127E-3</v>
      </c>
      <c r="Q48" s="11"/>
    </row>
    <row r="49" spans="1:17" x14ac:dyDescent="0.25">
      <c r="A49">
        <v>-1260.02603992749</v>
      </c>
      <c r="B49">
        <f>Table1[[#This Row],[Energy (hartrees)]]*$C$2</f>
        <v>-790678.94031489932</v>
      </c>
      <c r="C49" s="4">
        <f>Table1[[#This Row],[Energy (kcal)]]-MIN(Table1[Energy (kcal)])</f>
        <v>1.2052080553257838</v>
      </c>
      <c r="D49">
        <v>-1260.02603992749</v>
      </c>
      <c r="E49">
        <v>122</v>
      </c>
      <c r="F49" t="s">
        <v>19</v>
      </c>
      <c r="H49" s="10">
        <f>Table1[[#This Row],[Rel E]]</f>
        <v>1.2052080553257838</v>
      </c>
      <c r="I49" s="10">
        <f>IF(Table1[[#This Row],[rel G]]&lt;5,EXP(-H49/(D$2*E$2)),0)</f>
        <v>0.13065784474459827</v>
      </c>
      <c r="J49" s="10">
        <f>IF(Table1[[#This Row],[rel G]]&lt;5,I49/$F$2,0)</f>
        <v>2.9049460468950562E-2</v>
      </c>
      <c r="Q49" s="11"/>
    </row>
    <row r="50" spans="1:17" x14ac:dyDescent="0.25">
      <c r="A50">
        <v>-1260.0165306517299</v>
      </c>
      <c r="B50">
        <f>Table1[[#This Row],[Energy (hartrees)]]*$C$2</f>
        <v>-790672.97314926703</v>
      </c>
      <c r="C50" s="4">
        <f>Table1[[#This Row],[Energy (kcal)]]-MIN(Table1[Energy (kcal)])</f>
        <v>7.1723736876156181</v>
      </c>
      <c r="D50">
        <v>-1260.0165306517299</v>
      </c>
      <c r="E50">
        <v>124</v>
      </c>
      <c r="F50" t="s">
        <v>20</v>
      </c>
      <c r="H50" s="10">
        <f>Table1[[#This Row],[Rel E]]</f>
        <v>7.1723736876156181</v>
      </c>
      <c r="I50" s="10">
        <f>IF(Table1[[#This Row],[rel G]]&lt;5,EXP(-H50/(D$2*E$2)),0)</f>
        <v>0</v>
      </c>
      <c r="J50" s="10">
        <f>IF(Table1[[#This Row],[rel G]]&lt;5,I50/$F$2,0)</f>
        <v>0</v>
      </c>
      <c r="Q50" s="11"/>
    </row>
    <row r="51" spans="1:17" x14ac:dyDescent="0.25">
      <c r="A51">
        <v>-1260.0176400579101</v>
      </c>
      <c r="B51">
        <f>Table1[[#This Row],[Energy (hartrees)]]*$C$2</f>
        <v>-790673.66931273916</v>
      </c>
      <c r="C51" s="4">
        <f>Table1[[#This Row],[Energy (kcal)]]-MIN(Table1[Energy (kcal)])</f>
        <v>6.4762102154782042</v>
      </c>
      <c r="D51">
        <v>-1260.0176400579101</v>
      </c>
      <c r="E51">
        <v>125</v>
      </c>
      <c r="F51" t="s">
        <v>20</v>
      </c>
      <c r="H51" s="10">
        <f>Table1[[#This Row],[Rel E]]</f>
        <v>6.4762102154782042</v>
      </c>
      <c r="I51" s="10">
        <f>IF(Table1[[#This Row],[rel G]]&lt;5,EXP(-H51/(D$2*E$2)),0)</f>
        <v>0</v>
      </c>
      <c r="J51" s="10">
        <f>IF(Table1[[#This Row],[rel G]]&lt;5,I51/$F$2,0)</f>
        <v>0</v>
      </c>
      <c r="Q51" s="11"/>
    </row>
    <row r="52" spans="1:17" x14ac:dyDescent="0.25">
      <c r="A52">
        <v>-1260.0163469675199</v>
      </c>
      <c r="B52">
        <f>Table1[[#This Row],[Energy (hartrees)]]*$C$2</f>
        <v>-790672.85788558843</v>
      </c>
      <c r="C52" s="4">
        <f>Table1[[#This Row],[Energy (kcal)]]-MIN(Table1[Energy (kcal)])</f>
        <v>7.2876373662147671</v>
      </c>
      <c r="D52">
        <v>-1260.0163469675199</v>
      </c>
      <c r="E52">
        <v>126</v>
      </c>
      <c r="F52" t="s">
        <v>19</v>
      </c>
      <c r="H52" s="10">
        <f>Table1[[#This Row],[Rel E]]</f>
        <v>7.2876373662147671</v>
      </c>
      <c r="I52" s="10">
        <f>IF(Table1[[#This Row],[rel G]]&lt;5,EXP(-H52/(D$2*E$2)),0)</f>
        <v>0</v>
      </c>
      <c r="J52" s="10">
        <f>IF(Table1[[#This Row],[rel G]]&lt;5,I52/$F$2,0)</f>
        <v>0</v>
      </c>
      <c r="Q52" s="11"/>
    </row>
    <row r="53" spans="1:17" x14ac:dyDescent="0.25">
      <c r="A53">
        <v>-1260.0246750558499</v>
      </c>
      <c r="B53">
        <f>Table1[[#This Row],[Energy (hartrees)]]*$C$2</f>
        <v>-790678.0838442964</v>
      </c>
      <c r="C53" s="4">
        <f>Table1[[#This Row],[Energy (kcal)]]-MIN(Table1[Energy (kcal)])</f>
        <v>2.0616786582395434</v>
      </c>
      <c r="D53">
        <v>-1260.0246750558499</v>
      </c>
      <c r="E53">
        <v>129</v>
      </c>
      <c r="F53" t="s">
        <v>19</v>
      </c>
      <c r="H53" s="10">
        <f>Table1[[#This Row],[Rel E]]</f>
        <v>2.0616786582395434</v>
      </c>
      <c r="I53" s="10">
        <f>IF(Table1[[#This Row],[rel G]]&lt;5,EXP(-H53/(D$2*E$2)),0)</f>
        <v>3.0762730273113305E-2</v>
      </c>
      <c r="J53" s="10">
        <f>IF(Table1[[#This Row],[rel G]]&lt;5,I53/$F$2,0)</f>
        <v>6.8395488899470691E-3</v>
      </c>
      <c r="Q53" s="11"/>
    </row>
    <row r="54" spans="1:17" x14ac:dyDescent="0.25">
      <c r="A54">
        <v>-1260.02138597713</v>
      </c>
      <c r="B54">
        <f>Table1[[#This Row],[Energy (hartrees)]]*$C$2</f>
        <v>-790676.0199145088</v>
      </c>
      <c r="C54" s="4">
        <f>Table1[[#This Row],[Energy (kcal)]]-MIN(Table1[Energy (kcal)])</f>
        <v>4.1256084458436817</v>
      </c>
      <c r="D54">
        <v>-1260.02138597713</v>
      </c>
      <c r="E54">
        <v>144</v>
      </c>
      <c r="F54" t="s">
        <v>19</v>
      </c>
      <c r="H54" s="10">
        <f>Table1[[#This Row],[Rel E]]</f>
        <v>4.1256084458436817</v>
      </c>
      <c r="I54" s="10">
        <f>IF(Table1[[#This Row],[rel G]]&lt;5,EXP(-H54/(D$2*E$2)),0)</f>
        <v>9.4275499580042743E-4</v>
      </c>
      <c r="J54" s="10">
        <f>IF(Table1[[#This Row],[rel G]]&lt;5,I54/$F$2,0)</f>
        <v>2.0960489617706171E-4</v>
      </c>
      <c r="Q54" s="11"/>
    </row>
    <row r="55" spans="1:17" x14ac:dyDescent="0.25">
      <c r="A55">
        <v>-1260.02634463814</v>
      </c>
      <c r="B55">
        <f>Table1[[#This Row],[Energy (hartrees)]]*$C$2</f>
        <v>-790679.13152387924</v>
      </c>
      <c r="C55" s="4">
        <f>Table1[[#This Row],[Energy (kcal)]]-MIN(Table1[Energy (kcal)])</f>
        <v>1.0139990753959864</v>
      </c>
      <c r="D55">
        <v>-1260.02634463814</v>
      </c>
      <c r="E55">
        <v>155</v>
      </c>
      <c r="F55" t="s">
        <v>19</v>
      </c>
      <c r="H55" s="10">
        <f>Table1[[#This Row],[Rel E]]</f>
        <v>1.0139990753959864</v>
      </c>
      <c r="I55" s="10">
        <f>IF(Table1[[#This Row],[rel G]]&lt;5,EXP(-H55/(D$2*E$2)),0)</f>
        <v>0.18045237018331645</v>
      </c>
      <c r="J55" s="10">
        <f>IF(Table1[[#This Row],[rel G]]&lt;5,I55/$F$2,0)</f>
        <v>4.0120392345484514E-2</v>
      </c>
      <c r="Q55" s="11"/>
    </row>
    <row r="56" spans="1:17" x14ac:dyDescent="0.25">
      <c r="A56">
        <v>-1260.0219179002199</v>
      </c>
      <c r="B56">
        <f>Table1[[#This Row],[Energy (hartrees)]]*$C$2</f>
        <v>-790676.35370156704</v>
      </c>
      <c r="C56" s="4">
        <f>Table1[[#This Row],[Energy (kcal)]]-MIN(Table1[Energy (kcal)])</f>
        <v>3.7918213875964284</v>
      </c>
      <c r="D56">
        <v>-1260.0219179002199</v>
      </c>
      <c r="E56">
        <v>159</v>
      </c>
      <c r="F56" t="s">
        <v>19</v>
      </c>
      <c r="H56" s="10">
        <f>Table1[[#This Row],[Rel E]]</f>
        <v>3.7918213875964284</v>
      </c>
      <c r="I56" s="10">
        <f>IF(Table1[[#This Row],[rel G]]&lt;5,EXP(-H56/(D$2*E$2)),0)</f>
        <v>1.6564889991695034E-3</v>
      </c>
      <c r="J56" s="10">
        <f>IF(Table1[[#This Row],[rel G]]&lt;5,I56/$F$2,0)</f>
        <v>3.6829102602058171E-4</v>
      </c>
      <c r="Q56" s="11"/>
    </row>
    <row r="57" spans="1:17" x14ac:dyDescent="0.25">
      <c r="A57">
        <v>-1260.0226652932899</v>
      </c>
      <c r="B57">
        <f>Table1[[#This Row],[Energy (hartrees)]]*$C$2</f>
        <v>-790676.82269819232</v>
      </c>
      <c r="C57" s="4">
        <f>Table1[[#This Row],[Energy (kcal)]]-MIN(Table1[Energy (kcal)])</f>
        <v>3.3228247623192146</v>
      </c>
      <c r="D57">
        <v>-1260.0226652932899</v>
      </c>
      <c r="E57">
        <v>164</v>
      </c>
      <c r="F57" t="s">
        <v>19</v>
      </c>
      <c r="H57" s="10">
        <f>Table1[[#This Row],[Rel E]]</f>
        <v>3.3228247623192146</v>
      </c>
      <c r="I57" s="10">
        <f>IF(Table1[[#This Row],[rel G]]&lt;5,EXP(-H57/(D$2*E$2)),0)</f>
        <v>3.6571016413264276E-3</v>
      </c>
      <c r="J57" s="10">
        <f>IF(Table1[[#This Row],[rel G]]&lt;5,I57/$F$2,0)</f>
        <v>8.1309185658397579E-4</v>
      </c>
      <c r="Q57" s="11"/>
    </row>
    <row r="58" spans="1:17" x14ac:dyDescent="0.25">
      <c r="A58">
        <v>-1260.02007970509</v>
      </c>
      <c r="B58">
        <f>Table1[[#This Row],[Energy (hartrees)]]*$C$2</f>
        <v>-790675.20021574106</v>
      </c>
      <c r="C58" s="4">
        <f>Table1[[#This Row],[Energy (kcal)]]-MIN(Table1[Energy (kcal)])</f>
        <v>4.9453072135802358</v>
      </c>
      <c r="D58">
        <v>-1260.02007970509</v>
      </c>
      <c r="E58">
        <v>170</v>
      </c>
      <c r="F58" t="s">
        <v>18</v>
      </c>
      <c r="H58" s="10">
        <f>Table1[[#This Row],[Rel E]]</f>
        <v>4.9453072135802358</v>
      </c>
      <c r="I58" s="10">
        <f>IF(Table1[[#This Row],[rel G]]&lt;5,EXP(-H58/(D$2*E$2)),0)</f>
        <v>2.3618680086663084E-4</v>
      </c>
      <c r="J58" s="10">
        <f>IF(Table1[[#This Row],[rel G]]&lt;5,I58/$F$2,0)</f>
        <v>5.2511957077470057E-5</v>
      </c>
      <c r="Q58" s="11"/>
    </row>
    <row r="59" spans="1:17" x14ac:dyDescent="0.25">
      <c r="A59">
        <v>-1260.0251036264699</v>
      </c>
      <c r="B59">
        <f>Table1[[#This Row],[Energy (hartrees)]]*$C$2</f>
        <v>-790678.35277664615</v>
      </c>
      <c r="C59" s="4">
        <f>Table1[[#This Row],[Energy (kcal)]]-MIN(Table1[Energy (kcal)])</f>
        <v>1.7927463084924966</v>
      </c>
      <c r="D59">
        <v>-1260.0251036264699</v>
      </c>
      <c r="E59">
        <v>184</v>
      </c>
      <c r="F59" t="s">
        <v>16</v>
      </c>
      <c r="H59" s="10">
        <f>Table1[[#This Row],[Rel E]]</f>
        <v>1.7927463084924966</v>
      </c>
      <c r="I59" s="10">
        <f>IF(Table1[[#This Row],[rel G]]&lt;5,EXP(-H59/(D$2*E$2)),0)</f>
        <v>4.8445343052473194E-2</v>
      </c>
      <c r="J59" s="10">
        <f>IF(Table1[[#This Row],[rel G]]&lt;5,I59/$F$2,0)</f>
        <v>1.0770965039707274E-2</v>
      </c>
      <c r="Q59" s="11"/>
    </row>
    <row r="60" spans="1:17" x14ac:dyDescent="0.25">
      <c r="A60">
        <v>-1260.02287992233</v>
      </c>
      <c r="B60">
        <f>Table1[[#This Row],[Energy (hartrees)]]*$C$2</f>
        <v>-790676.95738006127</v>
      </c>
      <c r="C60" s="4">
        <f>Table1[[#This Row],[Energy (kcal)]]-MIN(Table1[Energy (kcal)])</f>
        <v>3.1881428933702409</v>
      </c>
      <c r="D60">
        <v>-1260.02287992233</v>
      </c>
      <c r="E60">
        <v>189</v>
      </c>
      <c r="F60" t="s">
        <v>19</v>
      </c>
      <c r="H60" s="10">
        <f>Table1[[#This Row],[Rel E]]</f>
        <v>3.1881428933702409</v>
      </c>
      <c r="I60" s="10">
        <f>IF(Table1[[#This Row],[rel G]]&lt;5,EXP(-H60/(D$2*E$2)),0)</f>
        <v>4.5910158649350987E-3</v>
      </c>
      <c r="J60" s="10">
        <f>IF(Table1[[#This Row],[rel G]]&lt;5,I60/$F$2,0)</f>
        <v>1.0207311634556158E-3</v>
      </c>
      <c r="Q60" s="11"/>
    </row>
    <row r="61" spans="1:17" x14ac:dyDescent="0.25">
      <c r="A61">
        <v>-1260.0236708897301</v>
      </c>
      <c r="B61">
        <f>Table1[[#This Row],[Energy (hartrees)]]*$C$2</f>
        <v>-790677.45372001454</v>
      </c>
      <c r="C61" s="4">
        <f>Table1[[#This Row],[Energy (kcal)]]-MIN(Table1[Energy (kcal)])</f>
        <v>2.6918029400985688</v>
      </c>
      <c r="D61">
        <v>-1260.0236708897301</v>
      </c>
      <c r="E61">
        <v>190</v>
      </c>
      <c r="F61" t="s">
        <v>16</v>
      </c>
      <c r="H61" s="10">
        <f>Table1[[#This Row],[Rel E]]</f>
        <v>2.6918029400985688</v>
      </c>
      <c r="I61" s="10">
        <f>IF(Table1[[#This Row],[rel G]]&lt;5,EXP(-H61/(D$2*E$2)),0)</f>
        <v>1.0614757311204705E-2</v>
      </c>
      <c r="J61" s="10">
        <f>IF(Table1[[#This Row],[rel G]]&lt;5,I61/$F$2,0)</f>
        <v>2.3600035153043737E-3</v>
      </c>
      <c r="Q61" s="11"/>
    </row>
    <row r="62" spans="1:17" x14ac:dyDescent="0.25">
      <c r="A62">
        <v>-1260.0191038661801</v>
      </c>
      <c r="B62">
        <f>Table1[[#This Row],[Energy (hartrees)]]*$C$2</f>
        <v>-790674.58786706661</v>
      </c>
      <c r="C62" s="4">
        <f>Table1[[#This Row],[Energy (kcal)]]-MIN(Table1[Energy (kcal)])</f>
        <v>5.5576558880275115</v>
      </c>
      <c r="D62">
        <v>-1260.0191038661801</v>
      </c>
      <c r="E62">
        <v>199</v>
      </c>
      <c r="F62" t="s">
        <v>16</v>
      </c>
      <c r="H62" s="10">
        <f>Table1[[#This Row],[Rel E]]</f>
        <v>5.5576558880275115</v>
      </c>
      <c r="I62" s="10">
        <f>IF(Table1[[#This Row],[rel G]]&lt;5,EXP(-H62/(D$2*E$2)),0)</f>
        <v>0</v>
      </c>
      <c r="J62" s="10">
        <f>IF(Table1[[#This Row],[rel G]]&lt;5,I62/$F$2,0)</f>
        <v>0</v>
      </c>
      <c r="Q62" s="11"/>
    </row>
    <row r="63" spans="1:17" x14ac:dyDescent="0.25">
      <c r="A63">
        <v>-1260.0193288984899</v>
      </c>
      <c r="B63">
        <f>Table1[[#This Row],[Energy (hartrees)]]*$C$2</f>
        <v>-790674.72907709144</v>
      </c>
      <c r="C63" s="4">
        <f>Table1[[#This Row],[Energy (kcal)]]-MIN(Table1[Energy (kcal)])</f>
        <v>5.4164458632003516</v>
      </c>
      <c r="D63">
        <v>-1260.0193288984899</v>
      </c>
      <c r="E63">
        <v>201</v>
      </c>
      <c r="F63" t="s">
        <v>16</v>
      </c>
      <c r="H63" s="10">
        <f>Table1[[#This Row],[Rel E]]</f>
        <v>5.4164458632003516</v>
      </c>
      <c r="I63" s="10">
        <f>IF(Table1[[#This Row],[rel G]]&lt;5,EXP(-H63/(D$2*E$2)),0)</f>
        <v>0</v>
      </c>
      <c r="J63" s="10">
        <f>IF(Table1[[#This Row],[rel G]]&lt;5,I63/$F$2,0)</f>
        <v>0</v>
      </c>
      <c r="Q63" s="11"/>
    </row>
    <row r="64" spans="1:17" x14ac:dyDescent="0.25">
      <c r="A64">
        <v>-1260.0208641201</v>
      </c>
      <c r="B64">
        <f>Table1[[#This Row],[Energy (hartrees)]]*$C$2</f>
        <v>-790675.69244400389</v>
      </c>
      <c r="C64" s="4">
        <f>Table1[[#This Row],[Energy (kcal)]]-MIN(Table1[Energy (kcal)])</f>
        <v>4.4530789507552981</v>
      </c>
      <c r="D64">
        <v>-1260.0208641201</v>
      </c>
      <c r="E64">
        <v>205</v>
      </c>
      <c r="F64" t="s">
        <v>19</v>
      </c>
      <c r="H64" s="10">
        <f>Table1[[#This Row],[Rel E]]</f>
        <v>4.4530789507552981</v>
      </c>
      <c r="I64" s="10">
        <f>IF(Table1[[#This Row],[rel G]]&lt;5,EXP(-H64/(D$2*E$2)),0)</f>
        <v>5.4230237355903878E-4</v>
      </c>
      <c r="J64" s="10">
        <f>IF(Table1[[#This Row],[rel G]]&lt;5,I64/$F$2,0)</f>
        <v>1.2057133954501917E-4</v>
      </c>
      <c r="Q64" s="11"/>
    </row>
    <row r="65" spans="1:17" x14ac:dyDescent="0.25">
      <c r="A65">
        <v>-1260.0192211118899</v>
      </c>
      <c r="B65">
        <f>Table1[[#This Row],[Energy (hartrees)]]*$C$2</f>
        <v>-790674.66143992206</v>
      </c>
      <c r="C65" s="4">
        <f>Table1[[#This Row],[Energy (kcal)]]-MIN(Table1[Energy (kcal)])</f>
        <v>5.4840830325847492</v>
      </c>
      <c r="D65">
        <v>-1260.0192211118899</v>
      </c>
      <c r="E65">
        <v>217</v>
      </c>
      <c r="F65" t="s">
        <v>98</v>
      </c>
      <c r="H65" s="10">
        <f>Table1[[#This Row],[Rel E]]</f>
        <v>5.4840830325847492</v>
      </c>
      <c r="I65" s="10">
        <f>IF(Table1[[#This Row],[rel G]]&lt;5,EXP(-H65/(D$2*E$2)),0)</f>
        <v>0</v>
      </c>
      <c r="J65" s="10">
        <f>IF(Table1[[#This Row],[rel G]]&lt;5,I65/$F$2,0)</f>
        <v>0</v>
      </c>
      <c r="Q65" s="11"/>
    </row>
    <row r="66" spans="1:17" x14ac:dyDescent="0.25">
      <c r="A66">
        <v>-1260.01884750002</v>
      </c>
      <c r="B66">
        <f>Table1[[#This Row],[Energy (hartrees)]]*$C$2</f>
        <v>-790674.42699473759</v>
      </c>
      <c r="C66" s="4">
        <f>Table1[[#This Row],[Energy (kcal)]]-MIN(Table1[Energy (kcal)])</f>
        <v>5.7185282170539722</v>
      </c>
      <c r="D66">
        <v>-1260.01884750002</v>
      </c>
      <c r="E66">
        <v>225</v>
      </c>
      <c r="F66" t="s">
        <v>98</v>
      </c>
      <c r="H66" s="10">
        <f>Table1[[#This Row],[Rel E]]</f>
        <v>5.7185282170539722</v>
      </c>
      <c r="I66" s="10">
        <f>IF(Table1[[#This Row],[rel G]]&lt;5,EXP(-H66/(D$2*E$2)),0)</f>
        <v>0</v>
      </c>
      <c r="J66" s="10">
        <f>IF(Table1[[#This Row],[rel G]]&lt;5,I66/$F$2,0)</f>
        <v>0</v>
      </c>
      <c r="Q66" s="11"/>
    </row>
    <row r="67" spans="1:17" x14ac:dyDescent="0.25">
      <c r="A67">
        <v>-1260.02027347803</v>
      </c>
      <c r="B67">
        <f>Table1[[#This Row],[Energy (hartrees)]]*$C$2</f>
        <v>-790675.3218101986</v>
      </c>
      <c r="C67" s="4">
        <f>Table1[[#This Row],[Energy (kcal)]]-MIN(Table1[Energy (kcal)])</f>
        <v>4.8237127560423687</v>
      </c>
      <c r="D67">
        <v>-1260.02027347803</v>
      </c>
      <c r="E67">
        <v>247</v>
      </c>
      <c r="F67" t="s">
        <v>19</v>
      </c>
      <c r="H67" s="10">
        <f>Table1[[#This Row],[Rel E]]</f>
        <v>4.8237127560423687</v>
      </c>
      <c r="I67" s="10">
        <f>IF(Table1[[#This Row],[rel G]]&lt;5,EXP(-H67/(D$2*E$2)),0)</f>
        <v>2.9002100946267024E-4</v>
      </c>
      <c r="J67" s="10">
        <f>IF(Table1[[#This Row],[rel G]]&lt;5,I67/$F$2,0)</f>
        <v>6.4481041042882236E-5</v>
      </c>
      <c r="Q67" s="11"/>
    </row>
    <row r="68" spans="1:17" x14ac:dyDescent="0.25">
      <c r="A68">
        <v>-1260.0199580107401</v>
      </c>
      <c r="B68">
        <f>Table1[[#This Row],[Energy (hartrees)]]*$C$2</f>
        <v>-790675.12385131954</v>
      </c>
      <c r="C68" s="4">
        <f>Table1[[#This Row],[Energy (kcal)]]-MIN(Table1[Energy (kcal)])</f>
        <v>5.0216716350987554</v>
      </c>
      <c r="D68">
        <v>-1260.0199580107401</v>
      </c>
      <c r="E68">
        <v>376</v>
      </c>
      <c r="F68" t="s">
        <v>16</v>
      </c>
      <c r="H68" s="10">
        <f>Table1[[#This Row],[Rel E]]</f>
        <v>5.0216716350987554</v>
      </c>
      <c r="I68" s="10">
        <f>IF(Table1[[#This Row],[rel G]]&lt;5,EXP(-H68/(D$2*E$2)),0)</f>
        <v>0</v>
      </c>
      <c r="J68" s="10">
        <f>IF(Table1[[#This Row],[rel G]]&lt;5,I68/$F$2,0)</f>
        <v>0</v>
      </c>
      <c r="Q68" s="11"/>
    </row>
    <row r="69" spans="1:17" x14ac:dyDescent="0.25">
      <c r="A69">
        <v>-1260.02498349898</v>
      </c>
      <c r="B69">
        <f>Table1[[#This Row],[Energy (hartrees)]]*$C$2</f>
        <v>-790678.27739544492</v>
      </c>
      <c r="C69" s="4">
        <f>Table1[[#This Row],[Energy (kcal)]]-MIN(Table1[Energy (kcal)])</f>
        <v>1.8681275097187608</v>
      </c>
      <c r="D69">
        <v>-1260.02498349898</v>
      </c>
      <c r="E69">
        <v>387</v>
      </c>
      <c r="F69" t="s">
        <v>20</v>
      </c>
      <c r="H69" s="10">
        <f>Table1[[#This Row],[Rel E]]</f>
        <v>1.8681275097187608</v>
      </c>
      <c r="I69" s="10">
        <f>IF(Table1[[#This Row],[rel G]]&lt;5,EXP(-H69/(D$2*E$2)),0)</f>
        <v>4.2654971547016821E-2</v>
      </c>
      <c r="J69" s="10">
        <f>IF(Table1[[#This Row],[rel G]]&lt;5,I69/$F$2,0)</f>
        <v>9.4835783659327801E-3</v>
      </c>
      <c r="Q69" s="11"/>
    </row>
    <row r="70" spans="1:17" x14ac:dyDescent="0.25">
      <c r="C70" s="4"/>
      <c r="D70" s="4"/>
      <c r="H70" s="4"/>
      <c r="I70" s="4"/>
      <c r="J70" s="4"/>
      <c r="Q70" s="11"/>
    </row>
    <row r="71" spans="1:17" x14ac:dyDescent="0.25">
      <c r="C71" s="4"/>
      <c r="D71" s="4"/>
      <c r="H71" s="4"/>
      <c r="I71" s="4"/>
      <c r="J71" s="4"/>
      <c r="Q71" s="11"/>
    </row>
    <row r="72" spans="1:17" x14ac:dyDescent="0.25">
      <c r="C72" s="4"/>
      <c r="D72" s="4"/>
      <c r="H72" s="4"/>
      <c r="I72" s="4"/>
      <c r="J72" s="4"/>
      <c r="Q72" s="11"/>
    </row>
    <row r="73" spans="1:17" x14ac:dyDescent="0.25">
      <c r="C73" s="4"/>
      <c r="D73" s="4"/>
      <c r="H73" s="4"/>
      <c r="I73" s="4"/>
      <c r="J73" s="4"/>
      <c r="Q73" s="11"/>
    </row>
    <row r="74" spans="1:17" x14ac:dyDescent="0.25">
      <c r="Q74" s="11"/>
    </row>
    <row r="75" spans="1:17" x14ac:dyDescent="0.25">
      <c r="Q75" s="11"/>
    </row>
    <row r="76" spans="1:17" x14ac:dyDescent="0.25">
      <c r="Q76" s="11"/>
    </row>
    <row r="77" spans="1:17" x14ac:dyDescent="0.25">
      <c r="Q77" s="11"/>
    </row>
    <row r="78" spans="1:17" x14ac:dyDescent="0.25">
      <c r="Q78" s="11"/>
    </row>
    <row r="79" spans="1:17" x14ac:dyDescent="0.25">
      <c r="Q79" s="11"/>
    </row>
    <row r="80" spans="1:17" x14ac:dyDescent="0.25">
      <c r="Q80" s="11"/>
    </row>
    <row r="81" spans="17:17" x14ac:dyDescent="0.25">
      <c r="Q81" s="11"/>
    </row>
    <row r="82" spans="17:17" x14ac:dyDescent="0.25">
      <c r="Q82" s="11"/>
    </row>
    <row r="83" spans="17:17" x14ac:dyDescent="0.25">
      <c r="Q83" s="12"/>
    </row>
  </sheetData>
  <sortState xmlns:xlrd2="http://schemas.microsoft.com/office/spreadsheetml/2017/richdata2" ref="N7:P11">
    <sortCondition descending="1" ref="O7:O11"/>
  </sortState>
  <phoneticPr fontId="4" type="noConversion"/>
  <conditionalFormatting sqref="H7:H69">
    <cfRule type="cellIs" dxfId="30" priority="3" operator="lessThan">
      <formula>5</formula>
    </cfRule>
    <cfRule type="cellIs" dxfId="29" priority="4" operator="greaterThan">
      <formula>5</formula>
    </cfRule>
  </conditionalFormatting>
  <conditionalFormatting sqref="X76:X79">
    <cfRule type="cellIs" dxfId="28" priority="2" operator="greaterThan">
      <formula>5</formula>
    </cfRule>
  </conditionalFormatting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EDE23-14B5-4F34-8B41-10E18CB07CA4}">
  <dimension ref="A1:AF73"/>
  <sheetViews>
    <sheetView tabSelected="1" topLeftCell="A58" workbookViewId="0">
      <selection activeCell="U73" sqref="U73"/>
    </sheetView>
  </sheetViews>
  <sheetFormatPr defaultRowHeight="15" x14ac:dyDescent="0.25"/>
  <cols>
    <col min="1" max="1" width="10.140625" customWidth="1"/>
    <col min="11" max="11" width="13.42578125" customWidth="1"/>
  </cols>
  <sheetData>
    <row r="1" spans="1:31" x14ac:dyDescent="0.25">
      <c r="A1" t="s">
        <v>44</v>
      </c>
      <c r="B1" t="s">
        <v>35</v>
      </c>
      <c r="C1" t="s">
        <v>36</v>
      </c>
      <c r="D1" t="s">
        <v>37</v>
      </c>
      <c r="E1" t="s">
        <v>38</v>
      </c>
      <c r="F1" t="s">
        <v>39</v>
      </c>
      <c r="G1" t="s">
        <v>40</v>
      </c>
      <c r="H1" t="s">
        <v>41</v>
      </c>
      <c r="I1" t="s">
        <v>42</v>
      </c>
      <c r="J1" t="s">
        <v>14</v>
      </c>
      <c r="K1" t="s">
        <v>43</v>
      </c>
      <c r="L1" t="s">
        <v>46</v>
      </c>
      <c r="M1" t="s">
        <v>47</v>
      </c>
      <c r="N1" t="s">
        <v>48</v>
      </c>
      <c r="O1" t="s">
        <v>49</v>
      </c>
      <c r="P1" t="s">
        <v>50</v>
      </c>
      <c r="Q1" t="s">
        <v>51</v>
      </c>
      <c r="R1" t="s">
        <v>52</v>
      </c>
      <c r="S1" t="s">
        <v>53</v>
      </c>
      <c r="T1" t="s">
        <v>54</v>
      </c>
    </row>
    <row r="2" spans="1:31" x14ac:dyDescent="0.25">
      <c r="A2" t="s">
        <v>23</v>
      </c>
      <c r="B2">
        <v>8.0730000000000004</v>
      </c>
      <c r="C2">
        <v>8.7690000000000001</v>
      </c>
      <c r="D2">
        <v>2.2879999999999998</v>
      </c>
      <c r="E2">
        <v>10.023999999999999</v>
      </c>
      <c r="F2">
        <v>0.184</v>
      </c>
      <c r="G2">
        <v>11.009</v>
      </c>
      <c r="H2">
        <v>-11.462999999999999</v>
      </c>
      <c r="I2">
        <v>2.266</v>
      </c>
      <c r="J2" s="9">
        <f>chloroform!J7</f>
        <v>1.5369372396989205E-2</v>
      </c>
      <c r="K2" t="str">
        <f>chloroform!F7</f>
        <v>6H4</v>
      </c>
      <c r="M2">
        <f>0.9155*Table2[[#This Row],[J1,2]]*Table2[[#This Row],[weight]]</f>
        <v>0.11359244164689832</v>
      </c>
      <c r="N2">
        <f>0.9155*Table2[[#This Row],[J2,3]]*Table2[[#This Row],[weight]]</f>
        <v>0.12338562130579106</v>
      </c>
      <c r="O2">
        <f>0.9155*Table2[[#This Row],[J34]]*Table2[[#This Row],[weight]]</f>
        <v>3.2193671062566993E-2</v>
      </c>
      <c r="P2">
        <f>0.9155*Table2[[#This Row],[J45]]*Table2[[#This Row],[weight]]</f>
        <v>0.14104430014474281</v>
      </c>
      <c r="Q2">
        <f>0.9155*Table2[[#This Row],[J56]]*Table2[[#This Row],[weight]]</f>
        <v>2.5890015190176254E-3</v>
      </c>
      <c r="R2">
        <f>0.9155*Table2[[#This Row],[J67]]*Table2[[#This Row],[weight]]</f>
        <v>0.15490390066774476</v>
      </c>
      <c r="S2">
        <f>0.9155*Table2[[#This Row],[J67'']]*Table2[[#This Row],[weight]]</f>
        <v>3.188411653311924E-2</v>
      </c>
      <c r="T2">
        <f>0.9155*Table2[[#This Row],[J77'']]*Table2[[#This Row],[weight]]</f>
        <v>-0.16129198050271218</v>
      </c>
      <c r="Y2">
        <v>7.7371451697936386</v>
      </c>
      <c r="Z2">
        <v>7.6223406092934836</v>
      </c>
      <c r="AA2">
        <v>4.4114338850180577</v>
      </c>
      <c r="AB2">
        <v>3.5152098552688251</v>
      </c>
      <c r="AC2">
        <v>10.009112483138958</v>
      </c>
      <c r="AD2">
        <v>1.6169491914418774</v>
      </c>
      <c r="AE2">
        <v>3.0819887538197386</v>
      </c>
    </row>
    <row r="3" spans="1:31" x14ac:dyDescent="0.25">
      <c r="A3" t="s">
        <v>24</v>
      </c>
      <c r="B3">
        <v>8.1999999999999993</v>
      </c>
      <c r="C3">
        <v>2.1909999999999998</v>
      </c>
      <c r="D3">
        <v>2.234</v>
      </c>
      <c r="E3">
        <v>2.3290000000000002</v>
      </c>
      <c r="F3">
        <v>11.145</v>
      </c>
      <c r="G3">
        <v>0.33100000000000002</v>
      </c>
      <c r="H3">
        <v>-13.835000000000001</v>
      </c>
      <c r="I3">
        <v>8.16</v>
      </c>
      <c r="J3">
        <f>chloroform!J8</f>
        <v>4.5701457632861299E-2</v>
      </c>
      <c r="K3" t="str">
        <f>chloroform!F8</f>
        <v>4H6</v>
      </c>
      <c r="M3">
        <f>0.9155*Table2[[#This Row],[J1,2]]*Table2[[#This Row],[weight]]</f>
        <v>0.34308541259565301</v>
      </c>
      <c r="N3">
        <f>0.9155*Table2[[#This Row],[J2,3]]*Table2[[#This Row],[weight]]</f>
        <v>9.1670748658179979E-2</v>
      </c>
      <c r="O3">
        <f>0.9155*Table2[[#This Row],[J34]]*Table2[[#This Row],[weight]]</f>
        <v>9.3469855090084028E-2</v>
      </c>
      <c r="P3">
        <f>0.9155*Table2[[#This Row],[J45]]*Table2[[#This Row],[weight]]</f>
        <v>9.7444625114058048E-2</v>
      </c>
      <c r="Q3">
        <f>0.9155*Table2[[#This Row],[J56]]*Table2[[#This Row],[weight]]</f>
        <v>0.46630328333884796</v>
      </c>
      <c r="R3">
        <f>0.9155*Table2[[#This Row],[J67]]*Table2[[#This Row],[weight]]</f>
        <v>1.3848935557214778E-2</v>
      </c>
      <c r="S3">
        <f>0.9155*Table2[[#This Row],[J67'']]*Table2[[#This Row],[weight]]</f>
        <v>0.3414118252171377</v>
      </c>
      <c r="T3">
        <f>0.9155*Table2[[#This Row],[J77'']]*Table2[[#This Row],[weight]]</f>
        <v>-0.57885203454400735</v>
      </c>
      <c r="Y3">
        <v>6.95</v>
      </c>
      <c r="Z3">
        <v>6.15</v>
      </c>
      <c r="AA3">
        <v>5.73</v>
      </c>
      <c r="AB3">
        <v>4.0999999999999996</v>
      </c>
      <c r="AC3">
        <v>9.66</v>
      </c>
      <c r="AD3">
        <v>2.23</v>
      </c>
      <c r="AE3">
        <v>5.15</v>
      </c>
    </row>
    <row r="4" spans="1:31" x14ac:dyDescent="0.25">
      <c r="A4" t="s">
        <v>25</v>
      </c>
      <c r="B4">
        <v>8.2710000000000008</v>
      </c>
      <c r="C4">
        <v>2.0950000000000002</v>
      </c>
      <c r="D4">
        <v>1.903</v>
      </c>
      <c r="E4">
        <v>1.7310000000000001</v>
      </c>
      <c r="F4">
        <v>11.685</v>
      </c>
      <c r="G4">
        <v>2.0059999999999998</v>
      </c>
      <c r="H4">
        <v>-13.829000000000001</v>
      </c>
      <c r="I4">
        <v>2.0499999999999998</v>
      </c>
      <c r="J4">
        <f>chloroform!J9</f>
        <v>0.1122618771305435</v>
      </c>
      <c r="K4" t="str">
        <f>chloroform!F9</f>
        <v>4H6</v>
      </c>
      <c r="M4">
        <f>0.9155*Table2[[#This Row],[J1,2]]*Table2[[#This Row],[weight]]</f>
        <v>0.85005821595112707</v>
      </c>
      <c r="N4">
        <f>0.9155*Table2[[#This Row],[J2,3]]*Table2[[#This Row],[weight]]</f>
        <v>0.21531519313476136</v>
      </c>
      <c r="O4">
        <f>0.9155*Table2[[#This Row],[J34]]*Table2[[#This Row],[weight]]</f>
        <v>0.19558224942026292</v>
      </c>
      <c r="P4">
        <f>0.9155*Table2[[#This Row],[J45]]*Table2[[#This Row],[weight]]</f>
        <v>0.17790482067602478</v>
      </c>
      <c r="Q4">
        <f>0.9155*Table2[[#This Row],[J56]]*Table2[[#This Row],[weight]]</f>
        <v>1.200934621374552</v>
      </c>
      <c r="R4">
        <f>0.9155*Table2[[#This Row],[J67]]*Table2[[#This Row],[weight]]</f>
        <v>0.20616815151710319</v>
      </c>
      <c r="S4">
        <f>0.9155*Table2[[#This Row],[J67'']]*Table2[[#This Row],[weight]]</f>
        <v>0.21069028445167576</v>
      </c>
      <c r="T4">
        <f>0.9155*Table2[[#This Row],[J77'']]*Table2[[#This Row],[weight]]</f>
        <v>-1.4212858261864509</v>
      </c>
    </row>
    <row r="5" spans="1:31" x14ac:dyDescent="0.25">
      <c r="A5" t="s">
        <v>99</v>
      </c>
      <c r="B5">
        <v>7.8109999999999999</v>
      </c>
      <c r="C5">
        <v>8.8350000000000009</v>
      </c>
      <c r="D5">
        <v>1.446</v>
      </c>
      <c r="E5">
        <v>11.021000000000001</v>
      </c>
      <c r="F5">
        <v>0.13700000000000001</v>
      </c>
      <c r="G5">
        <v>12.536</v>
      </c>
      <c r="H5">
        <v>-10.863</v>
      </c>
      <c r="I5">
        <v>5.415</v>
      </c>
      <c r="J5">
        <f>chloroform!J10</f>
        <v>0</v>
      </c>
      <c r="K5" t="str">
        <f>chloroform!F10</f>
        <v>6H4</v>
      </c>
      <c r="M5">
        <f>0.9155*Table2[[#This Row],[J1,2]]*Table2[[#This Row],[weight]]</f>
        <v>0</v>
      </c>
      <c r="N5">
        <f>0.9155*Table2[[#This Row],[J2,3]]*Table2[[#This Row],[weight]]</f>
        <v>0</v>
      </c>
      <c r="O5">
        <f>0.9155*Table2[[#This Row],[J34]]*Table2[[#This Row],[weight]]</f>
        <v>0</v>
      </c>
      <c r="P5">
        <f>0.9155*Table2[[#This Row],[J45]]*Table2[[#This Row],[weight]]</f>
        <v>0</v>
      </c>
      <c r="Q5">
        <f>0.9155*Table2[[#This Row],[J56]]*Table2[[#This Row],[weight]]</f>
        <v>0</v>
      </c>
      <c r="R5">
        <f>0.9155*Table2[[#This Row],[J67]]*Table2[[#This Row],[weight]]</f>
        <v>0</v>
      </c>
      <c r="S5">
        <f>0.9155*Table2[[#This Row],[J67'']]*Table2[[#This Row],[weight]]</f>
        <v>0</v>
      </c>
      <c r="T5">
        <f>0.9155*Table2[[#This Row],[J77'']]*Table2[[#This Row],[weight]]</f>
        <v>0</v>
      </c>
    </row>
    <row r="6" spans="1:31" x14ac:dyDescent="0.25">
      <c r="A6" t="s">
        <v>26</v>
      </c>
      <c r="B6">
        <v>7.7110000000000003</v>
      </c>
      <c r="C6">
        <v>8.3320000000000007</v>
      </c>
      <c r="D6">
        <v>1.171</v>
      </c>
      <c r="E6">
        <v>12.009</v>
      </c>
      <c r="F6">
        <v>1.3560000000000001</v>
      </c>
      <c r="G6">
        <v>2.3730000000000002</v>
      </c>
      <c r="H6">
        <v>-12.988</v>
      </c>
      <c r="I6">
        <v>11.94</v>
      </c>
      <c r="J6">
        <f>chloroform!J11</f>
        <v>0</v>
      </c>
      <c r="K6" t="str">
        <f>chloroform!F11</f>
        <v>6H4</v>
      </c>
      <c r="M6">
        <f>0.9155*Table2[[#This Row],[J1,2]]*Table2[[#This Row],[weight]]</f>
        <v>0</v>
      </c>
      <c r="N6">
        <f>0.9155*Table2[[#This Row],[J2,3]]*Table2[[#This Row],[weight]]</f>
        <v>0</v>
      </c>
      <c r="O6">
        <f>0.9155*Table2[[#This Row],[J34]]*Table2[[#This Row],[weight]]</f>
        <v>0</v>
      </c>
      <c r="P6">
        <f>0.9155*Table2[[#This Row],[J45]]*Table2[[#This Row],[weight]]</f>
        <v>0</v>
      </c>
      <c r="Q6">
        <f>0.9155*Table2[[#This Row],[J56]]*Table2[[#This Row],[weight]]</f>
        <v>0</v>
      </c>
      <c r="R6">
        <f>0.9155*Table2[[#This Row],[J67]]*Table2[[#This Row],[weight]]</f>
        <v>0</v>
      </c>
      <c r="S6">
        <f>0.9155*Table2[[#This Row],[J67'']]*Table2[[#This Row],[weight]]</f>
        <v>0</v>
      </c>
      <c r="T6">
        <f>0.9155*Table2[[#This Row],[J77'']]*Table2[[#This Row],[weight]]</f>
        <v>0</v>
      </c>
      <c r="Z6" t="s">
        <v>56</v>
      </c>
      <c r="AA6" t="s">
        <v>57</v>
      </c>
      <c r="AB6" t="s">
        <v>58</v>
      </c>
    </row>
    <row r="7" spans="1:31" x14ac:dyDescent="0.25">
      <c r="A7" t="s">
        <v>64</v>
      </c>
      <c r="B7">
        <v>8.61</v>
      </c>
      <c r="C7">
        <v>2.1640000000000001</v>
      </c>
      <c r="D7">
        <v>3.1480000000000001</v>
      </c>
      <c r="E7">
        <v>0.66200000000000003</v>
      </c>
      <c r="F7">
        <v>11.196999999999999</v>
      </c>
      <c r="G7">
        <v>0.88700000000000001</v>
      </c>
      <c r="H7">
        <v>-14.297000000000001</v>
      </c>
      <c r="I7">
        <v>3.5390000000000001</v>
      </c>
      <c r="J7">
        <f>chloroform!J12</f>
        <v>8.4585370675389904E-4</v>
      </c>
      <c r="K7" t="str">
        <f>chloroform!F12</f>
        <v>4H6</v>
      </c>
      <c r="M7">
        <f>0.9155*Table2[[#This Row],[J1,2]]*Table2[[#This Row],[weight]]</f>
        <v>6.6674037800708045E-3</v>
      </c>
      <c r="N7">
        <f>0.9155*Table2[[#This Row],[J2,3]]*Table2[[#This Row],[weight]]</f>
        <v>1.6757563043058332E-3</v>
      </c>
      <c r="O7">
        <f>0.9155*Table2[[#This Row],[J34]]*Table2[[#This Row],[weight]]</f>
        <v>2.4377453077424967E-3</v>
      </c>
      <c r="P7">
        <f>0.9155*Table2[[#This Row],[J45]]*Table2[[#This Row],[weight]]</f>
        <v>5.1263894336897489E-4</v>
      </c>
      <c r="Q7">
        <f>0.9155*Table2[[#This Row],[J56]]*Table2[[#This Row],[weight]]</f>
        <v>8.670722430366179E-3</v>
      </c>
      <c r="R7">
        <f>0.9155*Table2[[#This Row],[J67]]*Table2[[#This Row],[weight]]</f>
        <v>6.8687423378894358E-4</v>
      </c>
      <c r="S7">
        <f>0.9155*Table2[[#This Row],[J67'']]*Table2[[#This Row],[weight]]</f>
        <v>2.7405275235389756E-3</v>
      </c>
      <c r="T7">
        <f>0.9155*Table2[[#This Row],[J77'']]*Table2[[#This Row],[weight]]</f>
        <v>-1.1071297542819084E-2</v>
      </c>
      <c r="Z7" s="6">
        <v>6.95</v>
      </c>
      <c r="AA7" s="6">
        <f>AB7/0.9155</f>
        <v>8.4512781756347781</v>
      </c>
      <c r="AB7" s="6">
        <v>7.7371451697936386</v>
      </c>
    </row>
    <row r="8" spans="1:31" x14ac:dyDescent="0.25">
      <c r="A8" t="s">
        <v>27</v>
      </c>
      <c r="B8">
        <v>7.8579999999999997</v>
      </c>
      <c r="C8">
        <v>8.4529999999999994</v>
      </c>
      <c r="D8">
        <v>2.1970000000000001</v>
      </c>
      <c r="E8">
        <v>10.705</v>
      </c>
      <c r="F8">
        <v>0.66800000000000004</v>
      </c>
      <c r="G8">
        <v>4.4610000000000003</v>
      </c>
      <c r="H8">
        <v>-12.907999999999999</v>
      </c>
      <c r="I8">
        <v>13.257</v>
      </c>
      <c r="J8">
        <f>chloroform!J13</f>
        <v>2.2236255721901754E-2</v>
      </c>
      <c r="K8" t="str">
        <f>chloroform!F13</f>
        <v>6H4</v>
      </c>
      <c r="M8">
        <f>0.9155*Table2[[#This Row],[J1,2]]*Table2[[#This Row],[weight]]</f>
        <v>0.15996760142710548</v>
      </c>
      <c r="N8">
        <f>0.9155*Table2[[#This Row],[J2,3]]*Table2[[#This Row],[weight]]</f>
        <v>0.1720801902345791</v>
      </c>
      <c r="O8">
        <f>0.9155*Table2[[#This Row],[J34]]*Table2[[#This Row],[weight]]</f>
        <v>4.4724970773142116E-2</v>
      </c>
      <c r="P8">
        <f>0.9155*Table2[[#This Row],[J45]]*Table2[[#This Row],[weight]]</f>
        <v>0.21792481207395828</v>
      </c>
      <c r="Q8">
        <f>0.9155*Table2[[#This Row],[J56]]*Table2[[#This Row],[weight]]</f>
        <v>1.3598671131751906E-2</v>
      </c>
      <c r="R8">
        <f>0.9155*Table2[[#This Row],[J67]]*Table2[[#This Row],[weight]]</f>
        <v>9.0813880117882106E-2</v>
      </c>
      <c r="S8">
        <f>0.9155*Table2[[#This Row],[J67'']]*Table2[[#This Row],[weight]]</f>
        <v>0.26987662154735781</v>
      </c>
      <c r="T8">
        <f>0.9155*Table2[[#This Row],[J77'']]*Table2[[#This Row],[weight]]</f>
        <v>-0.26277192659978083</v>
      </c>
      <c r="Z8" s="6">
        <v>6.15</v>
      </c>
      <c r="AA8" s="6">
        <f t="shared" ref="AA8:AA13" si="0">AB8/0.9155</f>
        <v>8.3258772357110686</v>
      </c>
      <c r="AB8" s="6">
        <v>7.6223406092934836</v>
      </c>
    </row>
    <row r="9" spans="1:31" x14ac:dyDescent="0.25">
      <c r="A9" t="s">
        <v>28</v>
      </c>
      <c r="B9">
        <v>8.3949999999999996</v>
      </c>
      <c r="C9">
        <v>2.0760000000000001</v>
      </c>
      <c r="D9">
        <v>2.3719999999999999</v>
      </c>
      <c r="E9">
        <v>0.72299999999999998</v>
      </c>
      <c r="F9">
        <v>12.163</v>
      </c>
      <c r="G9">
        <v>0.91500000000000004</v>
      </c>
      <c r="H9">
        <v>-13.738</v>
      </c>
      <c r="I9">
        <v>3.391</v>
      </c>
      <c r="J9">
        <f>chloroform!J14</f>
        <v>7.7209011344806247E-2</v>
      </c>
      <c r="K9" t="str">
        <f>chloroform!F14</f>
        <v>4H6</v>
      </c>
      <c r="M9">
        <f>0.9155*Table2[[#This Row],[J1,2]]*Table2[[#This Row],[weight]]</f>
        <v>0.59339931479439811</v>
      </c>
      <c r="N9">
        <f>0.9155*Table2[[#This Row],[J2,3]]*Table2[[#This Row],[weight]]</f>
        <v>0.14674174836368917</v>
      </c>
      <c r="O9">
        <f>0.9155*Table2[[#This Row],[J34]]*Table2[[#This Row],[weight]]</f>
        <v>0.16766446392999551</v>
      </c>
      <c r="P9">
        <f>0.9155*Table2[[#This Row],[J45]]*Table2[[#This Row],[weight]]</f>
        <v>5.1105146467700993E-2</v>
      </c>
      <c r="Q9">
        <f>0.9155*Table2[[#This Row],[J56]]*Table2[[#This Row],[weight]]</f>
        <v>0.85973982916548719</v>
      </c>
      <c r="R9">
        <f>0.9155*Table2[[#This Row],[J67]]*Table2[[#This Row],[weight]]</f>
        <v>6.4676637645845664E-2</v>
      </c>
      <c r="S9">
        <f>0.9155*Table2[[#This Row],[J67'']]*Table2[[#This Row],[weight]]</f>
        <v>0.23969232596400289</v>
      </c>
      <c r="T9">
        <f>0.9155*Table2[[#This Row],[J77'']]*Table2[[#This Row],[weight]]</f>
        <v>-0.97106846773620503</v>
      </c>
      <c r="Z9" s="6">
        <v>5.73</v>
      </c>
      <c r="AA9" s="6">
        <f t="shared" si="0"/>
        <v>4.8186061005112588</v>
      </c>
      <c r="AB9" s="6">
        <v>4.4114338850180577</v>
      </c>
    </row>
    <row r="10" spans="1:31" x14ac:dyDescent="0.25">
      <c r="A10" t="s">
        <v>65</v>
      </c>
      <c r="B10">
        <v>8.4320000000000004</v>
      </c>
      <c r="C10">
        <v>2.2480000000000002</v>
      </c>
      <c r="D10">
        <v>2.879</v>
      </c>
      <c r="E10">
        <v>0.60099999999999998</v>
      </c>
      <c r="F10">
        <v>12.643000000000001</v>
      </c>
      <c r="G10">
        <v>0.252</v>
      </c>
      <c r="H10">
        <v>-12.977</v>
      </c>
      <c r="I10">
        <v>7.7229999999999999</v>
      </c>
      <c r="J10">
        <f>chloroform!J15</f>
        <v>4.7537764035642649E-4</v>
      </c>
      <c r="K10" t="str">
        <f>chloroform!F15</f>
        <v>4H6</v>
      </c>
      <c r="M10">
        <f>0.9155*Table2[[#This Row],[J1,2]]*Table2[[#This Row],[weight]]</f>
        <v>3.6696757932208729E-3</v>
      </c>
      <c r="N10">
        <f>0.9155*Table2[[#This Row],[J2,3]]*Table2[[#This Row],[weight]]</f>
        <v>9.7834810046970155E-4</v>
      </c>
      <c r="O10">
        <f>0.9155*Table2[[#This Row],[J34]]*Table2[[#This Row],[weight]]</f>
        <v>1.2529644934396219E-3</v>
      </c>
      <c r="P10">
        <f>0.9155*Table2[[#This Row],[J45]]*Table2[[#This Row],[weight]]</f>
        <v>2.6156014607753135E-4</v>
      </c>
      <c r="Q10">
        <f>0.9155*Table2[[#This Row],[J56]]*Table2[[#This Row],[weight]]</f>
        <v>5.5023376486825785E-3</v>
      </c>
      <c r="R10">
        <f>0.9155*Table2[[#This Row],[J67]]*Table2[[#This Row],[weight]]</f>
        <v>1.0967247389606973E-4</v>
      </c>
      <c r="S10">
        <f>0.9155*Table2[[#This Row],[J67'']]*Table2[[#This Row],[weight]]</f>
        <v>3.3611131583307402E-3</v>
      </c>
      <c r="T10">
        <f>0.9155*Table2[[#This Row],[J77'']]*Table2[[#This Row],[weight]]</f>
        <v>-5.6476971974178452E-3</v>
      </c>
      <c r="Z10" s="6">
        <v>4.0999999999999996</v>
      </c>
      <c r="AA10" s="6">
        <f t="shared" si="0"/>
        <v>3.8396612291303387</v>
      </c>
      <c r="AB10" s="6">
        <v>3.5152098552688251</v>
      </c>
    </row>
    <row r="11" spans="1:31" x14ac:dyDescent="0.25">
      <c r="A11" t="s">
        <v>29</v>
      </c>
      <c r="B11">
        <v>8.4260000000000002</v>
      </c>
      <c r="C11">
        <v>2.1669999999999998</v>
      </c>
      <c r="D11">
        <v>3.0470000000000002</v>
      </c>
      <c r="E11">
        <v>0.56399999999999995</v>
      </c>
      <c r="F11">
        <v>11.539</v>
      </c>
      <c r="G11">
        <v>10.08</v>
      </c>
      <c r="H11">
        <v>-11.672000000000001</v>
      </c>
      <c r="I11">
        <v>1.752</v>
      </c>
      <c r="J11">
        <f>chloroform!J16</f>
        <v>1.781939242583272E-4</v>
      </c>
      <c r="K11" t="str">
        <f>chloroform!F16</f>
        <v>4H6</v>
      </c>
      <c r="M11">
        <f>0.9155*Table2[[#This Row],[J1,2]]*Table2[[#This Row],[weight]]</f>
        <v>1.3745884663105088E-3</v>
      </c>
      <c r="N11">
        <f>0.9155*Table2[[#This Row],[J2,3]]*Table2[[#This Row],[weight]]</f>
        <v>3.5351687710596632E-4</v>
      </c>
      <c r="O11">
        <f>0.9155*Table2[[#This Row],[J34]]*Table2[[#This Row],[weight]]</f>
        <v>4.970770302454451E-4</v>
      </c>
      <c r="P11">
        <f>0.9155*Table2[[#This Row],[J45]]*Table2[[#This Row],[weight]]</f>
        <v>9.2009007239393173E-5</v>
      </c>
      <c r="Q11">
        <f>0.9155*Table2[[#This Row],[J56]]*Table2[[#This Row],[weight]]</f>
        <v>1.8824325080414148E-3</v>
      </c>
      <c r="R11">
        <f>0.9155*Table2[[#This Row],[J67]]*Table2[[#This Row],[weight]]</f>
        <v>1.6444162995976654E-3</v>
      </c>
      <c r="S11">
        <f>0.9155*Table2[[#This Row],[J67'']]*Table2[[#This Row],[weight]]</f>
        <v>2.8581521397768944E-4</v>
      </c>
      <c r="T11">
        <f>0.9155*Table2[[#This Row],[J77'']]*Table2[[#This Row],[weight]]</f>
        <v>-1.9041296675499954E-3</v>
      </c>
      <c r="Z11" s="6">
        <v>9.66</v>
      </c>
      <c r="AA11" s="6">
        <f t="shared" si="0"/>
        <v>10.932946458917487</v>
      </c>
      <c r="AB11" s="6">
        <v>10.009112483138958</v>
      </c>
    </row>
    <row r="12" spans="1:31" x14ac:dyDescent="0.25">
      <c r="A12" t="s">
        <v>66</v>
      </c>
      <c r="B12">
        <v>8.109</v>
      </c>
      <c r="C12">
        <v>2.2879999999999998</v>
      </c>
      <c r="D12">
        <v>2.1059999999999999</v>
      </c>
      <c r="E12">
        <v>3.1859999999999999</v>
      </c>
      <c r="F12">
        <v>9.2240000000000002</v>
      </c>
      <c r="G12">
        <v>12.378</v>
      </c>
      <c r="H12">
        <v>-12.343999999999999</v>
      </c>
      <c r="I12">
        <v>5.3860000000000001</v>
      </c>
      <c r="J12">
        <f>chloroform!J17</f>
        <v>1.0782620989501255E-2</v>
      </c>
      <c r="K12" t="str">
        <f>chloroform!F17</f>
        <v>4H6</v>
      </c>
      <c r="M12">
        <f>0.9155*Table2[[#This Row],[J1,2]]*Table2[[#This Row],[weight]]</f>
        <v>8.0047908484339028E-2</v>
      </c>
      <c r="N12">
        <f>0.9155*Table2[[#This Row],[J2,3]]*Table2[[#This Row],[weight]]</f>
        <v>2.2585968012352655E-2</v>
      </c>
      <c r="O12">
        <f>0.9155*Table2[[#This Row],[J34]]*Table2[[#This Row],[weight]]</f>
        <v>2.0789356920460966E-2</v>
      </c>
      <c r="P12">
        <f>0.9155*Table2[[#This Row],[J45]]*Table2[[#This Row],[weight]]</f>
        <v>3.1450565597620432E-2</v>
      </c>
      <c r="Q12">
        <f>0.9155*Table2[[#This Row],[J56]]*Table2[[#This Row],[weight]]</f>
        <v>9.1054619294554606E-2</v>
      </c>
      <c r="R12">
        <f>0.9155*Table2[[#This Row],[J67]]*Table2[[#This Row],[weight]]</f>
        <v>0.1221892972276666</v>
      </c>
      <c r="S12">
        <f>0.9155*Table2[[#This Row],[J67'']]*Table2[[#This Row],[weight]]</f>
        <v>5.3167842532574915E-2</v>
      </c>
      <c r="T12">
        <f>0.9155*Table2[[#This Row],[J77'']]*Table2[[#This Row],[weight]]</f>
        <v>-0.12185366658412639</v>
      </c>
      <c r="Z12" s="6">
        <v>2.23</v>
      </c>
      <c r="AA12" s="6">
        <f t="shared" si="0"/>
        <v>1.7661924537868678</v>
      </c>
      <c r="AB12" s="6">
        <v>1.6169491914418774</v>
      </c>
    </row>
    <row r="13" spans="1:31" x14ac:dyDescent="0.25">
      <c r="A13" t="s">
        <v>30</v>
      </c>
      <c r="B13">
        <v>8.2129999999999992</v>
      </c>
      <c r="C13">
        <v>8.7919999999999998</v>
      </c>
      <c r="D13">
        <v>2.431</v>
      </c>
      <c r="E13">
        <v>7.827</v>
      </c>
      <c r="F13">
        <v>0.32200000000000001</v>
      </c>
      <c r="G13">
        <v>2.6230000000000002</v>
      </c>
      <c r="H13">
        <v>-14.734</v>
      </c>
      <c r="I13">
        <v>13.638999999999999</v>
      </c>
      <c r="J13">
        <f>chloroform!J18</f>
        <v>3.7545223175171893E-3</v>
      </c>
      <c r="K13" t="str">
        <f>chloroform!F18</f>
        <v>6H4</v>
      </c>
      <c r="M13">
        <f>0.9155*Table2[[#This Row],[J1,2]]*Table2[[#This Row],[weight]]</f>
        <v>2.8230258937195218E-2</v>
      </c>
      <c r="N13">
        <f>0.9155*Table2[[#This Row],[J2,3]]*Table2[[#This Row],[weight]]</f>
        <v>3.0220435477391987E-2</v>
      </c>
      <c r="O13">
        <f>0.9155*Table2[[#This Row],[J34]]*Table2[[#This Row],[weight]]</f>
        <v>8.3559916566810655E-3</v>
      </c>
      <c r="P13">
        <f>0.9155*Table2[[#This Row],[J45]]*Table2[[#This Row],[weight]]</f>
        <v>2.6903474577064046E-2</v>
      </c>
      <c r="Q13">
        <f>0.9155*Table2[[#This Row],[J56]]*Table2[[#This Row],[weight]]</f>
        <v>1.10679938850321E-3</v>
      </c>
      <c r="R13">
        <f>0.9155*Table2[[#This Row],[J67]]*Table2[[#This Row],[weight]]</f>
        <v>9.0159465715649676E-3</v>
      </c>
      <c r="S13">
        <f>0.9155*Table2[[#This Row],[J67'']]*Table2[[#This Row],[weight]]</f>
        <v>4.6880859813028808E-2</v>
      </c>
      <c r="T13">
        <f>0.9155*Table2[[#This Row],[J77'']]*Table2[[#This Row],[weight]]</f>
        <v>-5.0644665186976065E-2</v>
      </c>
      <c r="Z13" s="6">
        <v>5.15</v>
      </c>
      <c r="AA13" s="6">
        <f t="shared" si="0"/>
        <v>3.3664541276021174</v>
      </c>
      <c r="AB13" s="6">
        <v>3.0819887538197386</v>
      </c>
    </row>
    <row r="14" spans="1:31" x14ac:dyDescent="0.25">
      <c r="A14" t="s">
        <v>67</v>
      </c>
      <c r="B14">
        <v>8.19</v>
      </c>
      <c r="C14">
        <v>2.17</v>
      </c>
      <c r="D14">
        <v>2.6949999999999998</v>
      </c>
      <c r="E14">
        <v>0.52</v>
      </c>
      <c r="F14">
        <v>12.477</v>
      </c>
      <c r="G14">
        <v>1.218</v>
      </c>
      <c r="H14">
        <v>-14</v>
      </c>
      <c r="I14">
        <v>10.734999999999999</v>
      </c>
      <c r="J14">
        <f>chloroform!J19</f>
        <v>7.3055337798452974E-4</v>
      </c>
      <c r="K14" t="str">
        <f>chloroform!F19</f>
        <v>4H6</v>
      </c>
      <c r="M14">
        <f>0.9155*Table2[[#This Row],[J1,2]]*Table2[[#This Row],[weight]]</f>
        <v>5.477649047692215E-3</v>
      </c>
      <c r="N14">
        <f>0.9155*Table2[[#This Row],[J2,3]]*Table2[[#This Row],[weight]]</f>
        <v>1.4513429100722962E-3</v>
      </c>
      <c r="O14">
        <f>0.9155*Table2[[#This Row],[J34]]*Table2[[#This Row],[weight]]</f>
        <v>1.8024742592833356E-3</v>
      </c>
      <c r="P14">
        <f>0.9155*Table2[[#This Row],[J45]]*Table2[[#This Row],[weight]]</f>
        <v>3.4778724112331523E-4</v>
      </c>
      <c r="Q14">
        <f>0.9155*Table2[[#This Row],[J56]]*Table2[[#This Row],[weight]]</f>
        <v>8.3448873221069302E-3</v>
      </c>
      <c r="R14">
        <f>0.9155*Table2[[#This Row],[J67]]*Table2[[#This Row],[weight]]</f>
        <v>8.1462473016961142E-4</v>
      </c>
      <c r="S14">
        <f>0.9155*Table2[[#This Row],[J67'']]*Table2[[#This Row],[weight]]</f>
        <v>7.1798000643438246E-3</v>
      </c>
      <c r="T14">
        <f>0.9155*Table2[[#This Row],[J77'']]*Table2[[#This Row],[weight]]</f>
        <v>-9.3635026456277172E-3</v>
      </c>
      <c r="Z14" t="s">
        <v>55</v>
      </c>
      <c r="AA14" s="6">
        <f>SQRT(SUMXMY2($Z$7:$Z$13,AA$7:AA$13)/7)</f>
        <v>1.357689162159023</v>
      </c>
      <c r="AB14" s="6">
        <f>SQRT(SUMXMY2($Z7:$Z13,AB7:AB13)/7)</f>
        <v>1.1736610507992684</v>
      </c>
    </row>
    <row r="15" spans="1:31" x14ac:dyDescent="0.25">
      <c r="A15" t="s">
        <v>68</v>
      </c>
      <c r="B15">
        <v>8.1219999999999999</v>
      </c>
      <c r="C15">
        <v>7.7930000000000001</v>
      </c>
      <c r="D15">
        <v>2.4849999999999999</v>
      </c>
      <c r="E15">
        <v>11.776</v>
      </c>
      <c r="F15">
        <v>2.2210000000000001</v>
      </c>
      <c r="G15">
        <v>4.4770000000000003</v>
      </c>
      <c r="H15">
        <v>-13.035</v>
      </c>
      <c r="I15">
        <v>1</v>
      </c>
      <c r="J15">
        <f>chloroform!J20</f>
        <v>8.1644225118472793E-5</v>
      </c>
      <c r="K15" t="str">
        <f>chloroform!F20</f>
        <v>6H4</v>
      </c>
      <c r="M15">
        <f>0.9155*Table2[[#This Row],[J1,2]]*Table2[[#This Row],[weight]]</f>
        <v>6.0708122991540202E-4</v>
      </c>
      <c r="N15">
        <f>0.9155*Table2[[#This Row],[J2,3]]*Table2[[#This Row],[weight]]</f>
        <v>5.8249003013183069E-4</v>
      </c>
      <c r="O15">
        <f>0.9155*Table2[[#This Row],[J34]]*Table2[[#This Row],[weight]]</f>
        <v>1.8574204091846515E-4</v>
      </c>
      <c r="P15">
        <f>0.9155*Table2[[#This Row],[J45]]*Table2[[#This Row],[weight]]</f>
        <v>8.8020051261804657E-4</v>
      </c>
      <c r="Q15">
        <f>0.9155*Table2[[#This Row],[J56]]*Table2[[#This Row],[weight]]</f>
        <v>1.6600928486113127E-4</v>
      </c>
      <c r="R15">
        <f>0.9155*Table2[[#This Row],[J67]]*Table2[[#This Row],[weight]]</f>
        <v>3.3463465480562118E-4</v>
      </c>
      <c r="S15">
        <f>0.9155*Table2[[#This Row],[J67'']]*Table2[[#This Row],[weight]]</f>
        <v>7.4745288095961844E-5</v>
      </c>
      <c r="T15">
        <f>0.9155*Table2[[#This Row],[J77'']]*Table2[[#This Row],[weight]]</f>
        <v>-9.7430483033086261E-4</v>
      </c>
      <c r="AA15" s="6">
        <f>SQRT(SUMXMY2($Z$7:$Z$11,AA$7:AA$11)/5)</f>
        <v>1.3789188307102573</v>
      </c>
      <c r="AB15" s="6">
        <f>SQRT(SUMXMY2($Z$7:$Z$11,AB$7:AB$11)/5)</f>
        <v>0.99898548807686827</v>
      </c>
    </row>
    <row r="16" spans="1:31" x14ac:dyDescent="0.25">
      <c r="A16" t="s">
        <v>69</v>
      </c>
      <c r="B16">
        <v>8.2620000000000005</v>
      </c>
      <c r="C16">
        <v>2.0939999999999999</v>
      </c>
      <c r="D16">
        <v>2.2189999999999999</v>
      </c>
      <c r="E16">
        <v>0.77900000000000003</v>
      </c>
      <c r="F16">
        <v>12.337999999999999</v>
      </c>
      <c r="G16">
        <v>7.7750000000000004</v>
      </c>
      <c r="H16">
        <v>-12.617000000000001</v>
      </c>
      <c r="I16">
        <v>0.47599999999999998</v>
      </c>
      <c r="J16">
        <f>chloroform!J21</f>
        <v>2.4245989889296209E-3</v>
      </c>
      <c r="K16" t="str">
        <f>chloroform!F21</f>
        <v>4H6</v>
      </c>
      <c r="M16">
        <f>0.9155*Table2[[#This Row],[J1,2]]*Table2[[#This Row],[weight]]</f>
        <v>1.8339329733004194E-2</v>
      </c>
      <c r="N16">
        <f>0.9155*Table2[[#This Row],[J2,3]]*Table2[[#This Row],[weight]]</f>
        <v>4.6480944639204517E-3</v>
      </c>
      <c r="O16">
        <f>0.9155*Table2[[#This Row],[J34]]*Table2[[#This Row],[weight]]</f>
        <v>4.9255595107160861E-3</v>
      </c>
      <c r="P16">
        <f>0.9155*Table2[[#This Row],[J45]]*Table2[[#This Row],[weight]]</f>
        <v>1.7291621716303881E-3</v>
      </c>
      <c r="Q16">
        <f>0.9155*Table2[[#This Row],[J56]]*Table2[[#This Row],[weight]]</f>
        <v>2.7386909978916206E-2</v>
      </c>
      <c r="R16">
        <f>0.9155*Table2[[#This Row],[J67]]*Table2[[#This Row],[weight]]</f>
        <v>1.7258325910688405E-2</v>
      </c>
      <c r="S16">
        <f>0.9155*Table2[[#This Row],[J67'']]*Table2[[#This Row],[weight]]</f>
        <v>1.0565868981977724E-3</v>
      </c>
      <c r="T16">
        <f>0.9155*Table2[[#This Row],[J77'']]*Table2[[#This Row],[weight]]</f>
        <v>-2.8006211963364062E-2</v>
      </c>
    </row>
    <row r="17" spans="1:20" x14ac:dyDescent="0.25">
      <c r="A17" t="s">
        <v>31</v>
      </c>
      <c r="B17">
        <v>8.3149999999999995</v>
      </c>
      <c r="C17">
        <v>2.1819999999999999</v>
      </c>
      <c r="D17">
        <v>3.198</v>
      </c>
      <c r="E17">
        <v>0.43099999999999999</v>
      </c>
      <c r="F17">
        <v>12.646000000000001</v>
      </c>
      <c r="G17">
        <v>0.254</v>
      </c>
      <c r="H17">
        <v>-12.965</v>
      </c>
      <c r="I17">
        <v>7.6749999999999998</v>
      </c>
      <c r="J17">
        <f>chloroform!J22</f>
        <v>1.7632209154101546E-4</v>
      </c>
      <c r="K17" t="str">
        <f>chloroform!F22</f>
        <v>4H6</v>
      </c>
      <c r="M17">
        <f>0.9155*Table2[[#This Row],[J1,2]]*Table2[[#This Row],[weight]]</f>
        <v>1.342231204010224E-3</v>
      </c>
      <c r="N17">
        <f>0.9155*Table2[[#This Row],[J2,3]]*Table2[[#This Row],[weight]]</f>
        <v>3.5222471282625483E-4</v>
      </c>
      <c r="O17">
        <f>0.9155*Table2[[#This Row],[J34]]*Table2[[#This Row],[weight]]</f>
        <v>5.1623035362894731E-4</v>
      </c>
      <c r="P17">
        <f>0.9155*Table2[[#This Row],[J45]]*Table2[[#This Row],[weight]]</f>
        <v>6.9573259041299647E-5</v>
      </c>
      <c r="Q17">
        <f>0.9155*Table2[[#This Row],[J56]]*Table2[[#This Row],[weight]]</f>
        <v>2.0413536747941425E-3</v>
      </c>
      <c r="R17">
        <f>0.9155*Table2[[#This Row],[J67]]*Table2[[#This Row],[weight]]</f>
        <v>4.1001410200673114E-5</v>
      </c>
      <c r="S17">
        <f>0.9155*Table2[[#This Row],[J67'']]*Table2[[#This Row],[weight]]</f>
        <v>1.2389205641345124E-3</v>
      </c>
      <c r="T17">
        <f>0.9155*Table2[[#This Row],[J77'']]*Table2[[#This Row],[weight]]</f>
        <v>-2.0928475718571924E-3</v>
      </c>
    </row>
    <row r="18" spans="1:20" x14ac:dyDescent="0.25">
      <c r="A18" t="s">
        <v>100</v>
      </c>
      <c r="B18">
        <v>8.0470000000000006</v>
      </c>
      <c r="C18">
        <v>9.18</v>
      </c>
      <c r="D18">
        <v>1.784</v>
      </c>
      <c r="E18">
        <v>8.9339999999999993</v>
      </c>
      <c r="F18">
        <v>0.42</v>
      </c>
      <c r="G18">
        <v>2.069</v>
      </c>
      <c r="H18">
        <v>-15.173999999999999</v>
      </c>
      <c r="I18">
        <v>12.846</v>
      </c>
      <c r="J18">
        <f>chloroform!J23</f>
        <v>0</v>
      </c>
      <c r="K18" t="str">
        <f>chloroform!F23</f>
        <v>6H4</v>
      </c>
      <c r="M18">
        <f>0.9155*Table2[[#This Row],[J1,2]]*Table2[[#This Row],[weight]]</f>
        <v>0</v>
      </c>
      <c r="N18">
        <f>0.9155*Table2[[#This Row],[J2,3]]*Table2[[#This Row],[weight]]</f>
        <v>0</v>
      </c>
      <c r="O18">
        <f>0.9155*Table2[[#This Row],[J34]]*Table2[[#This Row],[weight]]</f>
        <v>0</v>
      </c>
      <c r="P18">
        <f>0.9155*Table2[[#This Row],[J45]]*Table2[[#This Row],[weight]]</f>
        <v>0</v>
      </c>
      <c r="Q18">
        <f>0.9155*Table2[[#This Row],[J56]]*Table2[[#This Row],[weight]]</f>
        <v>0</v>
      </c>
      <c r="R18">
        <f>0.9155*Table2[[#This Row],[J67]]*Table2[[#This Row],[weight]]</f>
        <v>0</v>
      </c>
      <c r="S18">
        <f>0.9155*Table2[[#This Row],[J67'']]*Table2[[#This Row],[weight]]</f>
        <v>0</v>
      </c>
      <c r="T18">
        <f>0.9155*Table2[[#This Row],[J77'']]*Table2[[#This Row],[weight]]</f>
        <v>0</v>
      </c>
    </row>
    <row r="19" spans="1:20" x14ac:dyDescent="0.25">
      <c r="A19" t="s">
        <v>101</v>
      </c>
      <c r="B19">
        <v>8.3460000000000001</v>
      </c>
      <c r="C19">
        <v>3.1059999999999999</v>
      </c>
      <c r="D19">
        <v>2.8359999999999999</v>
      </c>
      <c r="E19">
        <v>5.4020000000000001</v>
      </c>
      <c r="F19">
        <v>2.5169999999999999</v>
      </c>
      <c r="G19">
        <v>13.286</v>
      </c>
      <c r="H19">
        <v>-11.343</v>
      </c>
      <c r="I19">
        <v>5.26</v>
      </c>
      <c r="J19">
        <f>chloroform!J24</f>
        <v>3.3659406365728149E-3</v>
      </c>
      <c r="K19" t="str">
        <f>chloroform!F24</f>
        <v>12C5</v>
      </c>
      <c r="M19">
        <f>0.9155*Table2[[#This Row],[J1,2]]*Table2[[#This Row],[weight]]</f>
        <v>2.5718354676122011E-2</v>
      </c>
      <c r="N19">
        <f>0.9155*Table2[[#This Row],[J2,3]]*Table2[[#This Row],[weight]]</f>
        <v>9.5711969355421721E-3</v>
      </c>
      <c r="O19">
        <f>0.9155*Table2[[#This Row],[J34]]*Table2[[#This Row],[weight]]</f>
        <v>8.7391868992909207E-3</v>
      </c>
      <c r="P19">
        <f>0.9155*Table2[[#This Row],[J45]]*Table2[[#This Row],[weight]]</f>
        <v>1.6646363762330588E-2</v>
      </c>
      <c r="Q19">
        <f>0.9155*Table2[[#This Row],[J56]]*Table2[[#This Row],[weight]]</f>
        <v>7.7561824490533296E-3</v>
      </c>
      <c r="R19">
        <f>0.9155*Table2[[#This Row],[J67]]*Table2[[#This Row],[weight]]</f>
        <v>4.0941056820867128E-2</v>
      </c>
      <c r="S19">
        <f>0.9155*Table2[[#This Row],[J67'']]*Table2[[#This Row],[weight]]</f>
        <v>1.6208788113635488E-2</v>
      </c>
      <c r="T19">
        <f>0.9155*Table2[[#This Row],[J77'']]*Table2[[#This Row],[weight]]</f>
        <v>-3.49536660785109E-2</v>
      </c>
    </row>
    <row r="20" spans="1:20" x14ac:dyDescent="0.25">
      <c r="A20" t="s">
        <v>70</v>
      </c>
      <c r="B20">
        <v>8.41</v>
      </c>
      <c r="C20">
        <v>2.0830000000000002</v>
      </c>
      <c r="D20">
        <v>2.3969999999999998</v>
      </c>
      <c r="E20">
        <v>0.71899999999999997</v>
      </c>
      <c r="F20">
        <v>12.201000000000001</v>
      </c>
      <c r="G20">
        <v>0.91900000000000004</v>
      </c>
      <c r="H20">
        <v>-13.66</v>
      </c>
      <c r="I20">
        <v>3.415</v>
      </c>
      <c r="J20">
        <f>chloroform!J25</f>
        <v>7.4598169292350663E-2</v>
      </c>
      <c r="K20" t="str">
        <f>chloroform!F25</f>
        <v>4H6</v>
      </c>
      <c r="M20">
        <f>0.9155*Table2[[#This Row],[J1,2]]*Table2[[#This Row],[weight]]</f>
        <v>0.57435778773190649</v>
      </c>
      <c r="N20">
        <f>0.9155*Table2[[#This Row],[J2,3]]*Table2[[#This Row],[weight]]</f>
        <v>0.14225770176522728</v>
      </c>
      <c r="O20">
        <f>0.9155*Table2[[#This Row],[J34]]*Table2[[#This Row],[weight]]</f>
        <v>0.16370221369719143</v>
      </c>
      <c r="P20">
        <f>0.9155*Table2[[#This Row],[J45]]*Table2[[#This Row],[weight]]</f>
        <v>4.9103834646758715E-2</v>
      </c>
      <c r="Q20">
        <f>0.9155*Table2[[#This Row],[J56]]*Table2[[#This Row],[weight]]</f>
        <v>0.83326270726718088</v>
      </c>
      <c r="R20">
        <f>0.9155*Table2[[#This Row],[J67]]*Table2[[#This Row],[weight]]</f>
        <v>6.2762759444188132E-2</v>
      </c>
      <c r="S20">
        <f>0.9155*Table2[[#This Row],[J67'']]*Table2[[#This Row],[weight]]</f>
        <v>0.23322614091610711</v>
      </c>
      <c r="T20">
        <f>0.9155*Table2[[#This Row],[J77'']]*Table2[[#This Row],[weight]]</f>
        <v>-0.93290456366442842</v>
      </c>
    </row>
    <row r="21" spans="1:20" x14ac:dyDescent="0.25">
      <c r="A21" t="s">
        <v>71</v>
      </c>
      <c r="B21">
        <v>8.1310000000000002</v>
      </c>
      <c r="C21">
        <v>8.8940000000000001</v>
      </c>
      <c r="D21">
        <v>2.1059999999999999</v>
      </c>
      <c r="E21">
        <v>10.941000000000001</v>
      </c>
      <c r="F21">
        <v>0.71499999999999997</v>
      </c>
      <c r="G21">
        <v>11.638999999999999</v>
      </c>
      <c r="H21">
        <v>-11.02</v>
      </c>
      <c r="I21">
        <v>2.81</v>
      </c>
      <c r="J21">
        <f>chloroform!J26</f>
        <v>0</v>
      </c>
      <c r="K21" t="str">
        <f>chloroform!F26</f>
        <v>6H4</v>
      </c>
      <c r="M21">
        <f>0.9155*Table2[[#This Row],[J1,2]]*Table2[[#This Row],[weight]]</f>
        <v>0</v>
      </c>
      <c r="N21">
        <f>0.9155*Table2[[#This Row],[J2,3]]*Table2[[#This Row],[weight]]</f>
        <v>0</v>
      </c>
      <c r="O21">
        <f>0.9155*Table2[[#This Row],[J34]]*Table2[[#This Row],[weight]]</f>
        <v>0</v>
      </c>
      <c r="P21">
        <f>0.9155*Table2[[#This Row],[J45]]*Table2[[#This Row],[weight]]</f>
        <v>0</v>
      </c>
      <c r="Q21">
        <f>0.9155*Table2[[#This Row],[J56]]*Table2[[#This Row],[weight]]</f>
        <v>0</v>
      </c>
      <c r="R21">
        <f>0.9155*Table2[[#This Row],[J67]]*Table2[[#This Row],[weight]]</f>
        <v>0</v>
      </c>
      <c r="S21">
        <f>0.9155*Table2[[#This Row],[J67'']]*Table2[[#This Row],[weight]]</f>
        <v>0</v>
      </c>
      <c r="T21">
        <f>0.9155*Table2[[#This Row],[J77'']]*Table2[[#This Row],[weight]]</f>
        <v>0</v>
      </c>
    </row>
    <row r="22" spans="1:20" x14ac:dyDescent="0.25">
      <c r="A22" t="s">
        <v>102</v>
      </c>
      <c r="B22">
        <v>9.5830000000000002</v>
      </c>
      <c r="C22">
        <v>3.2109999999999999</v>
      </c>
      <c r="D22">
        <v>8.532</v>
      </c>
      <c r="E22">
        <v>9.1910000000000007</v>
      </c>
      <c r="F22">
        <v>9.67</v>
      </c>
      <c r="G22">
        <v>2.113</v>
      </c>
      <c r="H22">
        <v>-12.8</v>
      </c>
      <c r="I22">
        <v>1.7909999999999999</v>
      </c>
      <c r="J22">
        <f>chloroform!J27</f>
        <v>0</v>
      </c>
      <c r="K22" t="str">
        <f>chloroform!F27</f>
        <v>45E</v>
      </c>
      <c r="M22">
        <f>0.9155*Table2[[#This Row],[J1,2]]*Table2[[#This Row],[weight]]</f>
        <v>0</v>
      </c>
      <c r="N22">
        <f>0.9155*Table2[[#This Row],[J2,3]]*Table2[[#This Row],[weight]]</f>
        <v>0</v>
      </c>
      <c r="O22">
        <f>0.9155*Table2[[#This Row],[J34]]*Table2[[#This Row],[weight]]</f>
        <v>0</v>
      </c>
      <c r="P22">
        <f>0.9155*Table2[[#This Row],[J45]]*Table2[[#This Row],[weight]]</f>
        <v>0</v>
      </c>
      <c r="Q22">
        <f>0.9155*Table2[[#This Row],[J56]]*Table2[[#This Row],[weight]]</f>
        <v>0</v>
      </c>
      <c r="R22">
        <f>0.9155*Table2[[#This Row],[J67]]*Table2[[#This Row],[weight]]</f>
        <v>0</v>
      </c>
      <c r="S22">
        <f>0.9155*Table2[[#This Row],[J67'']]*Table2[[#This Row],[weight]]</f>
        <v>0</v>
      </c>
      <c r="T22">
        <f>0.9155*Table2[[#This Row],[J77'']]*Table2[[#This Row],[weight]]</f>
        <v>0</v>
      </c>
    </row>
    <row r="23" spans="1:20" x14ac:dyDescent="0.25">
      <c r="A23" t="s">
        <v>72</v>
      </c>
      <c r="B23">
        <v>8.16</v>
      </c>
      <c r="C23">
        <v>2.1040000000000001</v>
      </c>
      <c r="D23">
        <v>1.86</v>
      </c>
      <c r="E23">
        <v>1.8220000000000001</v>
      </c>
      <c r="F23">
        <v>11.571</v>
      </c>
      <c r="G23">
        <v>2.6469999999999998</v>
      </c>
      <c r="H23">
        <v>-12.95</v>
      </c>
      <c r="I23">
        <v>1.226</v>
      </c>
      <c r="J23">
        <f>chloroform!J28</f>
        <v>6.2888274405505803E-2</v>
      </c>
      <c r="K23" t="str">
        <f>chloroform!F28</f>
        <v>4H6</v>
      </c>
      <c r="M23">
        <f>0.9155*Table2[[#This Row],[J1,2]]*Table2[[#This Row],[weight]]</f>
        <v>0.469805596180843</v>
      </c>
      <c r="N23">
        <f>0.9155*Table2[[#This Row],[J2,3]]*Table2[[#This Row],[weight]]</f>
        <v>0.12113614881917814</v>
      </c>
      <c r="O23">
        <f>0.9155*Table2[[#This Row],[J34]]*Table2[[#This Row],[weight]]</f>
        <v>0.10708804030592745</v>
      </c>
      <c r="P23">
        <f>0.9155*Table2[[#This Row],[J45]]*Table2[[#This Row],[weight]]</f>
        <v>0.10490022012763431</v>
      </c>
      <c r="Q23">
        <f>0.9155*Table2[[#This Row],[J56]]*Table2[[#This Row],[weight]]</f>
        <v>0.66619124429026155</v>
      </c>
      <c r="R23">
        <f>0.9155*Table2[[#This Row],[J67]]*Table2[[#This Row],[weight]]</f>
        <v>0.15239894768268275</v>
      </c>
      <c r="S23">
        <f>0.9155*Table2[[#This Row],[J67'']]*Table2[[#This Row],[weight]]</f>
        <v>7.0585987857562926E-2</v>
      </c>
      <c r="T23">
        <f>0.9155*Table2[[#This Row],[J77'']]*Table2[[#This Row],[weight]]</f>
        <v>-0.74558608707621532</v>
      </c>
    </row>
    <row r="24" spans="1:20" x14ac:dyDescent="0.25">
      <c r="A24" t="s">
        <v>73</v>
      </c>
      <c r="B24">
        <v>8.16</v>
      </c>
      <c r="C24">
        <v>2.1150000000000002</v>
      </c>
      <c r="D24">
        <v>1.81</v>
      </c>
      <c r="E24">
        <v>2.0510000000000002</v>
      </c>
      <c r="F24">
        <v>12.010999999999999</v>
      </c>
      <c r="G24">
        <v>1.323</v>
      </c>
      <c r="H24">
        <v>-13.62</v>
      </c>
      <c r="I24">
        <v>10.718999999999999</v>
      </c>
      <c r="J24">
        <f>chloroform!J29</f>
        <v>0.11024816405490606</v>
      </c>
      <c r="K24" t="str">
        <f>chloroform!F29</f>
        <v>4H6</v>
      </c>
      <c r="M24">
        <f>0.9155*Table2[[#This Row],[J1,2]]*Table2[[#This Row],[weight]]</f>
        <v>0.82360670460889462</v>
      </c>
      <c r="N24">
        <f>0.9155*Table2[[#This Row],[J2,3]]*Table2[[#This Row],[weight]]</f>
        <v>0.21347159071664365</v>
      </c>
      <c r="O24">
        <f>0.9155*Table2[[#This Row],[J34]]*Table2[[#This Row],[weight]]</f>
        <v>0.18268727148800235</v>
      </c>
      <c r="P24">
        <f>0.9155*Table2[[#This Row],[J45]]*Table2[[#This Row],[weight]]</f>
        <v>0.20701193028833861</v>
      </c>
      <c r="Q24">
        <f>0.9155*Table2[[#This Row],[J56]]*Table2[[#This Row],[weight]]</f>
        <v>1.2122965844433127</v>
      </c>
      <c r="R24">
        <f>0.9155*Table2[[#This Row],[J67]]*Table2[[#This Row],[weight]]</f>
        <v>0.13353329291636856</v>
      </c>
      <c r="S24">
        <f>0.9155*Table2[[#This Row],[J67'']]*Table2[[#This Row],[weight]]</f>
        <v>1.0818921895469045</v>
      </c>
      <c r="T24">
        <f>0.9155*Table2[[#This Row],[J77'']]*Table2[[#This Row],[weight]]</f>
        <v>-1.3746964848986696</v>
      </c>
    </row>
    <row r="25" spans="1:20" x14ac:dyDescent="0.25">
      <c r="A25" t="s">
        <v>74</v>
      </c>
      <c r="B25">
        <v>8.1769999999999996</v>
      </c>
      <c r="C25">
        <v>3.2</v>
      </c>
      <c r="D25">
        <v>2.6760000000000002</v>
      </c>
      <c r="E25">
        <v>5.1059999999999999</v>
      </c>
      <c r="F25">
        <v>2.089</v>
      </c>
      <c r="G25">
        <v>12.452999999999999</v>
      </c>
      <c r="H25">
        <v>-10.368</v>
      </c>
      <c r="I25">
        <v>5.69</v>
      </c>
      <c r="J25">
        <f>chloroform!J30</f>
        <v>1.5357057864394787E-3</v>
      </c>
      <c r="K25" t="str">
        <f>chloroform!F30</f>
        <v>12C5</v>
      </c>
      <c r="M25">
        <f>0.9155*Table2[[#This Row],[J1,2]]*Table2[[#This Row],[weight]]</f>
        <v>1.1496360320487646E-2</v>
      </c>
      <c r="N25">
        <f>0.9155*Table2[[#This Row],[J2,3]]*Table2[[#This Row],[weight]]</f>
        <v>4.499003671953097E-3</v>
      </c>
      <c r="O25">
        <f>0.9155*Table2[[#This Row],[J34]]*Table2[[#This Row],[weight]]</f>
        <v>3.7622918206707771E-3</v>
      </c>
      <c r="P25">
        <f>0.9155*Table2[[#This Row],[J45]]*Table2[[#This Row],[weight]]</f>
        <v>7.1787227340601601E-3</v>
      </c>
      <c r="Q25">
        <f>0.9155*Table2[[#This Row],[J56]]*Table2[[#This Row],[weight]]</f>
        <v>2.9370058345968807E-3</v>
      </c>
      <c r="R25">
        <f>0.9155*Table2[[#This Row],[J67]]*Table2[[#This Row],[weight]]</f>
        <v>1.7508153977134972E-2</v>
      </c>
      <c r="S25">
        <f>0.9155*Table2[[#This Row],[J67'']]*Table2[[#This Row],[weight]]</f>
        <v>7.9997909041916015E-3</v>
      </c>
      <c r="T25">
        <f>0.9155*Table2[[#This Row],[J77'']]*Table2[[#This Row],[weight]]</f>
        <v>-1.4576771897128034E-2</v>
      </c>
    </row>
    <row r="26" spans="1:20" x14ac:dyDescent="0.25">
      <c r="A26" t="s">
        <v>32</v>
      </c>
      <c r="B26">
        <v>8.4190000000000005</v>
      </c>
      <c r="C26">
        <v>2.1640000000000001</v>
      </c>
      <c r="D26">
        <v>3.032</v>
      </c>
      <c r="E26">
        <v>0.56100000000000005</v>
      </c>
      <c r="F26">
        <v>11.538</v>
      </c>
      <c r="G26">
        <v>10.068</v>
      </c>
      <c r="H26">
        <v>-11.718999999999999</v>
      </c>
      <c r="I26">
        <v>1.7589999999999999</v>
      </c>
      <c r="J26">
        <f>chloroform!J31</f>
        <v>1.9656618624770586E-4</v>
      </c>
      <c r="K26" t="str">
        <f>chloroform!F31</f>
        <v>4H6</v>
      </c>
      <c r="M26">
        <f>0.9155*Table2[[#This Row],[J1,2]]*Table2[[#This Row],[weight]]</f>
        <v>1.5150524560087932E-3</v>
      </c>
      <c r="N26">
        <f>0.9155*Table2[[#This Row],[J2,3]]*Table2[[#This Row],[weight]]</f>
        <v>3.8942552735515254E-4</v>
      </c>
      <c r="O26">
        <f>0.9155*Table2[[#This Row],[J34]]*Table2[[#This Row],[weight]]</f>
        <v>5.4562763352163698E-4</v>
      </c>
      <c r="P26">
        <f>0.9155*Table2[[#This Row],[J45]]*Table2[[#This Row],[weight]]</f>
        <v>1.0095550870898363E-4</v>
      </c>
      <c r="Q26">
        <f>0.9155*Table2[[#This Row],[J56]]*Table2[[#This Row],[weight]]</f>
        <v>2.0763362914157806E-3</v>
      </c>
      <c r="R26">
        <f>0.9155*Table2[[#This Row],[J67]]*Table2[[#This Row],[weight]]</f>
        <v>1.8118004664564116E-3</v>
      </c>
      <c r="S26">
        <f>0.9155*Table2[[#This Row],[J67'']]*Table2[[#This Row],[weight]]</f>
        <v>3.1654320823369371E-4</v>
      </c>
      <c r="T26">
        <f>0.9155*Table2[[#This Row],[J77'']]*Table2[[#This Row],[weight]]</f>
        <v>-2.1089083895910496E-3</v>
      </c>
    </row>
    <row r="27" spans="1:20" x14ac:dyDescent="0.25">
      <c r="A27" t="s">
        <v>75</v>
      </c>
      <c r="B27">
        <v>8.2949999999999999</v>
      </c>
      <c r="C27">
        <v>2.1080000000000001</v>
      </c>
      <c r="D27">
        <v>3.242</v>
      </c>
      <c r="E27">
        <v>0.46600000000000003</v>
      </c>
      <c r="F27">
        <v>12.28</v>
      </c>
      <c r="G27">
        <v>1.347</v>
      </c>
      <c r="H27">
        <v>-13.996</v>
      </c>
      <c r="I27">
        <v>10.948</v>
      </c>
      <c r="J27">
        <f>chloroform!J32</f>
        <v>2.4661833307946558E-4</v>
      </c>
      <c r="K27" t="str">
        <f>chloroform!F32</f>
        <v>4H6</v>
      </c>
      <c r="M27">
        <f>0.9155*Table2[[#This Row],[J1,2]]*Table2[[#This Row],[weight]]</f>
        <v>1.8728375012346098E-3</v>
      </c>
      <c r="N27">
        <f>0.9155*Table2[[#This Row],[J2,3]]*Table2[[#This Row],[weight]]</f>
        <v>4.7594230893340059E-4</v>
      </c>
      <c r="O27">
        <f>0.9155*Table2[[#This Row],[J34]]*Table2[[#This Row],[weight]]</f>
        <v>7.319757901148409E-4</v>
      </c>
      <c r="P27">
        <f>0.9155*Table2[[#This Row],[J45]]*Table2[[#This Row],[weight]]</f>
        <v>1.0521305311336085E-4</v>
      </c>
      <c r="Q27">
        <f>0.9155*Table2[[#This Row],[J56]]*Table2[[#This Row],[weight]]</f>
        <v>2.7725671507125987E-3</v>
      </c>
      <c r="R27">
        <f>0.9155*Table2[[#This Row],[J67]]*Table2[[#This Row],[weight]]</f>
        <v>3.0412442605943574E-4</v>
      </c>
      <c r="S27">
        <f>0.9155*Table2[[#This Row],[J67'']]*Table2[[#This Row],[weight]]</f>
        <v>2.4718294109121772E-3</v>
      </c>
      <c r="T27">
        <f>0.9155*Table2[[#This Row],[J77'']]*Table2[[#This Row],[weight]]</f>
        <v>-3.1600040587437734E-3</v>
      </c>
    </row>
    <row r="28" spans="1:20" x14ac:dyDescent="0.25">
      <c r="A28" t="s">
        <v>76</v>
      </c>
      <c r="B28">
        <v>7.6619999999999999</v>
      </c>
      <c r="C28">
        <v>3.738</v>
      </c>
      <c r="D28">
        <v>2.0329999999999999</v>
      </c>
      <c r="E28">
        <v>5.18</v>
      </c>
      <c r="F28">
        <v>1.9219999999999999</v>
      </c>
      <c r="G28">
        <v>2.262</v>
      </c>
      <c r="H28">
        <v>-12.999000000000001</v>
      </c>
      <c r="I28">
        <v>11.896000000000001</v>
      </c>
      <c r="J28">
        <f>chloroform!J33</f>
        <v>4.5952987890748717E-3</v>
      </c>
      <c r="K28" t="str">
        <f>chloroform!F33</f>
        <v>12C5</v>
      </c>
      <c r="M28">
        <f>0.9155*Table2[[#This Row],[J1,2]]*Table2[[#This Row],[weight]]</f>
        <v>3.2234003669191817E-2</v>
      </c>
      <c r="N28">
        <f>0.9155*Table2[[#This Row],[J2,3]]*Table2[[#This Row],[weight]]</f>
        <v>1.5725751202745893E-2</v>
      </c>
      <c r="O28">
        <f>0.9155*Table2[[#This Row],[J34]]*Table2[[#This Row],[weight]]</f>
        <v>8.5528229521622239E-3</v>
      </c>
      <c r="P28">
        <f>0.9155*Table2[[#This Row],[J45]]*Table2[[#This Row],[weight]]</f>
        <v>2.1792239494441871E-2</v>
      </c>
      <c r="Q28">
        <f>0.9155*Table2[[#This Row],[J56]]*Table2[[#This Row],[weight]]</f>
        <v>8.0858463915670416E-3</v>
      </c>
      <c r="R28">
        <f>0.9155*Table2[[#This Row],[J67]]*Table2[[#This Row],[weight]]</f>
        <v>9.5162250456423767E-3</v>
      </c>
      <c r="S28">
        <f>0.9155*Table2[[#This Row],[J67'']]*Table2[[#This Row],[weight]]</f>
        <v>5.0046424908471145E-2</v>
      </c>
      <c r="T28">
        <f>0.9155*Table2[[#This Row],[J77'']]*Table2[[#This Row],[weight]]</f>
        <v>-5.468674154213319E-2</v>
      </c>
    </row>
    <row r="29" spans="1:20" x14ac:dyDescent="0.25">
      <c r="A29" t="s">
        <v>103</v>
      </c>
      <c r="B29">
        <v>8.0259999999999998</v>
      </c>
      <c r="C29">
        <v>2.2109999999999999</v>
      </c>
      <c r="D29">
        <v>1.679</v>
      </c>
      <c r="E29">
        <v>2.9359999999999999</v>
      </c>
      <c r="F29">
        <v>10.108000000000001</v>
      </c>
      <c r="G29">
        <v>11.25</v>
      </c>
      <c r="H29">
        <v>-11.33</v>
      </c>
      <c r="I29">
        <v>5.3440000000000003</v>
      </c>
      <c r="J29">
        <f>chloroform!J34</f>
        <v>6.8579294735968367E-3</v>
      </c>
      <c r="K29" t="str">
        <f>chloroform!F34</f>
        <v>4H6</v>
      </c>
      <c r="M29">
        <f>0.9155*Table2[[#This Row],[J1,2]]*Table2[[#This Row],[weight]]</f>
        <v>5.0390714759883257E-2</v>
      </c>
      <c r="N29">
        <f>0.9155*Table2[[#This Row],[J2,3]]*Table2[[#This Row],[weight]]</f>
        <v>1.3881618531535245E-2</v>
      </c>
      <c r="O29">
        <f>0.9155*Table2[[#This Row],[J34]]*Table2[[#This Row],[weight]]</f>
        <v>1.05414914131378E-2</v>
      </c>
      <c r="P29">
        <f>0.9155*Table2[[#This Row],[J45]]*Table2[[#This Row],[weight]]</f>
        <v>1.8433483495516725E-2</v>
      </c>
      <c r="Q29">
        <f>0.9155*Table2[[#This Row],[J56]]*Table2[[#This Row],[weight]]</f>
        <v>6.3462415249551457E-2</v>
      </c>
      <c r="R29">
        <f>0.9155*Table2[[#This Row],[J67]]*Table2[[#This Row],[weight]]</f>
        <v>7.0632387372126418E-2</v>
      </c>
      <c r="S29">
        <f>0.9155*Table2[[#This Row],[J67'']]*Table2[[#This Row],[weight]]</f>
        <v>3.3551953610368321E-2</v>
      </c>
      <c r="T29">
        <f>0.9155*Table2[[#This Row],[J77'']]*Table2[[#This Row],[weight]]</f>
        <v>-7.1134662126772649E-2</v>
      </c>
    </row>
    <row r="30" spans="1:20" x14ac:dyDescent="0.25">
      <c r="A30" t="s">
        <v>104</v>
      </c>
      <c r="B30">
        <v>7.968</v>
      </c>
      <c r="C30">
        <v>8.7100000000000009</v>
      </c>
      <c r="D30">
        <v>2.157</v>
      </c>
      <c r="E30">
        <v>11.276999999999999</v>
      </c>
      <c r="F30">
        <v>1.427</v>
      </c>
      <c r="G30">
        <v>4.149</v>
      </c>
      <c r="H30">
        <v>-12.593999999999999</v>
      </c>
      <c r="I30">
        <v>12.997999999999999</v>
      </c>
      <c r="J30">
        <f>chloroform!J35</f>
        <v>1.1798925063709552E-4</v>
      </c>
      <c r="K30" t="str">
        <f>chloroform!F35</f>
        <v>6H4</v>
      </c>
      <c r="M30">
        <f>0.9155*Table2[[#This Row],[J1,2]]*Table2[[#This Row],[weight]]</f>
        <v>8.6069665857942319E-4</v>
      </c>
      <c r="N30">
        <f>0.9155*Table2[[#This Row],[J2,3]]*Table2[[#This Row],[weight]]</f>
        <v>9.4084687452645295E-4</v>
      </c>
      <c r="O30">
        <f>0.9155*Table2[[#This Row],[J34]]*Table2[[#This Row],[weight]]</f>
        <v>2.3299732587296886E-4</v>
      </c>
      <c r="P30">
        <f>0.9155*Table2[[#This Row],[J45]]*Table2[[#This Row],[weight]]</f>
        <v>1.2181320555723085E-3</v>
      </c>
      <c r="Q30">
        <f>0.9155*Table2[[#This Row],[J56]]*Table2[[#This Row],[weight]]</f>
        <v>1.5414333983343836E-4</v>
      </c>
      <c r="R30">
        <f>0.9155*Table2[[#This Row],[J67]]*Table2[[#This Row],[weight]]</f>
        <v>4.4817149051782468E-4</v>
      </c>
      <c r="S30">
        <f>0.9155*Table2[[#This Row],[J67'']]*Table2[[#This Row],[weight]]</f>
        <v>1.4040330281394758E-3</v>
      </c>
      <c r="T30">
        <f>0.9155*Table2[[#This Row],[J77'']]*Table2[[#This Row],[weight]]</f>
        <v>-1.3603932879203385E-3</v>
      </c>
    </row>
    <row r="31" spans="1:20" x14ac:dyDescent="0.25">
      <c r="A31" t="s">
        <v>77</v>
      </c>
      <c r="B31">
        <v>8.4149999999999991</v>
      </c>
      <c r="C31">
        <v>2.0670000000000002</v>
      </c>
      <c r="D31">
        <v>2.39</v>
      </c>
      <c r="E31">
        <v>0.70399999999999996</v>
      </c>
      <c r="F31">
        <v>12.196999999999999</v>
      </c>
      <c r="G31">
        <v>0.93899999999999995</v>
      </c>
      <c r="H31">
        <v>-13.705</v>
      </c>
      <c r="I31">
        <v>3.3719999999999999</v>
      </c>
      <c r="J31">
        <f>chloroform!J36</f>
        <v>7.3635045548761172E-2</v>
      </c>
      <c r="K31" t="str">
        <f>chloroform!F36</f>
        <v>4H6</v>
      </c>
      <c r="M31">
        <f>0.9155*Table2[[#This Row],[J1,2]]*Table2[[#This Row],[weight]]</f>
        <v>0.56727942054208147</v>
      </c>
      <c r="N31">
        <f>0.9155*Table2[[#This Row],[J2,3]]*Table2[[#This Row],[weight]]</f>
        <v>0.13934243164117441</v>
      </c>
      <c r="O31">
        <f>0.9155*Table2[[#This Row],[J34]]*Table2[[#This Row],[weight]]</f>
        <v>0.16111679323773914</v>
      </c>
      <c r="P31">
        <f>0.9155*Table2[[#This Row],[J45]]*Table2[[#This Row],[weight]]</f>
        <v>4.7458670476723155E-2</v>
      </c>
      <c r="Q31">
        <f>0.9155*Table2[[#This Row],[J56]]*Table2[[#This Row],[weight]]</f>
        <v>0.82223494858606871</v>
      </c>
      <c r="R31">
        <f>0.9155*Table2[[#This Row],[J67]]*Table2[[#This Row],[weight]]</f>
        <v>6.3300698263697497E-2</v>
      </c>
      <c r="S31">
        <f>0.9155*Table2[[#This Row],[J67'']]*Table2[[#This Row],[weight]]</f>
        <v>0.22731624552203192</v>
      </c>
      <c r="T31">
        <f>0.9155*Table2[[#This Row],[J77'']]*Table2[[#This Row],[weight]]</f>
        <v>-0.92389357795950422</v>
      </c>
    </row>
    <row r="32" spans="1:20" x14ac:dyDescent="0.25">
      <c r="A32" t="s">
        <v>33</v>
      </c>
      <c r="B32">
        <v>8.07</v>
      </c>
      <c r="C32">
        <v>5.2679999999999998</v>
      </c>
      <c r="D32">
        <v>2.7320000000000002</v>
      </c>
      <c r="E32">
        <v>10.849</v>
      </c>
      <c r="F32">
        <v>9.7780000000000005</v>
      </c>
      <c r="G32">
        <v>1.8320000000000001</v>
      </c>
      <c r="H32">
        <v>-13.115</v>
      </c>
      <c r="I32">
        <v>1.946</v>
      </c>
      <c r="J32">
        <f>chloroform!J37</f>
        <v>6.9045805775509283E-4</v>
      </c>
      <c r="K32" t="str">
        <f>chloroform!F37</f>
        <v>56E</v>
      </c>
      <c r="M32">
        <f>0.9155*Table2[[#This Row],[J1,2]]*Table2[[#This Row],[weight]]</f>
        <v>5.1011628196295355E-3</v>
      </c>
      <c r="N32">
        <f>0.9155*Table2[[#This Row],[J2,3]]*Table2[[#This Row],[weight]]</f>
        <v>3.32997840567638E-3</v>
      </c>
      <c r="O32">
        <f>0.9155*Table2[[#This Row],[J34]]*Table2[[#This Row],[weight]]</f>
        <v>1.7269364093219196E-3</v>
      </c>
      <c r="P32">
        <f>0.9155*Table2[[#This Row],[J45]]*Table2[[#This Row],[weight]]</f>
        <v>6.8578086034895699E-3</v>
      </c>
      <c r="Q32">
        <f>0.9155*Table2[[#This Row],[J56]]*Table2[[#This Row],[weight]]</f>
        <v>6.1808141326316728E-3</v>
      </c>
      <c r="R32">
        <f>0.9155*Table2[[#This Row],[J67]]*Table2[[#This Row],[weight]]</f>
        <v>1.1580334926346108E-3</v>
      </c>
      <c r="S32">
        <f>0.9155*Table2[[#This Row],[J67'']]*Table2[[#This Row],[weight]]</f>
        <v>1.2300945287483365E-3</v>
      </c>
      <c r="T32">
        <f>0.9155*Table2[[#This Row],[J77'']]*Table2[[#This Row],[weight]]</f>
        <v>-8.2901797248378373E-3</v>
      </c>
    </row>
    <row r="33" spans="1:32" x14ac:dyDescent="0.25">
      <c r="A33" t="s">
        <v>105</v>
      </c>
      <c r="B33">
        <v>8.5139999999999993</v>
      </c>
      <c r="C33">
        <v>2.3559999999999999</v>
      </c>
      <c r="D33">
        <v>1.6890000000000001</v>
      </c>
      <c r="E33">
        <v>1.05</v>
      </c>
      <c r="F33">
        <v>11.929</v>
      </c>
      <c r="G33">
        <v>0.81699999999999995</v>
      </c>
      <c r="H33">
        <v>-13.756</v>
      </c>
      <c r="I33">
        <v>3.702</v>
      </c>
      <c r="J33">
        <f>chloroform!J38</f>
        <v>0</v>
      </c>
      <c r="K33" t="str">
        <f>chloroform!F38</f>
        <v>4H6</v>
      </c>
      <c r="M33">
        <f>0.9155*Table2[[#This Row],[J1,2]]*Table2[[#This Row],[weight]]</f>
        <v>0</v>
      </c>
      <c r="N33">
        <f>0.9155*Table2[[#This Row],[J2,3]]*Table2[[#This Row],[weight]]</f>
        <v>0</v>
      </c>
      <c r="O33">
        <f>0.9155*Table2[[#This Row],[J34]]*Table2[[#This Row],[weight]]</f>
        <v>0</v>
      </c>
      <c r="P33">
        <f>0.9155*Table2[[#This Row],[J45]]*Table2[[#This Row],[weight]]</f>
        <v>0</v>
      </c>
      <c r="Q33">
        <f>0.9155*Table2[[#This Row],[J56]]*Table2[[#This Row],[weight]]</f>
        <v>0</v>
      </c>
      <c r="R33">
        <f>0.9155*Table2[[#This Row],[J67]]*Table2[[#This Row],[weight]]</f>
        <v>0</v>
      </c>
      <c r="S33">
        <f>0.9155*Table2[[#This Row],[J67'']]*Table2[[#This Row],[weight]]</f>
        <v>0</v>
      </c>
      <c r="T33">
        <f>0.9155*Table2[[#This Row],[J77'']]*Table2[[#This Row],[weight]]</f>
        <v>0</v>
      </c>
    </row>
    <row r="34" spans="1:32" x14ac:dyDescent="0.25">
      <c r="A34" t="s">
        <v>78</v>
      </c>
      <c r="B34">
        <v>8.1389999999999993</v>
      </c>
      <c r="C34">
        <v>2.7370000000000001</v>
      </c>
      <c r="D34">
        <v>2.6709999999999998</v>
      </c>
      <c r="E34">
        <v>4.6319999999999997</v>
      </c>
      <c r="F34">
        <v>7.0110000000000001</v>
      </c>
      <c r="G34">
        <v>8.1300000000000008</v>
      </c>
      <c r="H34">
        <v>-12.428000000000001</v>
      </c>
      <c r="I34">
        <v>0.51200000000000001</v>
      </c>
      <c r="J34">
        <f>chloroform!J39</f>
        <v>0</v>
      </c>
      <c r="K34" t="str">
        <f>chloroform!F39</f>
        <v>4H6</v>
      </c>
      <c r="M34">
        <f>0.9155*Table2[[#This Row],[J1,2]]*Table2[[#This Row],[weight]]</f>
        <v>0</v>
      </c>
      <c r="N34">
        <f>0.9155*Table2[[#This Row],[J2,3]]*Table2[[#This Row],[weight]]</f>
        <v>0</v>
      </c>
      <c r="O34">
        <f>0.9155*Table2[[#This Row],[J34]]*Table2[[#This Row],[weight]]</f>
        <v>0</v>
      </c>
      <c r="P34">
        <f>0.9155*Table2[[#This Row],[J45]]*Table2[[#This Row],[weight]]</f>
        <v>0</v>
      </c>
      <c r="Q34">
        <f>0.9155*Table2[[#This Row],[J56]]*Table2[[#This Row],[weight]]</f>
        <v>0</v>
      </c>
      <c r="R34">
        <f>0.9155*Table2[[#This Row],[J67]]*Table2[[#This Row],[weight]]</f>
        <v>0</v>
      </c>
      <c r="S34">
        <f>0.9155*Table2[[#This Row],[J67'']]*Table2[[#This Row],[weight]]</f>
        <v>0</v>
      </c>
      <c r="T34">
        <f>0.9155*Table2[[#This Row],[J77'']]*Table2[[#This Row],[weight]]</f>
        <v>0</v>
      </c>
    </row>
    <row r="35" spans="1:32" x14ac:dyDescent="0.25">
      <c r="A35" t="s">
        <v>79</v>
      </c>
      <c r="B35">
        <v>8.2240000000000002</v>
      </c>
      <c r="C35">
        <v>9.6440000000000001</v>
      </c>
      <c r="D35">
        <v>3.1720000000000002</v>
      </c>
      <c r="E35">
        <v>11.484</v>
      </c>
      <c r="F35">
        <v>10.521000000000001</v>
      </c>
      <c r="G35">
        <v>1.5589999999999999</v>
      </c>
      <c r="H35">
        <v>-13.209</v>
      </c>
      <c r="I35">
        <v>2.2610000000000001</v>
      </c>
      <c r="J35">
        <f>chloroform!J40</f>
        <v>0.22233231020865696</v>
      </c>
      <c r="K35" t="str">
        <f>chloroform!F40</f>
        <v>5C12</v>
      </c>
      <c r="M35">
        <f>0.9155*Table2[[#This Row],[J1,2]]*Table2[[#This Row],[weight]]</f>
        <v>1.6739559714873133</v>
      </c>
      <c r="N35">
        <f>0.9155*Table2[[#This Row],[J2,3]]*Table2[[#This Row],[weight]]</f>
        <v>1.9629901980816693</v>
      </c>
      <c r="O35">
        <f>0.9155*Table2[[#This Row],[J34]]*Table2[[#This Row],[weight]]</f>
        <v>0.64564546954739277</v>
      </c>
      <c r="P35">
        <f>0.9155*Table2[[#This Row],[J45]]*Table2[[#This Row],[weight]]</f>
        <v>2.3375134212743562</v>
      </c>
      <c r="Q35">
        <f>0.9155*Table2[[#This Row],[J56]]*Table2[[#This Row],[weight]]</f>
        <v>2.1414993647881841</v>
      </c>
      <c r="R35">
        <f>0.9155*Table2[[#This Row],[J67]]*Table2[[#This Row],[weight]]</f>
        <v>0.31732701356380366</v>
      </c>
      <c r="S35">
        <f>0.9155*Table2[[#This Row],[J67'']]*Table2[[#This Row],[weight]]</f>
        <v>0.46021576502101358</v>
      </c>
      <c r="T35">
        <f>0.9155*Table2[[#This Row],[J77'']]*Table2[[#This Row],[weight]]</f>
        <v>-2.6886289430175001</v>
      </c>
      <c r="Z35">
        <v>6.8367000000000004</v>
      </c>
      <c r="AA35">
        <v>3.44</v>
      </c>
      <c r="AB35">
        <v>1.77</v>
      </c>
      <c r="AC35">
        <v>4.0999999999999996</v>
      </c>
      <c r="AD35">
        <v>8.9</v>
      </c>
      <c r="AE35">
        <v>2.54</v>
      </c>
      <c r="AF35">
        <v>6.31</v>
      </c>
    </row>
    <row r="36" spans="1:32" x14ac:dyDescent="0.25">
      <c r="A36" t="s">
        <v>80</v>
      </c>
      <c r="B36">
        <v>8.2379999999999995</v>
      </c>
      <c r="C36">
        <v>3.2480000000000002</v>
      </c>
      <c r="D36">
        <v>2.8519999999999999</v>
      </c>
      <c r="E36">
        <v>5.3559999999999999</v>
      </c>
      <c r="F36">
        <v>2.3570000000000002</v>
      </c>
      <c r="G36">
        <v>12.42</v>
      </c>
      <c r="H36">
        <v>-10.585000000000001</v>
      </c>
      <c r="I36">
        <v>6.4630000000000001</v>
      </c>
      <c r="J36">
        <f>chloroform!J41</f>
        <v>8.8283694021660543E-4</v>
      </c>
      <c r="K36" t="str">
        <f>chloroform!F41</f>
        <v>12C5</v>
      </c>
      <c r="M36">
        <f>0.9155*Table2[[#This Row],[J1,2]]*Table2[[#This Row],[weight]]</f>
        <v>6.6582582082132732E-3</v>
      </c>
      <c r="N36">
        <f>0.9155*Table2[[#This Row],[J2,3]]*Table2[[#This Row],[weight]]</f>
        <v>2.6251544865594457E-3</v>
      </c>
      <c r="O36">
        <f>0.9155*Table2[[#This Row],[J34]]*Table2[[#This Row],[weight]]</f>
        <v>2.3050925479271979E-3</v>
      </c>
      <c r="P36">
        <f>0.9155*Table2[[#This Row],[J45]]*Table2[[#This Row],[weight]]</f>
        <v>4.3289185437230268E-3</v>
      </c>
      <c r="Q36">
        <f>0.9155*Table2[[#This Row],[J56]]*Table2[[#This Row],[weight]]</f>
        <v>1.9050151246368886E-3</v>
      </c>
      <c r="R36">
        <f>0.9155*Table2[[#This Row],[J67]]*Table2[[#This Row],[weight]]</f>
        <v>1.0038306257102314E-2</v>
      </c>
      <c r="S36">
        <f>0.9155*Table2[[#This Row],[J67'']]*Table2[[#This Row],[weight]]</f>
        <v>5.2236371448995374E-3</v>
      </c>
      <c r="T36">
        <f>0.9155*Table2[[#This Row],[J77'']]*Table2[[#This Row],[weight]]</f>
        <v>-8.5551909606624791E-3</v>
      </c>
    </row>
    <row r="37" spans="1:32" x14ac:dyDescent="0.25">
      <c r="A37" t="s">
        <v>81</v>
      </c>
      <c r="B37">
        <v>7.9349999999999996</v>
      </c>
      <c r="C37">
        <v>8.718</v>
      </c>
      <c r="D37">
        <v>2.1720000000000002</v>
      </c>
      <c r="E37">
        <v>11.255000000000001</v>
      </c>
      <c r="F37">
        <v>1.3779999999999999</v>
      </c>
      <c r="G37">
        <v>3.5640000000000001</v>
      </c>
      <c r="H37">
        <v>-14.17</v>
      </c>
      <c r="I37">
        <v>13.733000000000001</v>
      </c>
      <c r="J37">
        <f>chloroform!J42</f>
        <v>1.0522518811154306E-4</v>
      </c>
      <c r="K37" t="str">
        <f>chloroform!F42</f>
        <v>6H4</v>
      </c>
      <c r="M37">
        <f>0.9155*Table2[[#This Row],[J1,2]]*Table2[[#This Row],[weight]]</f>
        <v>7.6440758984739363E-4</v>
      </c>
      <c r="N37">
        <f>0.9155*Table2[[#This Row],[J2,3]]*Table2[[#This Row],[weight]]</f>
        <v>8.3983684540511381E-4</v>
      </c>
      <c r="O37">
        <f>0.9155*Table2[[#This Row],[J34]]*Table2[[#This Row],[weight]]</f>
        <v>2.0923670890340759E-4</v>
      </c>
      <c r="P37">
        <f>0.9155*Table2[[#This Row],[J45]]*Table2[[#This Row],[weight]]</f>
        <v>1.0842353401049045E-3</v>
      </c>
      <c r="Q37">
        <f>0.9155*Table2[[#This Row],[J56]]*Table2[[#This Row],[weight]]</f>
        <v>1.3274778308881014E-4</v>
      </c>
      <c r="R37">
        <f>0.9155*Table2[[#This Row],[J67]]*Table2[[#This Row],[weight]]</f>
        <v>3.433331632282434E-4</v>
      </c>
      <c r="S37">
        <f>0.9155*Table2[[#This Row],[J67'']]*Table2[[#This Row],[weight]]</f>
        <v>1.3229501488814441E-3</v>
      </c>
      <c r="T37">
        <f>0.9155*Table2[[#This Row],[J77'']]*Table2[[#This Row],[weight]]</f>
        <v>-1.3650479581773876E-3</v>
      </c>
    </row>
    <row r="38" spans="1:32" x14ac:dyDescent="0.25">
      <c r="A38" t="s">
        <v>82</v>
      </c>
      <c r="B38">
        <v>7.75</v>
      </c>
      <c r="C38">
        <v>9.6300000000000008</v>
      </c>
      <c r="D38">
        <v>3.0870000000000002</v>
      </c>
      <c r="E38">
        <v>11.297000000000001</v>
      </c>
      <c r="F38">
        <v>10.74</v>
      </c>
      <c r="G38">
        <v>2.391</v>
      </c>
      <c r="H38">
        <v>-12.073</v>
      </c>
      <c r="I38">
        <v>11.214</v>
      </c>
      <c r="J38">
        <f>chloroform!J43</f>
        <v>3.4033164530765062E-2</v>
      </c>
      <c r="K38" t="str">
        <f>chloroform!F43</f>
        <v>5C12</v>
      </c>
      <c r="M38">
        <f>0.9155*Table2[[#This Row],[J1,2]]*Table2[[#This Row],[weight]]</f>
        <v>0.24146955649134444</v>
      </c>
      <c r="N38">
        <f>0.9155*Table2[[#This Row],[J2,3]]*Table2[[#This Row],[weight]]</f>
        <v>0.3000453972918255</v>
      </c>
      <c r="O38">
        <f>0.9155*Table2[[#This Row],[J34]]*Table2[[#This Row],[weight]]</f>
        <v>9.6182776888874874E-2</v>
      </c>
      <c r="P38">
        <f>0.9155*Table2[[#This Row],[J45]]*Table2[[#This Row],[weight]]</f>
        <v>0.35198471995906044</v>
      </c>
      <c r="Q38">
        <f>0.9155*Table2[[#This Row],[J56]]*Table2[[#This Row],[weight]]</f>
        <v>0.33463006925381156</v>
      </c>
      <c r="R38">
        <f>0.9155*Table2[[#This Row],[J67]]*Table2[[#This Row],[weight]]</f>
        <v>7.4497252847845752E-2</v>
      </c>
      <c r="S38">
        <f>0.9155*Table2[[#This Row],[J67'']]*Table2[[#This Row],[weight]]</f>
        <v>0.34939865890244348</v>
      </c>
      <c r="T38">
        <f>0.9155*Table2[[#This Row],[J77'']]*Table2[[#This Row],[weight]]</f>
        <v>-0.37616283297032277</v>
      </c>
    </row>
    <row r="39" spans="1:32" x14ac:dyDescent="0.25">
      <c r="A39" t="s">
        <v>106</v>
      </c>
      <c r="B39">
        <v>8.3089999999999993</v>
      </c>
      <c r="C39">
        <v>2.3439999999999999</v>
      </c>
      <c r="D39">
        <v>1.5389999999999999</v>
      </c>
      <c r="E39">
        <v>1.83</v>
      </c>
      <c r="F39">
        <v>11.49</v>
      </c>
      <c r="G39">
        <v>2.629</v>
      </c>
      <c r="H39">
        <v>-12.88</v>
      </c>
      <c r="I39">
        <v>1.258</v>
      </c>
      <c r="J39">
        <f>chloroform!J44</f>
        <v>0</v>
      </c>
      <c r="K39" t="str">
        <f>chloroform!F44</f>
        <v>4H6</v>
      </c>
      <c r="M39">
        <f>0.9155*Table2[[#This Row],[J1,2]]*Table2[[#This Row],[weight]]</f>
        <v>0</v>
      </c>
      <c r="N39">
        <f>0.9155*Table2[[#This Row],[J2,3]]*Table2[[#This Row],[weight]]</f>
        <v>0</v>
      </c>
      <c r="O39">
        <f>0.9155*Table2[[#This Row],[J34]]*Table2[[#This Row],[weight]]</f>
        <v>0</v>
      </c>
      <c r="P39">
        <f>0.9155*Table2[[#This Row],[J45]]*Table2[[#This Row],[weight]]</f>
        <v>0</v>
      </c>
      <c r="Q39">
        <f>0.9155*Table2[[#This Row],[J56]]*Table2[[#This Row],[weight]]</f>
        <v>0</v>
      </c>
      <c r="R39">
        <f>0.9155*Table2[[#This Row],[J67]]*Table2[[#This Row],[weight]]</f>
        <v>0</v>
      </c>
      <c r="S39">
        <f>0.9155*Table2[[#This Row],[J67'']]*Table2[[#This Row],[weight]]</f>
        <v>0</v>
      </c>
      <c r="T39">
        <f>0.9155*Table2[[#This Row],[J77'']]*Table2[[#This Row],[weight]]</f>
        <v>0</v>
      </c>
    </row>
    <row r="40" spans="1:32" x14ac:dyDescent="0.25">
      <c r="A40" t="s">
        <v>107</v>
      </c>
      <c r="B40">
        <v>8.59</v>
      </c>
      <c r="C40">
        <v>3.0419999999999998</v>
      </c>
      <c r="D40">
        <v>3.452</v>
      </c>
      <c r="E40">
        <v>4.9989999999999997</v>
      </c>
      <c r="F40">
        <v>2.226</v>
      </c>
      <c r="G40">
        <v>6.944</v>
      </c>
      <c r="H40">
        <v>-13.555</v>
      </c>
      <c r="I40">
        <v>0.35599999999999998</v>
      </c>
      <c r="J40">
        <f>chloroform!J45</f>
        <v>0</v>
      </c>
      <c r="K40" t="str">
        <f>chloroform!F45</f>
        <v>12C5</v>
      </c>
      <c r="M40">
        <f>0.9155*Table2[[#This Row],[J1,2]]*Table2[[#This Row],[weight]]</f>
        <v>0</v>
      </c>
      <c r="N40">
        <f>0.9155*Table2[[#This Row],[J2,3]]*Table2[[#This Row],[weight]]</f>
        <v>0</v>
      </c>
      <c r="O40">
        <f>0.9155*Table2[[#This Row],[J34]]*Table2[[#This Row],[weight]]</f>
        <v>0</v>
      </c>
      <c r="P40">
        <f>0.9155*Table2[[#This Row],[J45]]*Table2[[#This Row],[weight]]</f>
        <v>0</v>
      </c>
      <c r="Q40">
        <f>0.9155*Table2[[#This Row],[J56]]*Table2[[#This Row],[weight]]</f>
        <v>0</v>
      </c>
      <c r="R40">
        <f>0.9155*Table2[[#This Row],[J67]]*Table2[[#This Row],[weight]]</f>
        <v>0</v>
      </c>
      <c r="S40">
        <f>0.9155*Table2[[#This Row],[J67'']]*Table2[[#This Row],[weight]]</f>
        <v>0</v>
      </c>
      <c r="T40">
        <f>0.9155*Table2[[#This Row],[J77'']]*Table2[[#This Row],[weight]]</f>
        <v>0</v>
      </c>
    </row>
    <row r="41" spans="1:32" x14ac:dyDescent="0.25">
      <c r="A41" t="s">
        <v>108</v>
      </c>
      <c r="B41">
        <v>7.548</v>
      </c>
      <c r="C41">
        <v>4.45</v>
      </c>
      <c r="D41">
        <v>1.5860000000000001</v>
      </c>
      <c r="E41">
        <v>5.0129999999999999</v>
      </c>
      <c r="F41">
        <v>2.0579999999999998</v>
      </c>
      <c r="G41">
        <v>13.246</v>
      </c>
      <c r="H41">
        <v>-11.454000000000001</v>
      </c>
      <c r="I41">
        <v>5.1180000000000003</v>
      </c>
      <c r="J41">
        <f>chloroform!J46</f>
        <v>0</v>
      </c>
      <c r="K41" t="str">
        <f>chloroform!F46</f>
        <v>12C5</v>
      </c>
      <c r="M41">
        <f>0.9155*Table2[[#This Row],[J1,2]]*Table2[[#This Row],[weight]]</f>
        <v>0</v>
      </c>
      <c r="N41">
        <f>0.9155*Table2[[#This Row],[J2,3]]*Table2[[#This Row],[weight]]</f>
        <v>0</v>
      </c>
      <c r="O41">
        <f>0.9155*Table2[[#This Row],[J34]]*Table2[[#This Row],[weight]]</f>
        <v>0</v>
      </c>
      <c r="P41">
        <f>0.9155*Table2[[#This Row],[J45]]*Table2[[#This Row],[weight]]</f>
        <v>0</v>
      </c>
      <c r="Q41">
        <f>0.9155*Table2[[#This Row],[J56]]*Table2[[#This Row],[weight]]</f>
        <v>0</v>
      </c>
      <c r="R41">
        <f>0.9155*Table2[[#This Row],[J67]]*Table2[[#This Row],[weight]]</f>
        <v>0</v>
      </c>
      <c r="S41">
        <f>0.9155*Table2[[#This Row],[J67'']]*Table2[[#This Row],[weight]]</f>
        <v>0</v>
      </c>
      <c r="T41">
        <f>0.9155*Table2[[#This Row],[J77'']]*Table2[[#This Row],[weight]]</f>
        <v>0</v>
      </c>
    </row>
    <row r="42" spans="1:32" x14ac:dyDescent="0.25">
      <c r="A42" t="s">
        <v>83</v>
      </c>
      <c r="B42">
        <v>8.3629999999999995</v>
      </c>
      <c r="C42">
        <v>9.5879999999999992</v>
      </c>
      <c r="D42">
        <v>3.2959999999999998</v>
      </c>
      <c r="E42">
        <v>11.781000000000001</v>
      </c>
      <c r="F42">
        <v>9.2609999999999992</v>
      </c>
      <c r="G42">
        <v>1.2669999999999999</v>
      </c>
      <c r="H42">
        <v>-14.084</v>
      </c>
      <c r="I42">
        <v>2.7559999999999998</v>
      </c>
      <c r="J42">
        <f>chloroform!J47</f>
        <v>2.4613159009275582E-3</v>
      </c>
      <c r="K42" t="str">
        <f>chloroform!F47</f>
        <v>5C12</v>
      </c>
      <c r="M42">
        <f>0.9155*Table2[[#This Row],[J1,2]]*Table2[[#This Row],[weight]]</f>
        <v>1.8844638157143039E-2</v>
      </c>
      <c r="N42">
        <f>0.9155*Table2[[#This Row],[J2,3]]*Table2[[#This Row],[weight]]</f>
        <v>2.1604973173584532E-2</v>
      </c>
      <c r="O42">
        <f>0.9155*Table2[[#This Row],[J34]]*Table2[[#This Row],[weight]]</f>
        <v>7.4269911952580953E-3</v>
      </c>
      <c r="P42">
        <f>0.9155*Table2[[#This Row],[J45]]*Table2[[#This Row],[weight]]</f>
        <v>2.6546536186691637E-2</v>
      </c>
      <c r="Q42">
        <f>0.9155*Table2[[#This Row],[J56]]*Table2[[#This Row],[weight]]</f>
        <v>2.0868132724297699E-2</v>
      </c>
      <c r="R42">
        <f>0.9155*Table2[[#This Row],[J67]]*Table2[[#This Row],[weight]]</f>
        <v>2.8549750741480606E-3</v>
      </c>
      <c r="S42">
        <f>0.9155*Table2[[#This Row],[J67'']]*Table2[[#This Row],[weight]]</f>
        <v>6.2101904533165379E-3</v>
      </c>
      <c r="T42">
        <f>0.9155*Table2[[#This Row],[J77'']]*Table2[[#This Row],[weight]]</f>
        <v>-3.173596601760164E-2</v>
      </c>
    </row>
    <row r="43" spans="1:32" x14ac:dyDescent="0.25">
      <c r="A43" t="s">
        <v>84</v>
      </c>
      <c r="B43">
        <v>8.01</v>
      </c>
      <c r="C43">
        <v>2.2090000000000001</v>
      </c>
      <c r="D43">
        <v>1.702</v>
      </c>
      <c r="E43">
        <v>2.9020000000000001</v>
      </c>
      <c r="F43">
        <v>10.210000000000001</v>
      </c>
      <c r="G43">
        <v>11.366</v>
      </c>
      <c r="H43">
        <v>-11.397</v>
      </c>
      <c r="I43">
        <v>5.4249999999999998</v>
      </c>
      <c r="J43">
        <f>chloroform!J48</f>
        <v>7.7080940221036127E-3</v>
      </c>
      <c r="K43" t="str">
        <f>chloroform!F48</f>
        <v>4H6</v>
      </c>
      <c r="M43">
        <f>0.9155*Table2[[#This Row],[J1,2]]*Table2[[#This Row],[weight]]</f>
        <v>5.6524648218659213E-2</v>
      </c>
      <c r="N43">
        <f>0.9155*Table2[[#This Row],[J2,3]]*Table2[[#This Row],[weight]]</f>
        <v>1.558838301061401E-2</v>
      </c>
      <c r="O43">
        <f>0.9155*Table2[[#This Row],[J34]]*Table2[[#This Row],[weight]]</f>
        <v>1.201060565145543E-2</v>
      </c>
      <c r="P43">
        <f>0.9155*Table2[[#This Row],[J45]]*Table2[[#This Row],[weight]]</f>
        <v>2.047871774413846E-2</v>
      </c>
      <c r="Q43">
        <f>0.9155*Table2[[#This Row],[J56]]*Table2[[#This Row],[weight]]</f>
        <v>7.2049520388578106E-2</v>
      </c>
      <c r="R43">
        <f>0.9155*Table2[[#This Row],[J67]]*Table2[[#This Row],[weight]]</f>
        <v>8.020713503786274E-2</v>
      </c>
      <c r="S43">
        <f>0.9155*Table2[[#This Row],[J67'']]*Table2[[#This Row],[weight]]</f>
        <v>3.8282923419004529E-2</v>
      </c>
      <c r="T43">
        <f>0.9155*Table2[[#This Row],[J77'']]*Table2[[#This Row],[weight]]</f>
        <v>-8.0425894600257064E-2</v>
      </c>
    </row>
    <row r="44" spans="1:32" x14ac:dyDescent="0.25">
      <c r="A44" t="s">
        <v>85</v>
      </c>
      <c r="B44">
        <v>8.3840000000000003</v>
      </c>
      <c r="C44">
        <v>9.5069999999999997</v>
      </c>
      <c r="D44">
        <v>3.206</v>
      </c>
      <c r="E44">
        <v>11.582000000000001</v>
      </c>
      <c r="F44">
        <v>10.241</v>
      </c>
      <c r="G44">
        <v>1.863</v>
      </c>
      <c r="H44">
        <v>-12.785</v>
      </c>
      <c r="I44">
        <v>1.8660000000000001</v>
      </c>
      <c r="J44">
        <f>chloroform!J49</f>
        <v>2.9049460468950562E-2</v>
      </c>
      <c r="K44" t="str">
        <f>chloroform!F49</f>
        <v>5C12</v>
      </c>
      <c r="M44">
        <f>0.9155*Table2[[#This Row],[J1,2]]*Table2[[#This Row],[weight]]</f>
        <v>0.2229706444013744</v>
      </c>
      <c r="N44">
        <f>0.9155*Table2[[#This Row],[J2,3]]*Table2[[#This Row],[weight]]</f>
        <v>0.25283658353099553</v>
      </c>
      <c r="O44">
        <f>0.9155*Table2[[#This Row],[J34]]*Table2[[#This Row],[weight]]</f>
        <v>8.5262868076193501E-2</v>
      </c>
      <c r="P44">
        <f>0.9155*Table2[[#This Row],[J45]]*Table2[[#This Row],[weight]]</f>
        <v>0.30802075422909336</v>
      </c>
      <c r="Q44">
        <f>0.9155*Table2[[#This Row],[J56]]*Table2[[#This Row],[weight]]</f>
        <v>0.27235715282853951</v>
      </c>
      <c r="R44">
        <f>0.9155*Table2[[#This Row],[J67]]*Table2[[#This Row],[weight]]</f>
        <v>4.9546077113521061E-2</v>
      </c>
      <c r="S44">
        <f>0.9155*Table2[[#This Row],[J67'']]*Table2[[#This Row],[weight]]</f>
        <v>4.9625861456699033E-2</v>
      </c>
      <c r="T44">
        <f>0.9155*Table2[[#This Row],[J77'']]*Table2[[#This Row],[weight]]</f>
        <v>-0.34001427584346039</v>
      </c>
    </row>
    <row r="45" spans="1:32" x14ac:dyDescent="0.25">
      <c r="A45" t="s">
        <v>109</v>
      </c>
      <c r="B45">
        <v>7.3070000000000004</v>
      </c>
      <c r="C45">
        <v>4.6500000000000004</v>
      </c>
      <c r="D45">
        <v>1.4079999999999999</v>
      </c>
      <c r="E45">
        <v>4.5890000000000004</v>
      </c>
      <c r="F45">
        <v>1.534</v>
      </c>
      <c r="G45">
        <v>12.442</v>
      </c>
      <c r="H45">
        <v>-10.365</v>
      </c>
      <c r="I45">
        <v>5.4059999999999997</v>
      </c>
      <c r="J45">
        <f>chloroform!J50</f>
        <v>0</v>
      </c>
      <c r="K45" t="str">
        <f>chloroform!F50</f>
        <v>12C5</v>
      </c>
      <c r="M45">
        <f>0.9155*Table2[[#This Row],[J1,2]]*Table2[[#This Row],[weight]]</f>
        <v>0</v>
      </c>
      <c r="N45">
        <f>0.9155*Table2[[#This Row],[J2,3]]*Table2[[#This Row],[weight]]</f>
        <v>0</v>
      </c>
      <c r="O45">
        <f>0.9155*Table2[[#This Row],[J34]]*Table2[[#This Row],[weight]]</f>
        <v>0</v>
      </c>
      <c r="P45">
        <f>0.9155*Table2[[#This Row],[J45]]*Table2[[#This Row],[weight]]</f>
        <v>0</v>
      </c>
      <c r="Q45">
        <f>0.9155*Table2[[#This Row],[J56]]*Table2[[#This Row],[weight]]</f>
        <v>0</v>
      </c>
      <c r="R45">
        <f>0.9155*Table2[[#This Row],[J67]]*Table2[[#This Row],[weight]]</f>
        <v>0</v>
      </c>
      <c r="S45">
        <f>0.9155*Table2[[#This Row],[J67'']]*Table2[[#This Row],[weight]]</f>
        <v>0</v>
      </c>
      <c r="T45">
        <f>0.9155*Table2[[#This Row],[J77'']]*Table2[[#This Row],[weight]]</f>
        <v>0</v>
      </c>
    </row>
    <row r="46" spans="1:32" x14ac:dyDescent="0.25">
      <c r="A46" t="s">
        <v>110</v>
      </c>
      <c r="B46">
        <v>7.71</v>
      </c>
      <c r="C46">
        <v>4.306</v>
      </c>
      <c r="D46">
        <v>1.542</v>
      </c>
      <c r="E46">
        <v>5.258</v>
      </c>
      <c r="F46">
        <v>2.0510000000000002</v>
      </c>
      <c r="G46">
        <v>1.212</v>
      </c>
      <c r="H46">
        <v>-13.64</v>
      </c>
      <c r="I46">
        <v>10.287000000000001</v>
      </c>
      <c r="J46">
        <f>chloroform!J51</f>
        <v>0</v>
      </c>
      <c r="K46" t="str">
        <f>chloroform!F51</f>
        <v>12C5</v>
      </c>
      <c r="M46">
        <f>0.9155*Table2[[#This Row],[J1,2]]*Table2[[#This Row],[weight]]</f>
        <v>0</v>
      </c>
      <c r="N46">
        <f>0.9155*Table2[[#This Row],[J2,3]]*Table2[[#This Row],[weight]]</f>
        <v>0</v>
      </c>
      <c r="O46">
        <f>0.9155*Table2[[#This Row],[J34]]*Table2[[#This Row],[weight]]</f>
        <v>0</v>
      </c>
      <c r="P46">
        <f>0.9155*Table2[[#This Row],[J45]]*Table2[[#This Row],[weight]]</f>
        <v>0</v>
      </c>
      <c r="Q46">
        <f>0.9155*Table2[[#This Row],[J56]]*Table2[[#This Row],[weight]]</f>
        <v>0</v>
      </c>
      <c r="R46">
        <f>0.9155*Table2[[#This Row],[J67]]*Table2[[#This Row],[weight]]</f>
        <v>0</v>
      </c>
      <c r="S46">
        <f>0.9155*Table2[[#This Row],[J67'']]*Table2[[#This Row],[weight]]</f>
        <v>0</v>
      </c>
      <c r="T46">
        <f>0.9155*Table2[[#This Row],[J77'']]*Table2[[#This Row],[weight]]</f>
        <v>0</v>
      </c>
    </row>
    <row r="47" spans="1:32" x14ac:dyDescent="0.25">
      <c r="A47" t="s">
        <v>111</v>
      </c>
      <c r="B47">
        <v>7.9450000000000003</v>
      </c>
      <c r="C47">
        <v>9.6859999999999999</v>
      </c>
      <c r="D47">
        <v>2.5680000000000001</v>
      </c>
      <c r="E47">
        <v>11.843</v>
      </c>
      <c r="F47">
        <v>9.8919999999999995</v>
      </c>
      <c r="G47">
        <v>0.96199999999999997</v>
      </c>
      <c r="H47">
        <v>-14.106</v>
      </c>
      <c r="I47">
        <v>3.2130000000000001</v>
      </c>
      <c r="J47" s="4">
        <f>chloroform!J52</f>
        <v>0</v>
      </c>
      <c r="K47" t="str">
        <f>chloroform!F53</f>
        <v>5C12</v>
      </c>
      <c r="M47">
        <f>0.9155*Table2[[#This Row],[J1,2]]*Table2[[#This Row],[weight]]</f>
        <v>0</v>
      </c>
      <c r="N47">
        <f>0.9155*Table2[[#This Row],[J2,3]]*Table2[[#This Row],[weight]]</f>
        <v>0</v>
      </c>
      <c r="O47">
        <f>0.9155*Table2[[#This Row],[J34]]*Table2[[#This Row],[weight]]</f>
        <v>0</v>
      </c>
      <c r="P47">
        <f>0.9155*Table2[[#This Row],[J45]]*Table2[[#This Row],[weight]]</f>
        <v>0</v>
      </c>
      <c r="Q47">
        <f>0.9155*Table2[[#This Row],[J56]]*Table2[[#This Row],[weight]]</f>
        <v>0</v>
      </c>
      <c r="R47">
        <f>0.9155*Table2[[#This Row],[J67]]*Table2[[#This Row],[weight]]</f>
        <v>0</v>
      </c>
      <c r="S47">
        <f>0.9155*Table2[[#This Row],[J67'']]*Table2[[#This Row],[weight]]</f>
        <v>0</v>
      </c>
      <c r="T47">
        <f>0.9155*Table2[[#This Row],[J77'']]*Table2[[#This Row],[weight]]</f>
        <v>0</v>
      </c>
    </row>
    <row r="48" spans="1:32" x14ac:dyDescent="0.25">
      <c r="A48" t="s">
        <v>86</v>
      </c>
      <c r="B48">
        <v>7.7770000000000001</v>
      </c>
      <c r="C48">
        <v>9.6180000000000003</v>
      </c>
      <c r="D48">
        <v>3.2610000000000001</v>
      </c>
      <c r="E48">
        <v>11.61</v>
      </c>
      <c r="F48">
        <v>10.763</v>
      </c>
      <c r="G48">
        <v>10.298999999999999</v>
      </c>
      <c r="H48">
        <v>-11.920999999999999</v>
      </c>
      <c r="I48">
        <v>2.0219999999999998</v>
      </c>
      <c r="J48" s="4">
        <f>chloroform!J53</f>
        <v>6.8395488899470691E-3</v>
      </c>
      <c r="K48" t="str">
        <f>chloroform!F54</f>
        <v>5C12</v>
      </c>
      <c r="M48">
        <f>0.9155*Table2[[#This Row],[J1,2]]*Table2[[#This Row],[weight]]</f>
        <v>4.8696517707021852E-2</v>
      </c>
      <c r="N48">
        <f>0.9155*Table2[[#This Row],[J2,3]]*Table2[[#This Row],[weight]]</f>
        <v>6.0224136210124242E-2</v>
      </c>
      <c r="O48">
        <f>0.9155*Table2[[#This Row],[J34]]*Table2[[#This Row],[weight]]</f>
        <v>2.0419100455522473E-2</v>
      </c>
      <c r="P48">
        <f>0.9155*Table2[[#This Row],[J45]]*Table2[[#This Row],[weight]]</f>
        <v>7.269725737154735E-2</v>
      </c>
      <c r="Q48">
        <f>0.9155*Table2[[#This Row],[J56]]*Table2[[#This Row],[weight]]</f>
        <v>6.7393676235139019E-2</v>
      </c>
      <c r="R48">
        <f>0.9155*Table2[[#This Row],[J67]]*Table2[[#This Row],[weight]]</f>
        <v>6.4488290583080629E-2</v>
      </c>
      <c r="S48">
        <f>0.9155*Table2[[#This Row],[J67'']]*Table2[[#This Row],[weight]]</f>
        <v>1.2660969371685505E-2</v>
      </c>
      <c r="T48">
        <f>0.9155*Table2[[#This Row],[J77'']]*Table2[[#This Row],[weight]]</f>
        <v>-7.4644617151267509E-2</v>
      </c>
    </row>
    <row r="49" spans="1:30" x14ac:dyDescent="0.25">
      <c r="A49" t="s">
        <v>34</v>
      </c>
      <c r="B49">
        <v>7.4260000000000002</v>
      </c>
      <c r="C49">
        <v>9.6319999999999997</v>
      </c>
      <c r="D49">
        <v>2.8889999999999998</v>
      </c>
      <c r="E49">
        <v>11.404</v>
      </c>
      <c r="F49">
        <v>11.605</v>
      </c>
      <c r="G49">
        <v>0.218</v>
      </c>
      <c r="H49">
        <v>-13.374000000000001</v>
      </c>
      <c r="I49">
        <v>7.2910000000000004</v>
      </c>
      <c r="J49" s="4">
        <f>chloroform!J54</f>
        <v>2.0960489617706171E-4</v>
      </c>
      <c r="K49" t="str">
        <f>chloroform!F55</f>
        <v>5C12</v>
      </c>
      <c r="M49">
        <f>0.9155*Table2[[#This Row],[J1,2]]*Table2[[#This Row],[weight]]</f>
        <v>1.4249995154744426E-3</v>
      </c>
      <c r="N49">
        <f>0.9155*Table2[[#This Row],[J2,3]]*Table2[[#This Row],[weight]]</f>
        <v>1.848316096559363E-3</v>
      </c>
      <c r="O49">
        <f>0.9155*Table2[[#This Row],[J34]]*Table2[[#This Row],[weight]]</f>
        <v>5.5437969299833886E-4</v>
      </c>
      <c r="P49">
        <f>0.9155*Table2[[#This Row],[J45]]*Table2[[#This Row],[weight]]</f>
        <v>2.1883509930609403E-3</v>
      </c>
      <c r="Q49">
        <f>0.9155*Table2[[#This Row],[J56]]*Table2[[#This Row],[weight]]</f>
        <v>2.2269215428334104E-3</v>
      </c>
      <c r="R49">
        <f>0.9155*Table2[[#This Row],[J67]]*Table2[[#This Row],[weight]]</f>
        <v>4.1832735574121804E-5</v>
      </c>
      <c r="S49">
        <f>0.9155*Table2[[#This Row],[J67'']]*Table2[[#This Row],[weight]]</f>
        <v>1.3990939223436792E-3</v>
      </c>
      <c r="T49">
        <f>0.9155*Table2[[#This Row],[J77'']]*Table2[[#This Row],[weight]]</f>
        <v>-2.5663807594876373E-3</v>
      </c>
    </row>
    <row r="50" spans="1:30" x14ac:dyDescent="0.25">
      <c r="A50" t="s">
        <v>87</v>
      </c>
      <c r="B50">
        <v>7.851</v>
      </c>
      <c r="C50">
        <v>9.6039999999999992</v>
      </c>
      <c r="D50">
        <v>3.1070000000000002</v>
      </c>
      <c r="E50">
        <v>11.244</v>
      </c>
      <c r="F50">
        <v>10.811</v>
      </c>
      <c r="G50">
        <v>1.841</v>
      </c>
      <c r="H50">
        <v>-13.474</v>
      </c>
      <c r="I50">
        <v>11.539</v>
      </c>
      <c r="J50" s="4">
        <f>chloroform!J55</f>
        <v>4.0120392345484514E-2</v>
      </c>
      <c r="K50" t="str">
        <f>chloroform!F56</f>
        <v>5C12</v>
      </c>
      <c r="M50">
        <f>0.9155*Table2[[#This Row],[J1,2]]*Table2[[#This Row],[weight]]</f>
        <v>0.2883689508786772</v>
      </c>
      <c r="N50">
        <f>0.9155*Table2[[#This Row],[J2,3]]*Table2[[#This Row],[weight]]</f>
        <v>0.35275702512276341</v>
      </c>
      <c r="O50">
        <f>0.9155*Table2[[#This Row],[J34]]*Table2[[#This Row],[weight]]</f>
        <v>0.11412079103044837</v>
      </c>
      <c r="P50">
        <f>0.9155*Table2[[#This Row],[J45]]*Table2[[#This Row],[weight]]</f>
        <v>0.41299458459812083</v>
      </c>
      <c r="Q50">
        <f>0.9155*Table2[[#This Row],[J56]]*Table2[[#This Row],[weight]]</f>
        <v>0.39709039968785875</v>
      </c>
      <c r="R50">
        <f>0.9155*Table2[[#This Row],[J67]]*Table2[[#This Row],[weight]]</f>
        <v>6.7620333533007865E-2</v>
      </c>
      <c r="S50">
        <f>0.9155*Table2[[#This Row],[J67'']]*Table2[[#This Row],[weight]]</f>
        <v>0.42382999925984666</v>
      </c>
      <c r="T50">
        <f>0.9155*Table2[[#This Row],[J77'']]*Table2[[#This Row],[weight]]</f>
        <v>-0.4949029733969299</v>
      </c>
    </row>
    <row r="51" spans="1:30" x14ac:dyDescent="0.25">
      <c r="A51" t="s">
        <v>88</v>
      </c>
      <c r="B51">
        <v>8.0009999999999994</v>
      </c>
      <c r="C51">
        <v>9.673</v>
      </c>
      <c r="D51">
        <v>3.1280000000000001</v>
      </c>
      <c r="E51">
        <v>11.555999999999999</v>
      </c>
      <c r="F51">
        <v>9.9169999999999998</v>
      </c>
      <c r="G51">
        <v>10.257999999999999</v>
      </c>
      <c r="H51">
        <v>-11.692</v>
      </c>
      <c r="I51">
        <v>1.8280000000000001</v>
      </c>
      <c r="J51" s="4">
        <f>chloroform!J56</f>
        <v>3.6829102602058171E-4</v>
      </c>
      <c r="K51" t="str">
        <f>chloroform!F57</f>
        <v>5C12</v>
      </c>
      <c r="M51">
        <f>0.9155*Table2[[#This Row],[J1,2]]*Table2[[#This Row],[weight]]</f>
        <v>2.6977006450090621E-3</v>
      </c>
      <c r="N51">
        <f>0.9155*Table2[[#This Row],[J2,3]]*Table2[[#This Row],[weight]]</f>
        <v>3.261449611195183E-3</v>
      </c>
      <c r="O51">
        <f>0.9155*Table2[[#This Row],[J34]]*Table2[[#This Row],[weight]]</f>
        <v>1.0546691185587237E-3</v>
      </c>
      <c r="P51">
        <f>0.9155*Table2[[#This Row],[J45]]*Table2[[#This Row],[weight]]</f>
        <v>3.8963415390232121E-3</v>
      </c>
      <c r="Q51">
        <f>0.9155*Table2[[#This Row],[J56]]*Table2[[#This Row],[weight]]</f>
        <v>3.3437191971697126E-3</v>
      </c>
      <c r="R51">
        <f>0.9155*Table2[[#This Row],[J67]]*Table2[[#This Row],[weight]]</f>
        <v>3.4586943152734606E-3</v>
      </c>
      <c r="S51">
        <f>0.9155*Table2[[#This Row],[J67'']]*Table2[[#This Row],[weight]]</f>
        <v>6.1634755394032823E-4</v>
      </c>
      <c r="T51">
        <f>0.9155*Table2[[#This Row],[J77'']]*Table2[[#This Row],[weight]]</f>
        <v>-3.9421967180909836E-3</v>
      </c>
      <c r="AA51" s="5"/>
      <c r="AB51" s="5"/>
      <c r="AC51" s="5"/>
      <c r="AD51" s="5"/>
    </row>
    <row r="52" spans="1:30" x14ac:dyDescent="0.25">
      <c r="A52" t="s">
        <v>89</v>
      </c>
      <c r="B52">
        <v>7.7320000000000002</v>
      </c>
      <c r="C52">
        <v>9.64</v>
      </c>
      <c r="D52">
        <v>3.1120000000000001</v>
      </c>
      <c r="E52">
        <v>11.586</v>
      </c>
      <c r="F52">
        <v>10.097</v>
      </c>
      <c r="G52">
        <v>1.615</v>
      </c>
      <c r="H52">
        <v>-13.877000000000001</v>
      </c>
      <c r="I52">
        <v>11.313000000000001</v>
      </c>
      <c r="J52" s="4">
        <f>chloroform!J57</f>
        <v>8.1309185658397579E-4</v>
      </c>
      <c r="K52" t="str">
        <f>chloroform!F58</f>
        <v>56E</v>
      </c>
      <c r="M52">
        <f>0.9155*Table2[[#This Row],[J1,2]]*Table2[[#This Row],[weight]]</f>
        <v>5.7555894182407339E-3</v>
      </c>
      <c r="N52">
        <f>0.9155*Table2[[#This Row],[J2,3]]*Table2[[#This Row],[weight]]</f>
        <v>7.1758771329333525E-3</v>
      </c>
      <c r="O52">
        <f>0.9155*Table2[[#This Row],[J34]]*Table2[[#This Row],[weight]]</f>
        <v>2.3165279707145839E-3</v>
      </c>
      <c r="P52">
        <f>0.9155*Table2[[#This Row],[J45]]*Table2[[#This Row],[weight]]</f>
        <v>8.624451500224669E-3</v>
      </c>
      <c r="Q52">
        <f>0.9155*Table2[[#This Row],[J56]]*Table2[[#This Row],[weight]]</f>
        <v>7.5160613497124518E-3</v>
      </c>
      <c r="R52">
        <f>0.9155*Table2[[#This Row],[J67]]*Table2[[#This Row],[weight]]</f>
        <v>1.2021827354447472E-3</v>
      </c>
      <c r="S52">
        <f>0.9155*Table2[[#This Row],[J67'']]*Table2[[#This Row],[weight]]</f>
        <v>8.4212342328708525E-3</v>
      </c>
      <c r="T52">
        <f>0.9155*Table2[[#This Row],[J77'']]*Table2[[#This Row],[weight]]</f>
        <v>-1.0329838897688395E-2</v>
      </c>
    </row>
    <row r="53" spans="1:30" x14ac:dyDescent="0.25">
      <c r="A53" t="s">
        <v>90</v>
      </c>
      <c r="B53">
        <v>8.2629999999999999</v>
      </c>
      <c r="C53">
        <v>5.1920000000000002</v>
      </c>
      <c r="D53">
        <v>3.12</v>
      </c>
      <c r="E53">
        <v>10.851000000000001</v>
      </c>
      <c r="F53">
        <v>10.433</v>
      </c>
      <c r="G53">
        <v>2.4660000000000002</v>
      </c>
      <c r="H53">
        <v>-13.84</v>
      </c>
      <c r="I53">
        <v>1.4510000000000001</v>
      </c>
      <c r="J53" s="4">
        <f>chloroform!J58</f>
        <v>5.2511957077470057E-5</v>
      </c>
      <c r="K53" t="str">
        <f>chloroform!F59</f>
        <v>4H6</v>
      </c>
      <c r="M53">
        <f>0.9155*Table2[[#This Row],[J1,2]]*Table2[[#This Row],[weight]]</f>
        <v>3.9724121886865416E-4</v>
      </c>
      <c r="N53">
        <f>0.9155*Table2[[#This Row],[J2,3]]*Table2[[#This Row],[weight]]</f>
        <v>2.4960382528936852E-4</v>
      </c>
      <c r="O53">
        <f>0.9155*Table2[[#This Row],[J34]]*Table2[[#This Row],[weight]]</f>
        <v>1.4999305371780238E-4</v>
      </c>
      <c r="P53">
        <f>0.9155*Table2[[#This Row],[J45]]*Table2[[#This Row],[weight]]</f>
        <v>5.2165853393970304E-4</v>
      </c>
      <c r="Q53">
        <f>0.9155*Table2[[#This Row],[J56]]*Table2[[#This Row],[weight]]</f>
        <v>5.0156331071725391E-4</v>
      </c>
      <c r="R53">
        <f>0.9155*Table2[[#This Row],[J67]]*Table2[[#This Row],[weight]]</f>
        <v>1.1855220207310919E-4</v>
      </c>
      <c r="S53">
        <f>0.9155*Table2[[#This Row],[J67'']]*Table2[[#This Row],[weight]]</f>
        <v>6.9756384918118986E-5</v>
      </c>
      <c r="T53">
        <f>0.9155*Table2[[#This Row],[J77'']]*Table2[[#This Row],[weight]]</f>
        <v>-6.6535380238922585E-4</v>
      </c>
    </row>
    <row r="54" spans="1:30" x14ac:dyDescent="0.25">
      <c r="A54" t="s">
        <v>91</v>
      </c>
      <c r="B54">
        <v>8.1359999999999992</v>
      </c>
      <c r="C54">
        <v>2.2959999999999998</v>
      </c>
      <c r="D54">
        <v>2.145</v>
      </c>
      <c r="E54">
        <v>3.1349999999999998</v>
      </c>
      <c r="F54">
        <v>9.2989999999999995</v>
      </c>
      <c r="G54">
        <v>12.37</v>
      </c>
      <c r="H54">
        <v>-12.305999999999999</v>
      </c>
      <c r="I54">
        <v>5.3520000000000003</v>
      </c>
      <c r="J54" s="4">
        <f>chloroform!J59</f>
        <v>1.0770965039707274E-2</v>
      </c>
      <c r="K54" t="str">
        <f>chloroform!F60</f>
        <v>5C12</v>
      </c>
      <c r="M54">
        <f>0.9155*Table2[[#This Row],[J1,2]]*Table2[[#This Row],[weight]]</f>
        <v>8.0227619265979946E-2</v>
      </c>
      <c r="N54">
        <f>0.9155*Table2[[#This Row],[J2,3]]*Table2[[#This Row],[weight]]</f>
        <v>2.2640439261884214E-2</v>
      </c>
      <c r="O54">
        <f>0.9155*Table2[[#This Row],[J34]]*Table2[[#This Row],[weight]]</f>
        <v>2.115145566931256E-2</v>
      </c>
      <c r="P54">
        <f>0.9155*Table2[[#This Row],[J45]]*Table2[[#This Row],[weight]]</f>
        <v>3.0913665978226049E-2</v>
      </c>
      <c r="Q54">
        <f>0.9155*Table2[[#This Row],[J56]]*Table2[[#This Row],[weight]]</f>
        <v>9.1695751174329834E-2</v>
      </c>
      <c r="R54">
        <f>0.9155*Table2[[#This Row],[J67]]*Table2[[#This Row],[weight]]</f>
        <v>0.12197832476894935</v>
      </c>
      <c r="S54">
        <f>0.9155*Table2[[#This Row],[J67'']]*Table2[[#This Row],[weight]]</f>
        <v>5.2775100579095957E-2</v>
      </c>
      <c r="T54">
        <f>0.9155*Table2[[#This Row],[J77'']]*Table2[[#This Row],[weight]]</f>
        <v>-0.12134723238534283</v>
      </c>
    </row>
    <row r="55" spans="1:30" x14ac:dyDescent="0.25">
      <c r="A55" t="s">
        <v>92</v>
      </c>
      <c r="B55">
        <v>7.8230000000000004</v>
      </c>
      <c r="C55">
        <v>9.6460000000000008</v>
      </c>
      <c r="D55">
        <v>3.19</v>
      </c>
      <c r="E55">
        <v>11.573</v>
      </c>
      <c r="F55">
        <v>10.56</v>
      </c>
      <c r="G55">
        <v>10.345000000000001</v>
      </c>
      <c r="H55">
        <v>-13.125999999999999</v>
      </c>
      <c r="I55">
        <v>1.67</v>
      </c>
      <c r="J55" s="4">
        <f>chloroform!J60</f>
        <v>1.0207311634556158E-3</v>
      </c>
      <c r="K55" t="str">
        <f>chloroform!F61</f>
        <v>4H6</v>
      </c>
      <c r="M55">
        <f>0.9155*Table2[[#This Row],[J1,2]]*Table2[[#This Row],[weight]]</f>
        <v>7.3104321908635103E-3</v>
      </c>
      <c r="N55">
        <f>0.9155*Table2[[#This Row],[J2,3]]*Table2[[#This Row],[weight]]</f>
        <v>9.0139881008653236E-3</v>
      </c>
      <c r="O55">
        <f>0.9155*Table2[[#This Row],[J34]]*Table2[[#This Row],[weight]]</f>
        <v>2.9809892226581357E-3</v>
      </c>
      <c r="P55">
        <f>0.9155*Table2[[#This Row],[J45]]*Table2[[#This Row],[weight]]</f>
        <v>1.0814729866402072E-2</v>
      </c>
      <c r="Q55">
        <f>0.9155*Table2[[#This Row],[J56]]*Table2[[#This Row],[weight]]</f>
        <v>9.8681022543165887E-3</v>
      </c>
      <c r="R55">
        <f>0.9155*Table2[[#This Row],[J67]]*Table2[[#This Row],[weight]]</f>
        <v>9.6671891875857105E-3</v>
      </c>
      <c r="S55">
        <f>0.9155*Table2[[#This Row],[J67'']]*Table2[[#This Row],[weight]]</f>
        <v>1.560580564839839E-3</v>
      </c>
      <c r="T55">
        <f>0.9155*Table2[[#This Row],[J77'']]*Table2[[#This Row],[weight]]</f>
        <v>-1.2265976343765106E-2</v>
      </c>
    </row>
    <row r="56" spans="1:30" x14ac:dyDescent="0.25">
      <c r="A56" t="s">
        <v>93</v>
      </c>
      <c r="B56">
        <v>8.3130000000000006</v>
      </c>
      <c r="C56">
        <v>2.1040000000000001</v>
      </c>
      <c r="D56">
        <v>2.2330000000000001</v>
      </c>
      <c r="E56">
        <v>0.77</v>
      </c>
      <c r="F56">
        <v>12.39</v>
      </c>
      <c r="G56">
        <v>7.7210000000000001</v>
      </c>
      <c r="H56">
        <v>-12.673999999999999</v>
      </c>
      <c r="I56">
        <v>0.45300000000000001</v>
      </c>
      <c r="J56" s="4">
        <f>chloroform!J61</f>
        <v>2.3600035153043737E-3</v>
      </c>
      <c r="K56" t="str">
        <f>chloroform!F62</f>
        <v>4H6</v>
      </c>
      <c r="M56">
        <f>0.9155*Table2[[#This Row],[J1,2]]*Table2[[#This Row],[weight]]</f>
        <v>1.7960928293404975E-2</v>
      </c>
      <c r="N56">
        <f>0.9155*Table2[[#This Row],[J2,3]]*Table2[[#This Row],[weight]]</f>
        <v>4.5458670912214682E-3</v>
      </c>
      <c r="O56">
        <f>0.9155*Table2[[#This Row],[J34]]*Table2[[#This Row],[weight]]</f>
        <v>4.8245823263771571E-3</v>
      </c>
      <c r="P56">
        <f>0.9155*Table2[[#This Row],[J45]]*Table2[[#This Row],[weight]]</f>
        <v>1.6636490780610885E-3</v>
      </c>
      <c r="Q56">
        <f>0.9155*Table2[[#This Row],[J56]]*Table2[[#This Row],[weight]]</f>
        <v>2.67696260742557E-2</v>
      </c>
      <c r="R56">
        <f>0.9155*Table2[[#This Row],[J67]]*Table2[[#This Row],[weight]]</f>
        <v>1.6681863028194369E-2</v>
      </c>
      <c r="S56">
        <f>0.9155*Table2[[#This Row],[J67'']]*Table2[[#This Row],[weight]]</f>
        <v>9.7874419787230289E-4</v>
      </c>
      <c r="T56">
        <f>0.9155*Table2[[#This Row],[J77'']]*Table2[[#This Row],[weight]]</f>
        <v>-2.7383231708241869E-2</v>
      </c>
      <c r="X56">
        <v>7.5195477059059055</v>
      </c>
      <c r="Y56">
        <v>4.5225907902294598</v>
      </c>
      <c r="Z56">
        <v>2.2660040961048349</v>
      </c>
      <c r="AA56">
        <v>4.8730397407730726</v>
      </c>
      <c r="AB56">
        <v>9.7908640928519937</v>
      </c>
      <c r="AC56">
        <v>2.0698461435321978</v>
      </c>
      <c r="AD56">
        <v>4.4405896221672885</v>
      </c>
    </row>
    <row r="57" spans="1:30" x14ac:dyDescent="0.25">
      <c r="A57" t="s">
        <v>112</v>
      </c>
      <c r="B57">
        <v>8.359</v>
      </c>
      <c r="C57">
        <v>2.3479999999999999</v>
      </c>
      <c r="D57">
        <v>1.512</v>
      </c>
      <c r="E57">
        <v>2.5659999999999998</v>
      </c>
      <c r="F57">
        <v>10.856</v>
      </c>
      <c r="G57">
        <v>0.33100000000000002</v>
      </c>
      <c r="H57">
        <v>-13.724</v>
      </c>
      <c r="I57">
        <v>8.1159999999999997</v>
      </c>
      <c r="J57" s="4">
        <f>chloroform!J62</f>
        <v>0</v>
      </c>
      <c r="K57" t="str">
        <f>chloroform!F63</f>
        <v>4H6</v>
      </c>
      <c r="M57">
        <f>0.9155*Table2[[#This Row],[J1,2]]*Table2[[#This Row],[weight]]</f>
        <v>0</v>
      </c>
      <c r="N57">
        <f>0.9155*Table2[[#This Row],[J2,3]]*Table2[[#This Row],[weight]]</f>
        <v>0</v>
      </c>
      <c r="O57">
        <f>0.9155*Table2[[#This Row],[J34]]*Table2[[#This Row],[weight]]</f>
        <v>0</v>
      </c>
      <c r="P57">
        <f>0.9155*Table2[[#This Row],[J45]]*Table2[[#This Row],[weight]]</f>
        <v>0</v>
      </c>
      <c r="Q57">
        <f>0.9155*Table2[[#This Row],[J56]]*Table2[[#This Row],[weight]]</f>
        <v>0</v>
      </c>
      <c r="R57">
        <f>0.9155*Table2[[#This Row],[J67]]*Table2[[#This Row],[weight]]</f>
        <v>0</v>
      </c>
      <c r="S57">
        <f>0.9155*Table2[[#This Row],[J67'']]*Table2[[#This Row],[weight]]</f>
        <v>0</v>
      </c>
      <c r="T57">
        <f>0.9155*Table2[[#This Row],[J77'']]*Table2[[#This Row],[weight]]</f>
        <v>0</v>
      </c>
    </row>
    <row r="58" spans="1:30" x14ac:dyDescent="0.25">
      <c r="A58" t="s">
        <v>113</v>
      </c>
      <c r="B58">
        <v>8.3309999999999995</v>
      </c>
      <c r="C58">
        <v>2.343</v>
      </c>
      <c r="D58">
        <v>1.524</v>
      </c>
      <c r="E58">
        <v>2.16</v>
      </c>
      <c r="F58">
        <v>11.792999999999999</v>
      </c>
      <c r="G58">
        <v>1.845</v>
      </c>
      <c r="H58">
        <v>-12.763999999999999</v>
      </c>
      <c r="I58">
        <v>10.965</v>
      </c>
      <c r="J58" s="4">
        <f>chloroform!J63</f>
        <v>0</v>
      </c>
      <c r="K58" t="str">
        <f>chloroform!F64</f>
        <v>5C12</v>
      </c>
      <c r="M58">
        <f>0.9155*Table2[[#This Row],[J1,2]]*Table2[[#This Row],[weight]]</f>
        <v>0</v>
      </c>
      <c r="N58">
        <f>0.9155*Table2[[#This Row],[J2,3]]*Table2[[#This Row],[weight]]</f>
        <v>0</v>
      </c>
      <c r="O58">
        <f>0.9155*Table2[[#This Row],[J34]]*Table2[[#This Row],[weight]]</f>
        <v>0</v>
      </c>
      <c r="P58">
        <f>0.9155*Table2[[#This Row],[J45]]*Table2[[#This Row],[weight]]</f>
        <v>0</v>
      </c>
      <c r="Q58">
        <f>0.9155*Table2[[#This Row],[J56]]*Table2[[#This Row],[weight]]</f>
        <v>0</v>
      </c>
      <c r="R58">
        <f>0.9155*Table2[[#This Row],[J67]]*Table2[[#This Row],[weight]]</f>
        <v>0</v>
      </c>
      <c r="S58">
        <f>0.9155*Table2[[#This Row],[J67'']]*Table2[[#This Row],[weight]]</f>
        <v>0</v>
      </c>
      <c r="T58">
        <f>0.9155*Table2[[#This Row],[J77'']]*Table2[[#This Row],[weight]]</f>
        <v>0</v>
      </c>
      <c r="X58" s="6">
        <v>7.5195477059059055</v>
      </c>
    </row>
    <row r="59" spans="1:30" x14ac:dyDescent="0.25">
      <c r="A59" t="s">
        <v>94</v>
      </c>
      <c r="B59">
        <v>7.8869999999999996</v>
      </c>
      <c r="C59">
        <v>9.7390000000000008</v>
      </c>
      <c r="D59">
        <v>2.9470000000000001</v>
      </c>
      <c r="E59">
        <v>11.532</v>
      </c>
      <c r="F59">
        <v>10.148999999999999</v>
      </c>
      <c r="G59">
        <v>10.340999999999999</v>
      </c>
      <c r="H59">
        <v>-12.941000000000001</v>
      </c>
      <c r="I59">
        <v>1.391</v>
      </c>
      <c r="J59" s="4">
        <f>chloroform!J64</f>
        <v>1.2057133954501917E-4</v>
      </c>
      <c r="K59" t="str">
        <f>chloroform!F65</f>
        <v>E45</v>
      </c>
      <c r="M59">
        <f>0.9155*Table2[[#This Row],[J1,2]]*Table2[[#This Row],[weight]]</f>
        <v>8.7059120489477876E-4</v>
      </c>
      <c r="N59">
        <f>0.9155*Table2[[#This Row],[J2,3]]*Table2[[#This Row],[weight]]</f>
        <v>1.0750206345213962E-3</v>
      </c>
      <c r="O59">
        <f>0.9155*Table2[[#This Row],[J34]]*Table2[[#This Row],[weight]]</f>
        <v>3.2529888180866153E-4</v>
      </c>
      <c r="P59">
        <f>0.9155*Table2[[#This Row],[J45]]*Table2[[#This Row],[weight]]</f>
        <v>1.272937463528159E-3</v>
      </c>
      <c r="Q59">
        <f>0.9155*Table2[[#This Row],[J56]]*Table2[[#This Row],[weight]]</f>
        <v>1.1202776896763165E-3</v>
      </c>
      <c r="R59">
        <f>0.9155*Table2[[#This Row],[J67]]*Table2[[#This Row],[weight]]</f>
        <v>1.1414712374561819E-3</v>
      </c>
      <c r="S59">
        <f>0.9155*Table2[[#This Row],[J67'']]*Table2[[#This Row],[weight]]</f>
        <v>1.5354283834266986E-4</v>
      </c>
      <c r="T59">
        <f>0.9155*Table2[[#This Row],[J77'']]*Table2[[#This Row],[weight]]</f>
        <v>-1.4284671969751915E-3</v>
      </c>
      <c r="X59" s="6">
        <v>4.5225907902294598</v>
      </c>
    </row>
    <row r="60" spans="1:30" x14ac:dyDescent="0.25">
      <c r="A60" t="s">
        <v>114</v>
      </c>
      <c r="B60">
        <v>9.173</v>
      </c>
      <c r="C60">
        <v>9.6219999999999999</v>
      </c>
      <c r="D60">
        <v>7.2910000000000004</v>
      </c>
      <c r="E60">
        <v>0.496</v>
      </c>
      <c r="F60">
        <v>4.1260000000000003</v>
      </c>
      <c r="G60">
        <v>13.627000000000001</v>
      </c>
      <c r="H60">
        <v>-12.285</v>
      </c>
      <c r="I60">
        <v>5.569</v>
      </c>
      <c r="J60" s="4">
        <f>chloroform!J65</f>
        <v>0</v>
      </c>
      <c r="K60" t="str">
        <f>chloroform!F66</f>
        <v>E45</v>
      </c>
      <c r="M60">
        <f>0.9155*Table2[[#This Row],[J1,2]]*Table2[[#This Row],[weight]]</f>
        <v>0</v>
      </c>
      <c r="N60">
        <f>0.9155*Table2[[#This Row],[J2,3]]*Table2[[#This Row],[weight]]</f>
        <v>0</v>
      </c>
      <c r="O60">
        <f>0.9155*Table2[[#This Row],[J34]]*Table2[[#This Row],[weight]]</f>
        <v>0</v>
      </c>
      <c r="P60">
        <f>0.9155*Table2[[#This Row],[J45]]*Table2[[#This Row],[weight]]</f>
        <v>0</v>
      </c>
      <c r="Q60">
        <f>0.9155*Table2[[#This Row],[J56]]*Table2[[#This Row],[weight]]</f>
        <v>0</v>
      </c>
      <c r="R60">
        <f>0.9155*Table2[[#This Row],[J67]]*Table2[[#This Row],[weight]]</f>
        <v>0</v>
      </c>
      <c r="S60">
        <f>0.9155*Table2[[#This Row],[J67'']]*Table2[[#This Row],[weight]]</f>
        <v>0</v>
      </c>
      <c r="T60">
        <f>0.9155*Table2[[#This Row],[J77'']]*Table2[[#This Row],[weight]]</f>
        <v>0</v>
      </c>
      <c r="X60" s="6">
        <v>2.2660040961048349</v>
      </c>
    </row>
    <row r="61" spans="1:30" x14ac:dyDescent="0.25">
      <c r="A61" t="s">
        <v>115</v>
      </c>
      <c r="B61">
        <v>9.3719999999999999</v>
      </c>
      <c r="C61">
        <v>9.0079999999999991</v>
      </c>
      <c r="D61">
        <v>7.9119999999999999</v>
      </c>
      <c r="E61">
        <v>0.67600000000000005</v>
      </c>
      <c r="F61">
        <v>4.32</v>
      </c>
      <c r="G61">
        <v>1.917</v>
      </c>
      <c r="H61">
        <v>-13.887</v>
      </c>
      <c r="I61">
        <v>11.785</v>
      </c>
      <c r="J61" s="4">
        <f>chloroform!J66</f>
        <v>0</v>
      </c>
      <c r="K61" t="str">
        <f>chloroform!F67</f>
        <v>5C12</v>
      </c>
      <c r="M61">
        <f>0.9155*Table2[[#This Row],[J1,2]]*Table2[[#This Row],[weight]]</f>
        <v>0</v>
      </c>
      <c r="N61">
        <f>0.9155*Table2[[#This Row],[J2,3]]*Table2[[#This Row],[weight]]</f>
        <v>0</v>
      </c>
      <c r="O61">
        <f>0.9155*Table2[[#This Row],[J34]]*Table2[[#This Row],[weight]]</f>
        <v>0</v>
      </c>
      <c r="P61">
        <f>0.9155*Table2[[#This Row],[J45]]*Table2[[#This Row],[weight]]</f>
        <v>0</v>
      </c>
      <c r="Q61">
        <f>0.9155*Table2[[#This Row],[J56]]*Table2[[#This Row],[weight]]</f>
        <v>0</v>
      </c>
      <c r="R61">
        <f>0.9155*Table2[[#This Row],[J67]]*Table2[[#This Row],[weight]]</f>
        <v>0</v>
      </c>
      <c r="S61">
        <f>0.9155*Table2[[#This Row],[J67'']]*Table2[[#This Row],[weight]]</f>
        <v>0</v>
      </c>
      <c r="T61">
        <f>0.9155*Table2[[#This Row],[J77'']]*Table2[[#This Row],[weight]]</f>
        <v>0</v>
      </c>
      <c r="X61" s="6">
        <v>4.8730397407730726</v>
      </c>
    </row>
    <row r="62" spans="1:30" x14ac:dyDescent="0.25">
      <c r="A62" t="s">
        <v>95</v>
      </c>
      <c r="B62">
        <v>8.7739999999999991</v>
      </c>
      <c r="C62">
        <v>7.9809999999999999</v>
      </c>
      <c r="D62">
        <v>7.3209999999999997</v>
      </c>
      <c r="E62">
        <v>11.122999999999999</v>
      </c>
      <c r="F62">
        <v>10.435</v>
      </c>
      <c r="G62">
        <v>1.6779999999999999</v>
      </c>
      <c r="H62">
        <v>-13.105</v>
      </c>
      <c r="I62">
        <v>2.274</v>
      </c>
      <c r="J62" s="4">
        <f>chloroform!J67</f>
        <v>6.4481041042882236E-5</v>
      </c>
      <c r="K62" t="str">
        <f>chloroform!F68</f>
        <v>4H6</v>
      </c>
      <c r="M62">
        <f>0.9155*Table2[[#This Row],[J1,2]]*Table2[[#This Row],[weight]]</f>
        <v>5.1795021683793269E-4</v>
      </c>
      <c r="N62">
        <f>0.9155*Table2[[#This Row],[J2,3]]*Table2[[#This Row],[weight]]</f>
        <v>4.7113752912964906E-4</v>
      </c>
      <c r="O62">
        <f>0.9155*Table2[[#This Row],[J34]]*Table2[[#This Row],[weight]]</f>
        <v>4.3217614970030835E-4</v>
      </c>
      <c r="P62">
        <f>0.9155*Table2[[#This Row],[J45]]*Table2[[#This Row],[weight]]</f>
        <v>6.5661730817054081E-4</v>
      </c>
      <c r="Q62">
        <f>0.9155*Table2[[#This Row],[J56]]*Table2[[#This Row],[weight]]</f>
        <v>6.1600302173510683E-4</v>
      </c>
      <c r="R62">
        <f>0.9155*Table2[[#This Row],[J67]]*Table2[[#This Row],[weight]]</f>
        <v>9.9056355579445074E-5</v>
      </c>
      <c r="S62">
        <f>0.9155*Table2[[#This Row],[J67'']]*Table2[[#This Row],[weight]]</f>
        <v>1.3423966185200124E-4</v>
      </c>
      <c r="T62">
        <f>0.9155*Table2[[#This Row],[J77'']]*Table2[[#This Row],[weight]]</f>
        <v>-7.736195112447126E-4</v>
      </c>
      <c r="X62" s="6">
        <v>9.7908640928519937</v>
      </c>
    </row>
    <row r="63" spans="1:30" x14ac:dyDescent="0.25">
      <c r="A63" t="s">
        <v>116</v>
      </c>
      <c r="B63">
        <v>8.2750000000000004</v>
      </c>
      <c r="C63">
        <v>2.3479999999999999</v>
      </c>
      <c r="D63">
        <v>1.5189999999999999</v>
      </c>
      <c r="E63">
        <v>2.0790000000000002</v>
      </c>
      <c r="F63">
        <v>11.973000000000001</v>
      </c>
      <c r="G63">
        <v>1.36</v>
      </c>
      <c r="H63">
        <v>-13.59</v>
      </c>
      <c r="I63">
        <v>10.737</v>
      </c>
      <c r="J63" s="4">
        <f>chloroform!J68</f>
        <v>0</v>
      </c>
      <c r="K63" t="str">
        <f>chloroform!F69</f>
        <v>12C5</v>
      </c>
      <c r="M63">
        <f>0.9155*Table2[[#This Row],[J1,2]]*Table2[[#This Row],[weight]]</f>
        <v>0</v>
      </c>
      <c r="N63">
        <f>0.9155*Table2[[#This Row],[J2,3]]*Table2[[#This Row],[weight]]</f>
        <v>0</v>
      </c>
      <c r="O63">
        <f>0.9155*Table2[[#This Row],[J34]]*Table2[[#This Row],[weight]]</f>
        <v>0</v>
      </c>
      <c r="P63">
        <f>0.9155*Table2[[#This Row],[J45]]*Table2[[#This Row],[weight]]</f>
        <v>0</v>
      </c>
      <c r="Q63">
        <f>0.9155*Table2[[#This Row],[J56]]*Table2[[#This Row],[weight]]</f>
        <v>0</v>
      </c>
      <c r="R63">
        <f>0.9155*Table2[[#This Row],[J67]]*Table2[[#This Row],[weight]]</f>
        <v>0</v>
      </c>
      <c r="S63">
        <f>0.9155*Table2[[#This Row],[J67'']]*Table2[[#This Row],[weight]]</f>
        <v>0</v>
      </c>
      <c r="T63">
        <f>0.9155*Table2[[#This Row],[J77'']]*Table2[[#This Row],[weight]]</f>
        <v>0</v>
      </c>
      <c r="X63" s="6">
        <v>2.0698461435321978</v>
      </c>
    </row>
    <row r="64" spans="1:30" x14ac:dyDescent="0.25">
      <c r="A64" t="s">
        <v>96</v>
      </c>
      <c r="B64">
        <v>8.5269999999999992</v>
      </c>
      <c r="C64">
        <v>2.964</v>
      </c>
      <c r="D64">
        <v>2.8570000000000002</v>
      </c>
      <c r="E64">
        <v>5.57</v>
      </c>
      <c r="F64">
        <v>2.597</v>
      </c>
      <c r="G64">
        <v>1.349</v>
      </c>
      <c r="H64">
        <v>-13.481999999999999</v>
      </c>
      <c r="I64">
        <v>10.587</v>
      </c>
      <c r="J64" s="4">
        <f>chloroform!J69</f>
        <v>9.4835783659327801E-3</v>
      </c>
      <c r="K64">
        <f>chloroform!F70</f>
        <v>0</v>
      </c>
      <c r="M64">
        <f>0.9155*Table2[[#This Row],[J1,2]]*Table2[[#This Row],[weight]]</f>
        <v>7.4033255780935711E-2</v>
      </c>
      <c r="N64">
        <f>0.9155*Table2[[#This Row],[J2,3]]*Table2[[#This Row],[weight]]</f>
        <v>2.5734088206249967E-2</v>
      </c>
      <c r="O64">
        <f>0.9155*Table2[[#This Row],[J34]]*Table2[[#This Row],[weight]]</f>
        <v>2.4805091094890742E-2</v>
      </c>
      <c r="P64">
        <f>0.9155*Table2[[#This Row],[J45]]*Table2[[#This Row],[weight]]</f>
        <v>4.8359943086643833E-2</v>
      </c>
      <c r="Q64">
        <f>0.9155*Table2[[#This Row],[J56]]*Table2[[#This Row],[weight]]</f>
        <v>2.254771493644776E-2</v>
      </c>
      <c r="R64">
        <f>0.9155*Table2[[#This Row],[J67]]*Table2[[#This Row],[weight]]</f>
        <v>1.1712309375921458E-2</v>
      </c>
      <c r="S64">
        <f>0.9155*Table2[[#This Row],[J67'']]*Table2[[#This Row],[weight]]</f>
        <v>9.1918620728599326E-2</v>
      </c>
      <c r="T64">
        <f>0.9155*Table2[[#This Row],[J77'']]*Table2[[#This Row],[weight]]</f>
        <v>-0.1170536360312625</v>
      </c>
      <c r="X64" s="6">
        <v>4.4405896221672885</v>
      </c>
    </row>
    <row r="65" spans="10:20" x14ac:dyDescent="0.25">
      <c r="M65">
        <f>SUM(M2:M64)</f>
        <v>7.5195477059059055</v>
      </c>
      <c r="N65">
        <f t="shared" ref="N65:T65" si="1">SUM(N2:N64)</f>
        <v>4.5225907902294598</v>
      </c>
      <c r="O65">
        <f t="shared" si="1"/>
        <v>2.2660040961048349</v>
      </c>
      <c r="P65">
        <f t="shared" si="1"/>
        <v>4.8730397407730726</v>
      </c>
      <c r="Q65">
        <f t="shared" si="1"/>
        <v>9.7908640928519937</v>
      </c>
      <c r="R65">
        <f t="shared" si="1"/>
        <v>2.0698461435321978</v>
      </c>
      <c r="S65">
        <f t="shared" si="1"/>
        <v>4.4405896221672885</v>
      </c>
      <c r="T65">
        <f t="shared" si="1"/>
        <v>-12.188372274734347</v>
      </c>
    </row>
    <row r="66" spans="10:20" x14ac:dyDescent="0.25">
      <c r="M66">
        <v>6.8367000000000004</v>
      </c>
      <c r="N66" s="5">
        <v>3.44</v>
      </c>
      <c r="O66" s="5">
        <v>1.77</v>
      </c>
      <c r="P66" s="5">
        <v>4.0999999999999996</v>
      </c>
      <c r="Q66" s="5">
        <v>8.9</v>
      </c>
      <c r="R66">
        <v>2.54</v>
      </c>
      <c r="S66">
        <v>6.31</v>
      </c>
      <c r="T66">
        <v>-12.36</v>
      </c>
    </row>
    <row r="67" spans="10:20" x14ac:dyDescent="0.25">
      <c r="R67" t="s">
        <v>55</v>
      </c>
      <c r="S67">
        <f>SQRT(SUMXMY2(M65:S65,M66:S66)/7)</f>
        <v>0.99937644517190749</v>
      </c>
    </row>
    <row r="68" spans="10:20" x14ac:dyDescent="0.25">
      <c r="J68" s="4"/>
      <c r="S68">
        <f>SQRT(SUMXMY2(M65:Q65,M66:Q66)/5)</f>
        <v>0.80938657570420369</v>
      </c>
    </row>
    <row r="72" spans="10:20" x14ac:dyDescent="0.25">
      <c r="M72">
        <v>7.5195477059059055</v>
      </c>
      <c r="N72">
        <v>4.5225907902294598</v>
      </c>
      <c r="O72">
        <v>2.2660040961048349</v>
      </c>
      <c r="P72">
        <v>4.8730397407730726</v>
      </c>
      <c r="Q72">
        <v>9.7908640928519937</v>
      </c>
      <c r="R72">
        <v>2.0698461435321978</v>
      </c>
      <c r="S72">
        <v>4.4405896221672885</v>
      </c>
    </row>
    <row r="73" spans="10:20" x14ac:dyDescent="0.25">
      <c r="M73">
        <v>6.8367000000000004</v>
      </c>
      <c r="N73">
        <v>3.44</v>
      </c>
      <c r="O73">
        <v>1.77</v>
      </c>
      <c r="P73">
        <v>4.0999999999999996</v>
      </c>
      <c r="Q73">
        <v>8.9</v>
      </c>
      <c r="R73">
        <v>2.54</v>
      </c>
      <c r="S73">
        <v>6.31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9E84E-9378-4B88-B36C-0D514983F28A}">
  <dimension ref="A1:T64"/>
  <sheetViews>
    <sheetView zoomScaleNormal="100" workbookViewId="0">
      <selection activeCell="M23" sqref="M23"/>
    </sheetView>
  </sheetViews>
  <sheetFormatPr defaultRowHeight="15" x14ac:dyDescent="0.25"/>
  <cols>
    <col min="11" max="11" width="10.5703125" customWidth="1"/>
    <col min="20" max="20" width="14" customWidth="1"/>
  </cols>
  <sheetData>
    <row r="1" spans="1:20" x14ac:dyDescent="0.25">
      <c r="A1" t="s">
        <v>45</v>
      </c>
      <c r="B1">
        <f>SUMIF(Table1[Classification],E1,Table1[weight])</f>
        <v>0.33743296366755693</v>
      </c>
      <c r="D1" t="s">
        <v>11</v>
      </c>
      <c r="E1" t="s">
        <v>19</v>
      </c>
      <c r="G1">
        <f>COUNTIF(Table3[classification],E1)</f>
        <v>13</v>
      </c>
      <c r="K1" t="s">
        <v>44</v>
      </c>
      <c r="L1" t="s">
        <v>35</v>
      </c>
      <c r="M1" t="s">
        <v>36</v>
      </c>
      <c r="N1" t="s">
        <v>37</v>
      </c>
      <c r="O1" t="s">
        <v>38</v>
      </c>
      <c r="P1" t="s">
        <v>39</v>
      </c>
      <c r="Q1" t="s">
        <v>40</v>
      </c>
      <c r="R1" t="s">
        <v>42</v>
      </c>
      <c r="S1" t="s">
        <v>14</v>
      </c>
      <c r="T1" t="s">
        <v>43</v>
      </c>
    </row>
    <row r="2" spans="1:20" x14ac:dyDescent="0.25">
      <c r="K2">
        <f>chloroform!E7</f>
        <v>1</v>
      </c>
      <c r="L2">
        <f>Table3[[#This Row],[weight]]*(0.9155*Table2[[#This Row],[J1,2]]-A$9)^2</f>
        <v>4.8592568748495652E-5</v>
      </c>
      <c r="M2">
        <f>Table3[[#This Row],[weight]]*(0.9155*Table2[[#This Row],[J2,3]]-B$9)^2</f>
        <v>9.4353282108399581E-3</v>
      </c>
      <c r="N2">
        <f>Table3[[#This Row],[weight]]*(0.9155*Table2[[#This Row],[J34]]-C$9)^2</f>
        <v>9.8339925221770253E-3</v>
      </c>
      <c r="O2">
        <f>Table3[[#This Row],[weight]]*(0.9155*Table2[[#This Row],[J45]]-D$9)^2</f>
        <v>2.620389520525376E-2</v>
      </c>
      <c r="P2">
        <f>Table3[[#This Row],[weight]]*(0.9155*Table2[[#This Row],[J56]]-E$9)^2</f>
        <v>1.3836916062246607</v>
      </c>
      <c r="Q2">
        <f>Table3[[#This Row],[weight]]*(0.9155*Table2[[#This Row],[J67]]-F$9)^2</f>
        <v>1.0650513606966054</v>
      </c>
      <c r="R2">
        <f>Table3[[#This Row],[weight]]*(0.9155*Table2[[#This Row],[J67'']]-G$9)^2</f>
        <v>5.0923775957413674E-2</v>
      </c>
      <c r="S2">
        <f>chloroform!J7</f>
        <v>1.5369372396989205E-2</v>
      </c>
      <c r="T2" t="str">
        <f>chloroform!F7</f>
        <v>6H4</v>
      </c>
    </row>
    <row r="3" spans="1:20" x14ac:dyDescent="0.25">
      <c r="K3">
        <f>chloroform!E8</f>
        <v>2</v>
      </c>
      <c r="L3">
        <f>Table3[[#This Row],[weight]]*(0.9155*Table2[[#This Row],[J1,2]]-A$9)^2</f>
        <v>1.6474442894186023E-4</v>
      </c>
      <c r="M3">
        <f>Table3[[#This Row],[weight]]*(0.9155*Table2[[#This Row],[J2,3]]-B$9)^2</f>
        <v>2.1167669950599026</v>
      </c>
      <c r="N3">
        <f>Table3[[#This Row],[weight]]*(0.9155*Table2[[#This Row],[J34]]-C$9)^2</f>
        <v>3.2967980876666698E-2</v>
      </c>
      <c r="O3">
        <f>Table3[[#This Row],[weight]]*(0.9155*Table2[[#This Row],[J45]]-D$9)^2</f>
        <v>3.1868067976544001</v>
      </c>
      <c r="P3">
        <f>Table3[[#This Row],[weight]]*(0.9155*Table2[[#This Row],[J56]]-E$9)^2</f>
        <v>1.3645606621616256E-2</v>
      </c>
      <c r="Q3">
        <f>Table3[[#This Row],[weight]]*(0.9155*Table2[[#This Row],[J67]]-F$9)^2</f>
        <v>9.6250027355495121E-2</v>
      </c>
      <c r="R3">
        <f>Table3[[#This Row],[weight]]*(0.9155*Table2[[#This Row],[J67'']]-G$9)^2</f>
        <v>0.58432260393112945</v>
      </c>
      <c r="S3">
        <f>chloroform!J8</f>
        <v>4.5701457632861299E-2</v>
      </c>
      <c r="T3" t="str">
        <f>chloroform!F8</f>
        <v>4H6</v>
      </c>
    </row>
    <row r="4" spans="1:20" x14ac:dyDescent="0.25">
      <c r="A4" t="s">
        <v>35</v>
      </c>
      <c r="B4" t="s">
        <v>36</v>
      </c>
      <c r="C4" t="s">
        <v>37</v>
      </c>
      <c r="D4" t="s">
        <v>38</v>
      </c>
      <c r="E4" t="s">
        <v>39</v>
      </c>
      <c r="F4" t="s">
        <v>40</v>
      </c>
      <c r="G4" t="s">
        <v>42</v>
      </c>
      <c r="K4">
        <f>chloroform!E9</f>
        <v>4</v>
      </c>
      <c r="L4">
        <f>Table3[[#This Row],[weight]]*(0.9155*Table2[[#This Row],[J1,2]]-A$9)^2</f>
        <v>1.7552273425825754E-3</v>
      </c>
      <c r="M4">
        <f>Table3[[#This Row],[weight]]*(0.9155*Table2[[#This Row],[J2,3]]-B$9)^2</f>
        <v>5.3348275070787192</v>
      </c>
      <c r="N4">
        <f>Table3[[#This Row],[weight]]*(0.9155*Table2[[#This Row],[J34]]-C$9)^2</f>
        <v>0.14907881484408231</v>
      </c>
      <c r="O4">
        <f>Table3[[#This Row],[weight]]*(0.9155*Table2[[#This Row],[J45]]-D$9)^2</f>
        <v>8.8882191522519989</v>
      </c>
      <c r="P4">
        <f>Table3[[#This Row],[weight]]*(0.9155*Table2[[#This Row],[J56]]-E$9)^2</f>
        <v>0.12160839949349325</v>
      </c>
      <c r="Q4">
        <f>Table3[[#This Row],[weight]]*(0.9155*Table2[[#This Row],[J67]]-F$9)^2</f>
        <v>7.591874724088226E-4</v>
      </c>
      <c r="R4">
        <f>Table3[[#This Row],[weight]]*(0.9155*Table2[[#This Row],[J67'']]-G$9)^2</f>
        <v>0.45716809561970123</v>
      </c>
      <c r="S4">
        <f>chloroform!J9</f>
        <v>0.1122618771305435</v>
      </c>
      <c r="T4" t="str">
        <f>chloroform!F9</f>
        <v>4H6</v>
      </c>
    </row>
    <row r="5" spans="1:20" x14ac:dyDescent="0.25">
      <c r="A5">
        <f>SUMIF(Table1[Classification],E1,Table2[J1,23])/$B$1</f>
        <v>7.447060047132557</v>
      </c>
      <c r="B5">
        <f>SUMIF(Table1[Classification],E1,Table2[J2,34])/$B$1</f>
        <v>8.8115401358519971</v>
      </c>
      <c r="C5">
        <f>SUMIF(Table1[Classification],E1,Table2[J345])/$B$1</f>
        <v>2.8945661609765168</v>
      </c>
      <c r="D5">
        <f>SUMIF(Table1[Classification],E1,Table2[J456])/$B$1</f>
        <v>10.482706442913452</v>
      </c>
      <c r="E5">
        <f>SUMIF(Table1[Classification],E1,Table2[J567])/$B$1</f>
        <v>9.6568214473071396</v>
      </c>
      <c r="F5">
        <f>SUMIF(Table1[Classification],E1,Table2[J678])/$B$1</f>
        <v>1.7542576838032682</v>
      </c>
      <c r="G5">
        <f>SUMIF(Table1[Classification],E1,Table2[J67''9])/$B$1</f>
        <v>3.8947779996206471</v>
      </c>
      <c r="K5">
        <f>chloroform!E10</f>
        <v>5</v>
      </c>
      <c r="L5">
        <f>Table3[[#This Row],[weight]]*(0.9155*Table2[[#This Row],[J1,2]]-A$9)^2</f>
        <v>0</v>
      </c>
      <c r="M5">
        <f>Table3[[#This Row],[weight]]*(0.9155*Table2[[#This Row],[J2,3]]-B$9)^2</f>
        <v>0</v>
      </c>
      <c r="N5">
        <f>Table3[[#This Row],[weight]]*(0.9155*Table2[[#This Row],[J34]]-C$9)^2</f>
        <v>0</v>
      </c>
      <c r="O5">
        <f>Table3[[#This Row],[weight]]*(0.9155*Table2[[#This Row],[J45]]-D$9)^2</f>
        <v>0</v>
      </c>
      <c r="P5">
        <f>Table3[[#This Row],[weight]]*(0.9155*Table2[[#This Row],[J56]]-E$9)^2</f>
        <v>0</v>
      </c>
      <c r="Q5">
        <f>Table3[[#This Row],[weight]]*(0.9155*Table2[[#This Row],[J67]]-F$9)^2</f>
        <v>0</v>
      </c>
      <c r="R5">
        <f>Table3[[#This Row],[weight]]*(0.9155*Table2[[#This Row],[J67'']]-G$9)^2</f>
        <v>0</v>
      </c>
      <c r="S5">
        <f>chloroform!J10</f>
        <v>0</v>
      </c>
      <c r="T5" t="str">
        <f>chloroform!F10</f>
        <v>6H4</v>
      </c>
    </row>
    <row r="6" spans="1:20" x14ac:dyDescent="0.25">
      <c r="K6">
        <f>chloroform!E11</f>
        <v>8</v>
      </c>
      <c r="L6">
        <f>Table3[[#This Row],[weight]]*(0.9155*Table2[[#This Row],[J1,2]]-A$9)^2</f>
        <v>0</v>
      </c>
      <c r="M6">
        <f>Table3[[#This Row],[weight]]*(0.9155*Table2[[#This Row],[J2,3]]-B$9)^2</f>
        <v>0</v>
      </c>
      <c r="N6">
        <f>Table3[[#This Row],[weight]]*(0.9155*Table2[[#This Row],[J34]]-C$9)^2</f>
        <v>0</v>
      </c>
      <c r="O6">
        <f>Table3[[#This Row],[weight]]*(0.9155*Table2[[#This Row],[J45]]-D$9)^2</f>
        <v>0</v>
      </c>
      <c r="P6">
        <f>Table3[[#This Row],[weight]]*(0.9155*Table2[[#This Row],[J56]]-E$9)^2</f>
        <v>0</v>
      </c>
      <c r="Q6">
        <f>Table3[[#This Row],[weight]]*(0.9155*Table2[[#This Row],[J67]]-F$9)^2</f>
        <v>0</v>
      </c>
      <c r="R6">
        <f>Table3[[#This Row],[weight]]*(0.9155*Table2[[#This Row],[J67'']]-G$9)^2</f>
        <v>0</v>
      </c>
      <c r="S6">
        <f>chloroform!J11</f>
        <v>0</v>
      </c>
      <c r="T6" t="str">
        <f>chloroform!F11</f>
        <v>6H4</v>
      </c>
    </row>
    <row r="7" spans="1:20" x14ac:dyDescent="0.25">
      <c r="A7" t="s">
        <v>60</v>
      </c>
      <c r="K7">
        <f>chloroform!E12</f>
        <v>14</v>
      </c>
      <c r="L7">
        <f>Table3[[#This Row],[weight]]*(0.9155*Table2[[#This Row],[J1,2]]-A$9)^2</f>
        <v>1.6034744254515758E-4</v>
      </c>
      <c r="M7">
        <f>Table3[[#This Row],[weight]]*(0.9155*Table2[[#This Row],[J2,3]]-B$9)^2</f>
        <v>3.9462745320683591E-2</v>
      </c>
      <c r="N7">
        <f>Table3[[#This Row],[weight]]*(0.9155*Table2[[#This Row],[J34]]-C$9)^2</f>
        <v>1.3369498695198195E-7</v>
      </c>
      <c r="O7">
        <f>Table3[[#This Row],[weight]]*(0.9155*Table2[[#This Row],[J45]]-D$9)^2</f>
        <v>8.2511443291562195E-2</v>
      </c>
      <c r="P7">
        <f>Table3[[#This Row],[weight]]*(0.9155*Table2[[#This Row],[J56]]-E$9)^2</f>
        <v>2.9847984826943965E-4</v>
      </c>
      <c r="Q7">
        <f>Table3[[#This Row],[weight]]*(0.9155*Table2[[#This Row],[J67]]-F$9)^2</f>
        <v>7.5091351853162765E-4</v>
      </c>
      <c r="R7">
        <f>Table3[[#This Row],[weight]]*(0.9155*Table2[[#This Row],[J67'']]-G$9)^2</f>
        <v>3.6269683840529481E-4</v>
      </c>
      <c r="S7">
        <f>chloroform!J12</f>
        <v>8.4585370675389904E-4</v>
      </c>
      <c r="T7" t="str">
        <f>chloroform!F12</f>
        <v>4H6</v>
      </c>
    </row>
    <row r="8" spans="1:20" x14ac:dyDescent="0.25">
      <c r="A8" t="s">
        <v>35</v>
      </c>
      <c r="B8" t="s">
        <v>36</v>
      </c>
      <c r="C8" t="s">
        <v>37</v>
      </c>
      <c r="D8" t="s">
        <v>38</v>
      </c>
      <c r="E8" t="s">
        <v>39</v>
      </c>
      <c r="F8" t="s">
        <v>40</v>
      </c>
      <c r="G8" t="s">
        <v>42</v>
      </c>
      <c r="K8">
        <f>chloroform!E13</f>
        <v>20</v>
      </c>
      <c r="L8">
        <f>Table3[[#This Row],[weight]]*(0.9155*Table2[[#This Row],[J1,2]]-A$9)^2</f>
        <v>1.4240074499554474E-3</v>
      </c>
      <c r="M8">
        <f>Table3[[#This Row],[weight]]*(0.9155*Table2[[#This Row],[J2,3]]-B$9)^2</f>
        <v>2.5592592278812262E-2</v>
      </c>
      <c r="N8">
        <f>Table3[[#This Row],[weight]]*(0.9155*Table2[[#This Row],[J34]]-C$9)^2</f>
        <v>1.7345716025471167E-2</v>
      </c>
      <c r="O8">
        <f>Table3[[#This Row],[weight]]*(0.9155*Table2[[#This Row],[J45]]-D$9)^2</f>
        <v>1.0351078345661048E-2</v>
      </c>
      <c r="P8">
        <f>Table3[[#This Row],[weight]]*(0.9155*Table2[[#This Row],[J56]]-E$9)^2</f>
        <v>1.8193006923303863</v>
      </c>
      <c r="Q8">
        <f>Table3[[#This Row],[weight]]*(0.9155*Table2[[#This Row],[J67]]-F$9)^2</f>
        <v>0.12069642300213007</v>
      </c>
      <c r="R8">
        <f>Table3[[#This Row],[weight]]*(0.9155*Table2[[#This Row],[J67'']]-G$9)^2</f>
        <v>1.5105234085601513</v>
      </c>
      <c r="S8">
        <f>chloroform!J13</f>
        <v>2.2236255721901754E-2</v>
      </c>
      <c r="T8" t="str">
        <f>chloroform!F13</f>
        <v>6H4</v>
      </c>
    </row>
    <row r="9" spans="1:20" x14ac:dyDescent="0.25">
      <c r="A9">
        <f>A5</f>
        <v>7.447060047132557</v>
      </c>
      <c r="B9">
        <f t="shared" ref="B9:G9" si="0">B5</f>
        <v>8.8115401358519971</v>
      </c>
      <c r="C9">
        <f t="shared" si="0"/>
        <v>2.8945661609765168</v>
      </c>
      <c r="D9">
        <f t="shared" si="0"/>
        <v>10.482706442913452</v>
      </c>
      <c r="E9">
        <f t="shared" si="0"/>
        <v>9.6568214473071396</v>
      </c>
      <c r="F9">
        <f t="shared" si="0"/>
        <v>1.7542576838032682</v>
      </c>
      <c r="G9">
        <f t="shared" si="0"/>
        <v>3.8947779996206471</v>
      </c>
      <c r="K9">
        <f>chloroform!E14</f>
        <v>21</v>
      </c>
      <c r="L9">
        <f>Table3[[#This Row],[weight]]*(0.9155*Table2[[#This Row],[J1,2]]-A$9)^2</f>
        <v>4.3941226445310538E-3</v>
      </c>
      <c r="M9">
        <f>Table3[[#This Row],[weight]]*(0.9155*Table2[[#This Row],[J2,3]]-B$9)^2</f>
        <v>3.6876102924760867</v>
      </c>
      <c r="N9">
        <f>Table3[[#This Row],[weight]]*(0.9155*Table2[[#This Row],[J34]]-C$9)^2</f>
        <v>4.0359407263360562E-2</v>
      </c>
      <c r="O9">
        <f>Table3[[#This Row],[weight]]*(0.9155*Table2[[#This Row],[J45]]-D$9)^2</f>
        <v>7.4466633364346739</v>
      </c>
      <c r="P9">
        <f>Table3[[#This Row],[weight]]*(0.9155*Table2[[#This Row],[J56]]-E$9)^2</f>
        <v>0.16875430771633612</v>
      </c>
      <c r="Q9">
        <f>Table3[[#This Row],[weight]]*(0.9155*Table2[[#This Row],[J67]]-F$9)^2</f>
        <v>6.4864067737434417E-2</v>
      </c>
      <c r="R9">
        <f>Table3[[#This Row],[weight]]*(0.9155*Table2[[#This Row],[J67'']]-G$9)^2</f>
        <v>4.8224883617689646E-2</v>
      </c>
      <c r="S9">
        <f>chloroform!J14</f>
        <v>7.7209011344806247E-2</v>
      </c>
      <c r="T9" t="str">
        <f>chloroform!F14</f>
        <v>4H6</v>
      </c>
    </row>
    <row r="10" spans="1:20" x14ac:dyDescent="0.25">
      <c r="K10">
        <f>chloroform!E15</f>
        <v>25</v>
      </c>
      <c r="L10">
        <f>Table3[[#This Row],[weight]]*(0.9155*Table2[[#This Row],[J1,2]]-A$9)^2</f>
        <v>3.528316947349594E-5</v>
      </c>
      <c r="M10">
        <f>Table3[[#This Row],[weight]]*(0.9155*Table2[[#This Row],[J2,3]]-B$9)^2</f>
        <v>2.168183634422215E-2</v>
      </c>
      <c r="N10">
        <f>Table3[[#This Row],[weight]]*(0.9155*Table2[[#This Row],[J34]]-C$9)^2</f>
        <v>3.1849829120415045E-5</v>
      </c>
      <c r="O10">
        <f>Table3[[#This Row],[weight]]*(0.9155*Table2[[#This Row],[J45]]-D$9)^2</f>
        <v>4.6898084631093122E-2</v>
      </c>
      <c r="P10">
        <f>Table3[[#This Row],[weight]]*(0.9155*Table2[[#This Row],[J56]]-E$9)^2</f>
        <v>1.7485005921063306E-3</v>
      </c>
      <c r="Q10">
        <f>Table3[[#This Row],[weight]]*(0.9155*Table2[[#This Row],[J67]]-F$9)^2</f>
        <v>1.1034512057503862E-3</v>
      </c>
      <c r="R10">
        <f>Table3[[#This Row],[weight]]*(0.9155*Table2[[#This Row],[J67'']]-G$9)^2</f>
        <v>4.7940011350215738E-3</v>
      </c>
      <c r="S10">
        <f>chloroform!J15</f>
        <v>4.7537764035642649E-4</v>
      </c>
      <c r="T10" t="str">
        <f>chloroform!F15</f>
        <v>4H6</v>
      </c>
    </row>
    <row r="11" spans="1:20" x14ac:dyDescent="0.25">
      <c r="A11" t="s">
        <v>61</v>
      </c>
      <c r="K11">
        <f>chloroform!E16</f>
        <v>27</v>
      </c>
      <c r="L11">
        <f>Table3[[#This Row],[weight]]*(0.9155*Table2[[#This Row],[J1,2]]-A$9)^2</f>
        <v>1.2697838894770575E-5</v>
      </c>
      <c r="M11">
        <f>Table3[[#This Row],[weight]]*(0.9155*Table2[[#This Row],[J2,3]]-B$9)^2</f>
        <v>8.3068353147528369E-3</v>
      </c>
      <c r="N11">
        <f>Table3[[#This Row],[weight]]*(0.9155*Table2[[#This Row],[J34]]-C$9)^2</f>
        <v>1.9659975687006008E-6</v>
      </c>
      <c r="O11">
        <f>Table3[[#This Row],[weight]]*(0.9155*Table2[[#This Row],[J45]]-D$9)^2</f>
        <v>1.7699720987416418E-2</v>
      </c>
      <c r="P11">
        <f>Table3[[#This Row],[weight]]*(0.9155*Table2[[#This Row],[J56]]-E$9)^2</f>
        <v>1.4663406520695258E-4</v>
      </c>
      <c r="Q11">
        <f>Table3[[#This Row],[weight]]*(0.9155*Table2[[#This Row],[J67]]-F$9)^2</f>
        <v>9.9539859648837842E-3</v>
      </c>
      <c r="R11">
        <f>Table3[[#This Row],[weight]]*(0.9155*Table2[[#This Row],[J67'']]-G$9)^2</f>
        <v>9.3513773565445614E-4</v>
      </c>
      <c r="S11">
        <f>chloroform!J16</f>
        <v>1.781939242583272E-4</v>
      </c>
      <c r="T11" t="str">
        <f>chloroform!F16</f>
        <v>4H6</v>
      </c>
    </row>
    <row r="12" spans="1:20" x14ac:dyDescent="0.25">
      <c r="A12" t="s">
        <v>35</v>
      </c>
      <c r="B12" t="s">
        <v>36</v>
      </c>
      <c r="C12" t="s">
        <v>37</v>
      </c>
      <c r="D12" t="s">
        <v>38</v>
      </c>
      <c r="E12" t="s">
        <v>39</v>
      </c>
      <c r="F12" t="s">
        <v>40</v>
      </c>
      <c r="G12" t="s">
        <v>42</v>
      </c>
      <c r="K12">
        <f>chloroform!E17</f>
        <v>29</v>
      </c>
      <c r="L12">
        <f>Table3[[#This Row],[weight]]*(0.9155*Table2[[#This Row],[J1,2]]-A$9)^2</f>
        <v>5.8389872762339076E-6</v>
      </c>
      <c r="M12">
        <f>Table3[[#This Row],[weight]]*(0.9155*Table2[[#This Row],[J2,3]]-B$9)^2</f>
        <v>0.48647331143911854</v>
      </c>
      <c r="N12">
        <f>Table3[[#This Row],[weight]]*(0.9155*Table2[[#This Row],[J34]]-C$9)^2</f>
        <v>1.0072768925143211E-2</v>
      </c>
      <c r="O12">
        <f>Table3[[#This Row],[weight]]*(0.9155*Table2[[#This Row],[J45]]-D$9)^2</f>
        <v>0.61723170334439592</v>
      </c>
      <c r="P12">
        <f>Table3[[#This Row],[weight]]*(0.9155*Table2[[#This Row],[J56]]-E$9)^2</f>
        <v>1.5845586900285123E-2</v>
      </c>
      <c r="Q12">
        <f>Table3[[#This Row],[weight]]*(0.9155*Table2[[#This Row],[J67]]-F$9)^2</f>
        <v>0.98913595198606019</v>
      </c>
      <c r="R12">
        <f>Table3[[#This Row],[weight]]*(0.9155*Table2[[#This Row],[J67'']]-G$9)^2</f>
        <v>1.157528997192481E-2</v>
      </c>
      <c r="S12">
        <f>chloroform!J17</f>
        <v>1.0782620989501255E-2</v>
      </c>
      <c r="T12" t="str">
        <f>chloroform!F17</f>
        <v>4H6</v>
      </c>
    </row>
    <row r="13" spans="1:20" x14ac:dyDescent="0.25">
      <c r="A13">
        <f>SQRT(SUMIF($T$2:$T$64,$E$1,L$2:L$64)/(($G$1-1)*$B$1/$G$1))</f>
        <v>0.1886389528636194</v>
      </c>
      <c r="B13">
        <f>SQRT(SUMIF($T$2:$T$46,$E$1,M$2:M$46)/(($G$1-1)*$B$1/$G$1))</f>
        <v>3.628389377292731E-2</v>
      </c>
      <c r="C13">
        <f>SQRT(SUMIF($T$2:$T$46,$E$1,N$2:N$46)/(($G$1-1)*$B$1/$G$1))</f>
        <v>2.9105132645573562E-2</v>
      </c>
      <c r="D13">
        <f>SQRT(SUMIF($T$2:$T$64,$E$1,O$2:O$64)/(($G$1-1)*$B$1/$G$1))</f>
        <v>0.10045140749522366</v>
      </c>
      <c r="E13">
        <f t="shared" ref="E13" si="1">SQRT(SUMIF($T$2:$T$46,$E$1,P$2:P$46)/(($G$1-1)*$B$1/$G$1))</f>
        <v>0.14885647491798518</v>
      </c>
      <c r="F13">
        <f>SQRT(SUMIF($T$2:$T$64,$E$1,Q$2:Q$64)/(($G$1-1)*$B$1/$G$1))</f>
        <v>1.2972482854799063</v>
      </c>
      <c r="G13">
        <f>SQRT(SUMIF($T$2:$T$64,$E$1,R$2:R$64)/(($G$1-1)*$B$1/$G$1))</f>
        <v>3.6381419653262963</v>
      </c>
      <c r="K13">
        <f>chloroform!E18</f>
        <v>30</v>
      </c>
      <c r="L13">
        <f>Table3[[#This Row],[weight]]*(0.9155*Table2[[#This Row],[J1,2]]-A$9)^2</f>
        <v>1.9431802985358362E-5</v>
      </c>
      <c r="M13">
        <f>Table3[[#This Row],[weight]]*(0.9155*Table2[[#This Row],[J2,3]]-B$9)^2</f>
        <v>2.1826974005634721E-3</v>
      </c>
      <c r="N13">
        <f>Table3[[#This Row],[weight]]*(0.9155*Table2[[#This Row],[J34]]-C$9)^2</f>
        <v>1.6803057309085065E-3</v>
      </c>
      <c r="O13">
        <f>Table3[[#This Row],[weight]]*(0.9155*Table2[[#This Row],[J45]]-D$9)^2</f>
        <v>4.1311280965984229E-2</v>
      </c>
      <c r="P13">
        <f>Table3[[#This Row],[weight]]*(0.9155*Table2[[#This Row],[J56]]-E$9)^2</f>
        <v>0.32907492320171478</v>
      </c>
      <c r="Q13">
        <f>Table3[[#This Row],[weight]]*(0.9155*Table2[[#This Row],[J67]]-F$9)^2</f>
        <v>1.5721569533301708E-3</v>
      </c>
      <c r="R13">
        <f>Table3[[#This Row],[weight]]*(0.9155*Table2[[#This Row],[J67'']]-G$9)^2</f>
        <v>0.27715044333333372</v>
      </c>
      <c r="S13">
        <f>chloroform!J18</f>
        <v>3.7545223175171893E-3</v>
      </c>
      <c r="T13" t="str">
        <f>chloroform!F18</f>
        <v>6H4</v>
      </c>
    </row>
    <row r="14" spans="1:20" x14ac:dyDescent="0.25">
      <c r="K14">
        <f>chloroform!E19</f>
        <v>32</v>
      </c>
      <c r="L14">
        <f>Table3[[#This Row],[weight]]*(0.9155*Table2[[#This Row],[J1,2]]-A$9)^2</f>
        <v>1.8916061023530094E-6</v>
      </c>
      <c r="M14">
        <f>Table3[[#This Row],[weight]]*(0.9155*Table2[[#This Row],[J2,3]]-B$9)^2</f>
        <v>3.402868695858554E-2</v>
      </c>
      <c r="N14">
        <f>Table3[[#This Row],[weight]]*(0.9155*Table2[[#This Row],[J34]]-C$9)^2</f>
        <v>1.3338434276079792E-4</v>
      </c>
      <c r="O14">
        <f>Table3[[#This Row],[weight]]*(0.9155*Table2[[#This Row],[J45]]-D$9)^2</f>
        <v>7.3152481697237121E-2</v>
      </c>
      <c r="P14">
        <f>Table3[[#This Row],[weight]]*(0.9155*Table2[[#This Row],[J56]]-E$9)^2</f>
        <v>2.278087598573232E-3</v>
      </c>
      <c r="Q14">
        <f>Table3[[#This Row],[weight]]*(0.9155*Table2[[#This Row],[J67]]-F$9)^2</f>
        <v>2.9846713681271335E-4</v>
      </c>
      <c r="R14">
        <f>Table3[[#This Row],[weight]]*(0.9155*Table2[[#This Row],[J67'']]-G$9)^2</f>
        <v>2.5716828729984459E-2</v>
      </c>
      <c r="S14">
        <f>chloroform!J19</f>
        <v>7.3055337798452974E-4</v>
      </c>
      <c r="T14" t="str">
        <f>chloroform!F19</f>
        <v>4H6</v>
      </c>
    </row>
    <row r="15" spans="1:20" x14ac:dyDescent="0.25">
      <c r="K15">
        <f>chloroform!E20</f>
        <v>35</v>
      </c>
      <c r="L15">
        <f>Table3[[#This Row],[weight]]*(0.9155*Table2[[#This Row],[J1,2]]-A$9)^2</f>
        <v>1.0552943316488484E-8</v>
      </c>
      <c r="M15">
        <f>Table3[[#This Row],[weight]]*(0.9155*Table2[[#This Row],[J2,3]]-B$9)^2</f>
        <v>2.2962374036178531E-4</v>
      </c>
      <c r="N15">
        <f>Table3[[#This Row],[weight]]*(0.9155*Table2[[#This Row],[J34]]-C$9)^2</f>
        <v>3.1338363728234987E-5</v>
      </c>
      <c r="O15">
        <f>Table3[[#This Row],[weight]]*(0.9155*Table2[[#This Row],[J45]]-D$9)^2</f>
        <v>7.261118733699035E-6</v>
      </c>
      <c r="P15">
        <f>Table3[[#This Row],[weight]]*(0.9155*Table2[[#This Row],[J56]]-E$9)^2</f>
        <v>4.7449738031683404E-3</v>
      </c>
      <c r="Q15">
        <f>Table3[[#This Row],[weight]]*(0.9155*Table2[[#This Row],[J67]]-F$9)^2</f>
        <v>4.487476286008575E-4</v>
      </c>
      <c r="R15">
        <f>Table3[[#This Row],[weight]]*(0.9155*Table2[[#This Row],[J67'']]-G$9)^2</f>
        <v>7.2468209421937399E-4</v>
      </c>
      <c r="S15">
        <f>chloroform!J20</f>
        <v>8.1644225118472793E-5</v>
      </c>
      <c r="T15" t="str">
        <f>chloroform!F20</f>
        <v>6H4</v>
      </c>
    </row>
    <row r="16" spans="1:20" x14ac:dyDescent="0.25">
      <c r="K16">
        <f>chloroform!E21</f>
        <v>36</v>
      </c>
      <c r="L16">
        <f>Table3[[#This Row],[weight]]*(0.9155*Table2[[#This Row],[J1,2]]-A$9)^2</f>
        <v>3.307750100402489E-5</v>
      </c>
      <c r="M16">
        <f>Table3[[#This Row],[weight]]*(0.9155*Table2[[#This Row],[J2,3]]-B$9)^2</f>
        <v>0.11525064032887772</v>
      </c>
      <c r="N16">
        <f>Table3[[#This Row],[weight]]*(0.9155*Table2[[#This Row],[J34]]-C$9)^2</f>
        <v>1.8060660678376227E-3</v>
      </c>
      <c r="O16">
        <f>Table3[[#This Row],[weight]]*(0.9155*Table2[[#This Row],[J45]]-D$9)^2</f>
        <v>0.23141283037813892</v>
      </c>
      <c r="P16">
        <f>Table3[[#This Row],[weight]]*(0.9155*Table2[[#This Row],[J56]]-E$9)^2</f>
        <v>6.510211906897552E-3</v>
      </c>
      <c r="Q16">
        <f>Table3[[#This Row],[weight]]*(0.9155*Table2[[#This Row],[J67]]-F$9)^2</f>
        <v>6.9755387356413207E-2</v>
      </c>
      <c r="R16">
        <f>Table3[[#This Row],[weight]]*(0.9155*Table2[[#This Row],[J67'']]-G$9)^2</f>
        <v>2.9009553449102415E-2</v>
      </c>
      <c r="S16">
        <f>chloroform!J21</f>
        <v>2.4245989889296209E-3</v>
      </c>
      <c r="T16" t="str">
        <f>chloroform!F21</f>
        <v>4H6</v>
      </c>
    </row>
    <row r="17" spans="11:20" x14ac:dyDescent="0.25">
      <c r="K17">
        <f>chloroform!E22</f>
        <v>40</v>
      </c>
      <c r="L17">
        <f>Table3[[#This Row],[weight]]*(0.9155*Table2[[#This Row],[J1,2]]-A$9)^2</f>
        <v>4.8191496115673433E-6</v>
      </c>
      <c r="M17">
        <f>Table3[[#This Row],[weight]]*(0.9155*Table2[[#This Row],[J2,3]]-B$9)^2</f>
        <v>8.1865454894954701E-3</v>
      </c>
      <c r="N17">
        <f>Table3[[#This Row],[weight]]*(0.9155*Table2[[#This Row],[J34]]-C$9)^2</f>
        <v>1.943825022832197E-7</v>
      </c>
      <c r="O17">
        <f>Table3[[#This Row],[weight]]*(0.9155*Table2[[#This Row],[J45]]-D$9)^2</f>
        <v>1.7944349514992824E-2</v>
      </c>
      <c r="P17">
        <f>Table3[[#This Row],[weight]]*(0.9155*Table2[[#This Row],[J56]]-E$9)^2</f>
        <v>6.5039434658095544E-4</v>
      </c>
      <c r="Q17">
        <f>Table3[[#This Row],[weight]]*(0.9155*Table2[[#This Row],[J67]]-F$9)^2</f>
        <v>4.0829740182638164E-4</v>
      </c>
      <c r="R17">
        <f>Table3[[#This Row],[weight]]*(0.9155*Table2[[#This Row],[J67'']]-G$9)^2</f>
        <v>1.7292697105237896E-3</v>
      </c>
      <c r="S17">
        <f>chloroform!J22</f>
        <v>1.7632209154101546E-4</v>
      </c>
      <c r="T17" t="str">
        <f>chloroform!F22</f>
        <v>4H6</v>
      </c>
    </row>
    <row r="18" spans="11:20" x14ac:dyDescent="0.25">
      <c r="K18">
        <f>chloroform!E23</f>
        <v>42</v>
      </c>
      <c r="L18">
        <f>Table3[[#This Row],[weight]]*(0.9155*Table2[[#This Row],[J1,2]]-A$9)^2</f>
        <v>0</v>
      </c>
      <c r="M18">
        <f>Table3[[#This Row],[weight]]*(0.9155*Table2[[#This Row],[J2,3]]-B$9)^2</f>
        <v>0</v>
      </c>
      <c r="N18">
        <f>Table3[[#This Row],[weight]]*(0.9155*Table2[[#This Row],[J34]]-C$9)^2</f>
        <v>0</v>
      </c>
      <c r="O18">
        <f>Table3[[#This Row],[weight]]*(0.9155*Table2[[#This Row],[J45]]-D$9)^2</f>
        <v>0</v>
      </c>
      <c r="P18">
        <f>Table3[[#This Row],[weight]]*(0.9155*Table2[[#This Row],[J56]]-E$9)^2</f>
        <v>0</v>
      </c>
      <c r="Q18">
        <f>Table3[[#This Row],[weight]]*(0.9155*Table2[[#This Row],[J67]]-F$9)^2</f>
        <v>0</v>
      </c>
      <c r="R18">
        <f>Table3[[#This Row],[weight]]*(0.9155*Table2[[#This Row],[J67'']]-G$9)^2</f>
        <v>0</v>
      </c>
      <c r="S18">
        <f>chloroform!J23</f>
        <v>0</v>
      </c>
      <c r="T18" t="str">
        <f>chloroform!F23</f>
        <v>6H4</v>
      </c>
    </row>
    <row r="19" spans="11:20" x14ac:dyDescent="0.25">
      <c r="K19">
        <f>chloroform!E24</f>
        <v>43</v>
      </c>
      <c r="L19">
        <f>Table3[[#This Row],[weight]]*(0.9155*Table2[[#This Row],[J1,2]]-A$9)^2</f>
        <v>1.2629289970894761E-4</v>
      </c>
      <c r="M19">
        <f>Table3[[#This Row],[weight]]*(0.9155*Table2[[#This Row],[J2,3]]-B$9)^2</f>
        <v>0.11988467336578633</v>
      </c>
      <c r="N19">
        <f>Table3[[#This Row],[weight]]*(0.9155*Table2[[#This Row],[J34]]-C$9)^2</f>
        <v>2.9932673000368428E-4</v>
      </c>
      <c r="O19">
        <f>Table3[[#This Row],[weight]]*(0.9155*Table2[[#This Row],[J45]]-D$9)^2</f>
        <v>0.10320078970575025</v>
      </c>
      <c r="P19">
        <f>Table3[[#This Row],[weight]]*(0.9155*Table2[[#This Row],[J56]]-E$9)^2</f>
        <v>0.18196064075615295</v>
      </c>
      <c r="Q19">
        <f>Table3[[#This Row],[weight]]*(0.9155*Table2[[#This Row],[J67]]-F$9)^2</f>
        <v>0.36469579356716536</v>
      </c>
      <c r="R19">
        <f>Table3[[#This Row],[weight]]*(0.9155*Table2[[#This Row],[J67'']]-G$9)^2</f>
        <v>2.8535914453395148E-3</v>
      </c>
      <c r="S19">
        <f>chloroform!J24</f>
        <v>3.3659406365728149E-3</v>
      </c>
      <c r="T19" t="str">
        <f>chloroform!F24</f>
        <v>12C5</v>
      </c>
    </row>
    <row r="20" spans="11:20" x14ac:dyDescent="0.25">
      <c r="K20">
        <f>chloroform!E25</f>
        <v>44</v>
      </c>
      <c r="L20">
        <f>Table3[[#This Row],[weight]]*(0.9155*Table2[[#This Row],[J1,2]]-A$9)^2</f>
        <v>4.7483781163179771E-3</v>
      </c>
      <c r="M20">
        <f>Table3[[#This Row],[weight]]*(0.9155*Table2[[#This Row],[J2,3]]-B$9)^2</f>
        <v>3.5563081488415</v>
      </c>
      <c r="N20">
        <f>Table3[[#This Row],[weight]]*(0.9155*Table2[[#This Row],[J34]]-C$9)^2</f>
        <v>3.6564869923727157E-2</v>
      </c>
      <c r="O20">
        <f>Table3[[#This Row],[weight]]*(0.9155*Table2[[#This Row],[J45]]-D$9)^2</f>
        <v>7.2002192140961379</v>
      </c>
      <c r="P20">
        <f>Table3[[#This Row],[weight]]*(0.9155*Table2[[#This Row],[J56]]-E$9)^2</f>
        <v>0.17081162371217049</v>
      </c>
      <c r="Q20">
        <f>Table3[[#This Row],[weight]]*(0.9155*Table2[[#This Row],[J67]]-F$9)^2</f>
        <v>6.2170896163728839E-2</v>
      </c>
      <c r="R20">
        <f>Table3[[#This Row],[weight]]*(0.9155*Table2[[#This Row],[J67'']]-G$9)^2</f>
        <v>4.4039387819272115E-2</v>
      </c>
      <c r="S20">
        <f>chloroform!J25</f>
        <v>7.4598169292350663E-2</v>
      </c>
      <c r="T20" t="str">
        <f>chloroform!F25</f>
        <v>4H6</v>
      </c>
    </row>
    <row r="21" spans="11:20" x14ac:dyDescent="0.25">
      <c r="K21">
        <f>chloroform!E26</f>
        <v>47</v>
      </c>
      <c r="L21">
        <f>Table3[[#This Row],[weight]]*(0.9155*Table2[[#This Row],[J1,2]]-A$9)^2</f>
        <v>0</v>
      </c>
      <c r="M21">
        <f>Table3[[#This Row],[weight]]*(0.9155*Table2[[#This Row],[J2,3]]-B$9)^2</f>
        <v>0</v>
      </c>
      <c r="N21">
        <f>Table3[[#This Row],[weight]]*(0.9155*Table2[[#This Row],[J34]]-C$9)^2</f>
        <v>0</v>
      </c>
      <c r="O21">
        <f>Table3[[#This Row],[weight]]*(0.9155*Table2[[#This Row],[J45]]-D$9)^2</f>
        <v>0</v>
      </c>
      <c r="P21">
        <f>Table3[[#This Row],[weight]]*(0.9155*Table2[[#This Row],[J56]]-E$9)^2</f>
        <v>0</v>
      </c>
      <c r="Q21">
        <f>Table3[[#This Row],[weight]]*(0.9155*Table2[[#This Row],[J67]]-F$9)^2</f>
        <v>0</v>
      </c>
      <c r="R21">
        <f>Table3[[#This Row],[weight]]*(0.9155*Table2[[#This Row],[J67'']]-G$9)^2</f>
        <v>0</v>
      </c>
      <c r="S21">
        <f>chloroform!J26</f>
        <v>0</v>
      </c>
      <c r="T21" t="str">
        <f>chloroform!F26</f>
        <v>6H4</v>
      </c>
    </row>
    <row r="22" spans="11:20" x14ac:dyDescent="0.25">
      <c r="K22">
        <f>chloroform!E27</f>
        <v>51</v>
      </c>
      <c r="L22">
        <f>Table3[[#This Row],[weight]]*(0.9155*Table2[[#This Row],[J1,2]]-A$9)^2</f>
        <v>0</v>
      </c>
      <c r="M22">
        <f>Table3[[#This Row],[weight]]*(0.9155*Table2[[#This Row],[J2,3]]-B$9)^2</f>
        <v>0</v>
      </c>
      <c r="N22">
        <f>Table3[[#This Row],[weight]]*(0.9155*Table2[[#This Row],[J34]]-C$9)^2</f>
        <v>0</v>
      </c>
      <c r="O22">
        <f>Table3[[#This Row],[weight]]*(0.9155*Table2[[#This Row],[J45]]-D$9)^2</f>
        <v>0</v>
      </c>
      <c r="P22">
        <f>Table3[[#This Row],[weight]]*(0.9155*Table2[[#This Row],[J56]]-E$9)^2</f>
        <v>0</v>
      </c>
      <c r="Q22">
        <f>Table3[[#This Row],[weight]]*(0.9155*Table2[[#This Row],[J67]]-F$9)^2</f>
        <v>0</v>
      </c>
      <c r="R22">
        <f>Table3[[#This Row],[weight]]*(0.9155*Table2[[#This Row],[J67'']]-G$9)^2</f>
        <v>0</v>
      </c>
      <c r="S22">
        <f>chloroform!J27</f>
        <v>0</v>
      </c>
      <c r="T22" t="str">
        <f>chloroform!F27</f>
        <v>45E</v>
      </c>
    </row>
    <row r="23" spans="11:20" x14ac:dyDescent="0.25">
      <c r="K23">
        <f>chloroform!E28</f>
        <v>52</v>
      </c>
      <c r="L23">
        <f>Table3[[#This Row],[weight]]*(0.9155*Table2[[#This Row],[J1,2]]-A$9)^2</f>
        <v>3.4493853276022779E-5</v>
      </c>
      <c r="M23">
        <f>Table3[[#This Row],[weight]]*(0.9155*Table2[[#This Row],[J2,3]]-B$9)^2</f>
        <v>2.9813911845859229</v>
      </c>
      <c r="N23">
        <f>Table3[[#This Row],[weight]]*(0.9155*Table2[[#This Row],[J34]]-C$9)^2</f>
        <v>8.9316133266538228E-2</v>
      </c>
      <c r="O23">
        <f>Table3[[#This Row],[weight]]*(0.9155*Table2[[#This Row],[J45]]-D$9)^2</f>
        <v>4.8863137010802236</v>
      </c>
      <c r="P23">
        <f>Table3[[#This Row],[weight]]*(0.9155*Table2[[#This Row],[J56]]-E$9)^2</f>
        <v>5.5146688252310512E-2</v>
      </c>
      <c r="Q23">
        <f>Table3[[#This Row],[weight]]*(0.9155*Table2[[#This Row],[J67]]-F$9)^2</f>
        <v>2.8152298090838915E-2</v>
      </c>
      <c r="R23">
        <f>Table3[[#This Row],[weight]]*(0.9155*Table2[[#This Row],[J67'']]-G$9)^2</f>
        <v>0.4833632477533884</v>
      </c>
      <c r="S23">
        <f>chloroform!J28</f>
        <v>6.2888274405505803E-2</v>
      </c>
      <c r="T23" t="str">
        <f>chloroform!F28</f>
        <v>4H6</v>
      </c>
    </row>
    <row r="24" spans="11:20" x14ac:dyDescent="0.25">
      <c r="K24">
        <f>chloroform!E29</f>
        <v>54</v>
      </c>
      <c r="L24">
        <f>Table3[[#This Row],[weight]]*(0.9155*Table2[[#This Row],[J1,2]]-A$9)^2</f>
        <v>6.0470477697315856E-5</v>
      </c>
      <c r="M24">
        <f>Table3[[#This Row],[weight]]*(0.9155*Table2[[#This Row],[J2,3]]-B$9)^2</f>
        <v>5.2113389398210916</v>
      </c>
      <c r="N24">
        <f>Table3[[#This Row],[weight]]*(0.9155*Table2[[#This Row],[J34]]-C$9)^2</f>
        <v>0.16883777292943766</v>
      </c>
      <c r="O24">
        <f>Table3[[#This Row],[weight]]*(0.9155*Table2[[#This Row],[J45]]-D$9)^2</f>
        <v>8.1634685614617961</v>
      </c>
      <c r="P24">
        <f>Table3[[#This Row],[weight]]*(0.9155*Table2[[#This Row],[J56]]-E$9)^2</f>
        <v>0.1977397868424085</v>
      </c>
      <c r="Q24">
        <f>Table3[[#This Row],[weight]]*(0.9155*Table2[[#This Row],[J67]]-F$9)^2</f>
        <v>3.2512689423740013E-2</v>
      </c>
      <c r="R24">
        <f>Table3[[#This Row],[weight]]*(0.9155*Table2[[#This Row],[J67'']]-G$9)^2</f>
        <v>3.8617997802655446</v>
      </c>
      <c r="S24">
        <f>chloroform!J29</f>
        <v>0.11024816405490606</v>
      </c>
      <c r="T24" t="str">
        <f>chloroform!F29</f>
        <v>4H6</v>
      </c>
    </row>
    <row r="25" spans="11:20" x14ac:dyDescent="0.25">
      <c r="K25">
        <f>chloroform!E30</f>
        <v>55</v>
      </c>
      <c r="L25">
        <f>Table3[[#This Row],[weight]]*(0.9155*Table2[[#This Row],[J1,2]]-A$9)^2</f>
        <v>2.3338268225393534E-6</v>
      </c>
      <c r="M25">
        <f>Table3[[#This Row],[weight]]*(0.9155*Table2[[#This Row],[J2,3]]-B$9)^2</f>
        <v>5.3131150582832534E-2</v>
      </c>
      <c r="N25">
        <f>Table3[[#This Row],[weight]]*(0.9155*Table2[[#This Row],[J34]]-C$9)^2</f>
        <v>3.0368207293360821E-4</v>
      </c>
      <c r="O25">
        <f>Table3[[#This Row],[weight]]*(0.9155*Table2[[#This Row],[J45]]-D$9)^2</f>
        <v>5.1806670097647944E-2</v>
      </c>
      <c r="P25">
        <f>Table3[[#This Row],[weight]]*(0.9155*Table2[[#This Row],[J56]]-E$9)^2</f>
        <v>9.210369684539467E-2</v>
      </c>
      <c r="Q25">
        <f>Table3[[#This Row],[weight]]*(0.9155*Table2[[#This Row],[J67]]-F$9)^2</f>
        <v>0.14290397191906878</v>
      </c>
      <c r="R25">
        <f>Table3[[#This Row],[weight]]*(0.9155*Table2[[#This Row],[J67'']]-G$9)^2</f>
        <v>2.6532266797315144E-3</v>
      </c>
      <c r="S25">
        <f>chloroform!J30</f>
        <v>1.5357057864394787E-3</v>
      </c>
      <c r="T25" t="str">
        <f>chloroform!F30</f>
        <v>12C5</v>
      </c>
    </row>
    <row r="26" spans="11:20" x14ac:dyDescent="0.25">
      <c r="K26">
        <f>chloroform!E31</f>
        <v>57</v>
      </c>
      <c r="L26">
        <f>Table3[[#This Row],[weight]]*(0.9155*Table2[[#This Row],[J1,2]]-A$9)^2</f>
        <v>1.3342559125663166E-5</v>
      </c>
      <c r="M26">
        <f>Table3[[#This Row],[weight]]*(0.9155*Table2[[#This Row],[J2,3]]-B$9)^2</f>
        <v>9.1706654290375812E-3</v>
      </c>
      <c r="N26">
        <f>Table3[[#This Row],[weight]]*(0.9155*Table2[[#This Row],[J34]]-C$9)^2</f>
        <v>2.7728316451438477E-6</v>
      </c>
      <c r="O26">
        <f>Table3[[#This Row],[weight]]*(0.9155*Table2[[#This Row],[J45]]-D$9)^2</f>
        <v>1.9535371292256392E-2</v>
      </c>
      <c r="P26">
        <f>Table3[[#This Row],[weight]]*(0.9155*Table2[[#This Row],[J56]]-E$9)^2</f>
        <v>1.6142609882583306E-4</v>
      </c>
      <c r="Q26">
        <f>Table3[[#This Row],[weight]]*(0.9155*Table2[[#This Row],[J67]]-F$9)^2</f>
        <v>1.094801203409445E-2</v>
      </c>
      <c r="R26">
        <f>Table3[[#This Row],[weight]]*(0.9155*Table2[[#This Row],[J67'']]-G$9)^2</f>
        <v>1.0257894957339381E-3</v>
      </c>
      <c r="S26">
        <f>chloroform!J31</f>
        <v>1.9656618624770586E-4</v>
      </c>
      <c r="T26" t="str">
        <f>chloroform!F31</f>
        <v>4H6</v>
      </c>
    </row>
    <row r="27" spans="11:20" x14ac:dyDescent="0.25">
      <c r="K27">
        <f>chloroform!E32</f>
        <v>58</v>
      </c>
      <c r="L27">
        <f>Table3[[#This Row],[weight]]*(0.9155*Table2[[#This Row],[J1,2]]-A$9)^2</f>
        <v>5.3300785027489848E-6</v>
      </c>
      <c r="M27">
        <f>Table3[[#This Row],[weight]]*(0.9155*Table2[[#This Row],[J2,3]]-B$9)^2</f>
        <v>1.1679185489067176E-2</v>
      </c>
      <c r="N27">
        <f>Table3[[#This Row],[weight]]*(0.9155*Table2[[#This Row],[J34]]-C$9)^2</f>
        <v>1.3317443172758577E-6</v>
      </c>
      <c r="O27">
        <f>Table3[[#This Row],[weight]]*(0.9155*Table2[[#This Row],[J45]]-D$9)^2</f>
        <v>2.4939233113647541E-2</v>
      </c>
      <c r="P27">
        <f>Table3[[#This Row],[weight]]*(0.9155*Table2[[#This Row],[J56]]-E$9)^2</f>
        <v>6.1996620231976837E-4</v>
      </c>
      <c r="Q27">
        <f>Table3[[#This Row],[weight]]*(0.9155*Table2[[#This Row],[J67]]-F$9)^2</f>
        <v>6.6962676856765393E-5</v>
      </c>
      <c r="R27">
        <f>Table3[[#This Row],[weight]]*(0.9155*Table2[[#This Row],[J67'']]-G$9)^2</f>
        <v>9.2614569660027964E-3</v>
      </c>
      <c r="S27">
        <f>chloroform!J32</f>
        <v>2.4661833307946558E-4</v>
      </c>
      <c r="T27" t="str">
        <f>chloroform!F32</f>
        <v>4H6</v>
      </c>
    </row>
    <row r="28" spans="11:20" x14ac:dyDescent="0.25">
      <c r="K28">
        <f>chloroform!E33</f>
        <v>60</v>
      </c>
      <c r="L28">
        <f>Table3[[#This Row],[weight]]*(0.9155*Table2[[#This Row],[J1,2]]-A$9)^2</f>
        <v>8.5957557153338519E-4</v>
      </c>
      <c r="M28">
        <f>Table3[[#This Row],[weight]]*(0.9155*Table2[[#This Row],[J2,3]]-B$9)^2</f>
        <v>0.13347341547262931</v>
      </c>
      <c r="N28">
        <f>Table3[[#This Row],[weight]]*(0.9155*Table2[[#This Row],[J34]]-C$9)^2</f>
        <v>4.9069604788921865E-3</v>
      </c>
      <c r="O28">
        <f>Table3[[#This Row],[weight]]*(0.9155*Table2[[#This Row],[J45]]-D$9)^2</f>
        <v>0.15142603622185213</v>
      </c>
      <c r="P28">
        <f>Table3[[#This Row],[weight]]*(0.9155*Table2[[#This Row],[J56]]-E$9)^2</f>
        <v>0.28659154730429887</v>
      </c>
      <c r="Q28">
        <f>Table3[[#This Row],[weight]]*(0.9155*Table2[[#This Row],[J67]]-F$9)^2</f>
        <v>4.606219968216443E-4</v>
      </c>
      <c r="R28">
        <f>Table3[[#This Row],[weight]]*(0.9155*Table2[[#This Row],[J67'']]-G$9)^2</f>
        <v>0.22491302045631872</v>
      </c>
      <c r="S28">
        <f>chloroform!J33</f>
        <v>4.5952987890748717E-3</v>
      </c>
      <c r="T28" t="str">
        <f>chloroform!F33</f>
        <v>12C5</v>
      </c>
    </row>
    <row r="29" spans="11:20" x14ac:dyDescent="0.25">
      <c r="K29">
        <f>chloroform!E34</f>
        <v>65</v>
      </c>
      <c r="L29">
        <f>Table3[[#This Row],[weight]]*(0.9155*Table2[[#This Row],[J1,2]]-A$9)^2</f>
        <v>6.7564056495343226E-5</v>
      </c>
      <c r="M29">
        <f>Table3[[#This Row],[weight]]*(0.9155*Table2[[#This Row],[J2,3]]-B$9)^2</f>
        <v>0.31593374608473168</v>
      </c>
      <c r="N29">
        <f>Table3[[#This Row],[weight]]*(0.9155*Table2[[#This Row],[J34]]-C$9)^2</f>
        <v>1.2636749088817158E-2</v>
      </c>
      <c r="O29">
        <f>Table3[[#This Row],[weight]]*(0.9155*Table2[[#This Row],[J45]]-D$9)^2</f>
        <v>0.41668013290133837</v>
      </c>
      <c r="P29">
        <f>Table3[[#This Row],[weight]]*(0.9155*Table2[[#This Row],[J56]]-E$9)^2</f>
        <v>1.1134990022725257E-3</v>
      </c>
      <c r="Q29">
        <f>Table3[[#This Row],[weight]]*(0.9155*Table2[[#This Row],[J67]]-F$9)^2</f>
        <v>0.50075935761085755</v>
      </c>
      <c r="R29">
        <f>Table3[[#This Row],[weight]]*(0.9155*Table2[[#This Row],[J67'']]-G$9)^2</f>
        <v>6.8257898177938401E-3</v>
      </c>
      <c r="S29">
        <f>chloroform!J34</f>
        <v>6.8579294735968367E-3</v>
      </c>
      <c r="T29" t="str">
        <f>chloroform!F34</f>
        <v>4H6</v>
      </c>
    </row>
    <row r="30" spans="11:20" x14ac:dyDescent="0.25">
      <c r="K30">
        <f>chloroform!E35</f>
        <v>69</v>
      </c>
      <c r="L30">
        <f>Table3[[#This Row],[weight]]*(0.9155*Table2[[#This Row],[J1,2]]-A$9)^2</f>
        <v>2.7388095634109478E-6</v>
      </c>
      <c r="M30">
        <f>Table3[[#This Row],[weight]]*(0.9155*Table2[[#This Row],[J2,3]]-B$9)^2</f>
        <v>8.2765341943855932E-5</v>
      </c>
      <c r="N30">
        <f>Table3[[#This Row],[weight]]*(0.9155*Table2[[#This Row],[J34]]-C$9)^2</f>
        <v>9.9829775704204845E-5</v>
      </c>
      <c r="O30">
        <f>Table3[[#This Row],[weight]]*(0.9155*Table2[[#This Row],[J45]]-D$9)^2</f>
        <v>2.9683813146629007E-6</v>
      </c>
      <c r="P30">
        <f>Table3[[#This Row],[weight]]*(0.9155*Table2[[#This Row],[J56]]-E$9)^2</f>
        <v>8.2272995223310209E-3</v>
      </c>
      <c r="Q30">
        <f>Table3[[#This Row],[weight]]*(0.9155*Table2[[#This Row],[J67]]-F$9)^2</f>
        <v>4.9302476760210417E-4</v>
      </c>
      <c r="R30">
        <f>Table3[[#This Row],[weight]]*(0.9155*Table2[[#This Row],[J67'']]-G$9)^2</f>
        <v>7.5605482308133722E-3</v>
      </c>
      <c r="S30">
        <f>chloroform!J35</f>
        <v>1.1798925063709552E-4</v>
      </c>
      <c r="T30" t="str">
        <f>chloroform!F35</f>
        <v>6H4</v>
      </c>
    </row>
    <row r="31" spans="11:20" x14ac:dyDescent="0.25">
      <c r="K31">
        <f>chloroform!E36</f>
        <v>70</v>
      </c>
      <c r="L31">
        <f>Table3[[#This Row],[weight]]*(0.9155*Table2[[#This Row],[J1,2]]-A$9)^2</f>
        <v>4.8586948647624164E-3</v>
      </c>
      <c r="M31">
        <f>Table3[[#This Row],[weight]]*(0.9155*Table2[[#This Row],[J2,3]]-B$9)^2</f>
        <v>3.5253036719873205</v>
      </c>
      <c r="N31">
        <f>Table3[[#This Row],[weight]]*(0.9155*Table2[[#This Row],[J34]]-C$9)^2</f>
        <v>3.6756564068754563E-2</v>
      </c>
      <c r="O31">
        <f>Table3[[#This Row],[weight]]*(0.9155*Table2[[#This Row],[J45]]-D$9)^2</f>
        <v>7.127141205501939</v>
      </c>
      <c r="P31">
        <f>Table3[[#This Row],[weight]]*(0.9155*Table2[[#This Row],[J56]]-E$9)^2</f>
        <v>0.16779122236968852</v>
      </c>
      <c r="Q31">
        <f>Table3[[#This Row],[weight]]*(0.9155*Table2[[#This Row],[J67]]-F$9)^2</f>
        <v>5.8931220909588237E-2</v>
      </c>
      <c r="R31">
        <f>Table3[[#This Row],[weight]]*(0.9155*Table2[[#This Row],[J67'']]-G$9)^2</f>
        <v>4.8039406100328197E-2</v>
      </c>
      <c r="S31">
        <f>chloroform!J36</f>
        <v>7.3635045548761172E-2</v>
      </c>
      <c r="T31" t="str">
        <f>chloroform!F36</f>
        <v>4H6</v>
      </c>
    </row>
    <row r="32" spans="11:20" x14ac:dyDescent="0.25">
      <c r="K32">
        <f>chloroform!E37</f>
        <v>86</v>
      </c>
      <c r="L32">
        <f>Table3[[#This Row],[weight]]*(0.9155*Table2[[#This Row],[J1,2]]-A$9)^2</f>
        <v>2.4014519177660911E-6</v>
      </c>
      <c r="M32">
        <f>Table3[[#This Row],[weight]]*(0.9155*Table2[[#This Row],[J2,3]]-B$9)^2</f>
        <v>1.0984923315821966E-2</v>
      </c>
      <c r="N32">
        <f>Table3[[#This Row],[weight]]*(0.9155*Table2[[#This Row],[J34]]-C$9)^2</f>
        <v>1.0686869982838649E-4</v>
      </c>
      <c r="O32">
        <f>Table3[[#This Row],[weight]]*(0.9155*Table2[[#This Row],[J45]]-D$9)^2</f>
        <v>2.0920315526495799E-4</v>
      </c>
      <c r="P32">
        <f>Table3[[#This Row],[weight]]*(0.9155*Table2[[#This Row],[J56]]-E$9)^2</f>
        <v>3.4323571416570363E-4</v>
      </c>
      <c r="Q32">
        <f>Table3[[#This Row],[weight]]*(0.9155*Table2[[#This Row],[J67]]-F$9)^2</f>
        <v>4.1002873237139084E-6</v>
      </c>
      <c r="R32">
        <f>Table3[[#This Row],[weight]]*(0.9155*Table2[[#This Row],[J67'']]-G$9)^2</f>
        <v>3.0833631061612495E-3</v>
      </c>
      <c r="S32">
        <f>chloroform!J37</f>
        <v>6.9045805775509283E-4</v>
      </c>
      <c r="T32" t="str">
        <f>chloroform!F37</f>
        <v>56E</v>
      </c>
    </row>
    <row r="33" spans="11:20" x14ac:dyDescent="0.25">
      <c r="K33">
        <f>chloroform!E38</f>
        <v>89</v>
      </c>
      <c r="L33">
        <f>Table3[[#This Row],[weight]]*(0.9155*Table2[[#This Row],[J1,2]]-A$9)^2</f>
        <v>0</v>
      </c>
      <c r="M33">
        <f>Table3[[#This Row],[weight]]*(0.9155*Table2[[#This Row],[J2,3]]-B$9)^2</f>
        <v>0</v>
      </c>
      <c r="N33">
        <f>Table3[[#This Row],[weight]]*(0.9155*Table2[[#This Row],[J34]]-C$9)^2</f>
        <v>0</v>
      </c>
      <c r="O33">
        <f>Table3[[#This Row],[weight]]*(0.9155*Table2[[#This Row],[J45]]-D$9)^2</f>
        <v>0</v>
      </c>
      <c r="P33">
        <f>Table3[[#This Row],[weight]]*(0.9155*Table2[[#This Row],[J56]]-E$9)^2</f>
        <v>0</v>
      </c>
      <c r="Q33">
        <f>Table3[[#This Row],[weight]]*(0.9155*Table2[[#This Row],[J67]]-F$9)^2</f>
        <v>0</v>
      </c>
      <c r="R33">
        <f>Table3[[#This Row],[weight]]*(0.9155*Table2[[#This Row],[J67'']]-G$9)^2</f>
        <v>0</v>
      </c>
      <c r="S33">
        <f>chloroform!J38</f>
        <v>0</v>
      </c>
      <c r="T33" t="str">
        <f>chloroform!F38</f>
        <v>4H6</v>
      </c>
    </row>
    <row r="34" spans="11:20" x14ac:dyDescent="0.25">
      <c r="K34">
        <f>chloroform!E39</f>
        <v>90</v>
      </c>
      <c r="L34">
        <f>Table3[[#This Row],[weight]]*(0.9155*Table2[[#This Row],[J1,2]]-A$9)^2</f>
        <v>0</v>
      </c>
      <c r="M34">
        <f>Table3[[#This Row],[weight]]*(0.9155*Table2[[#This Row],[J2,3]]-B$9)^2</f>
        <v>0</v>
      </c>
      <c r="N34">
        <f>Table3[[#This Row],[weight]]*(0.9155*Table2[[#This Row],[J34]]-C$9)^2</f>
        <v>0</v>
      </c>
      <c r="O34">
        <f>Table3[[#This Row],[weight]]*(0.9155*Table2[[#This Row],[J45]]-D$9)^2</f>
        <v>0</v>
      </c>
      <c r="P34">
        <f>Table3[[#This Row],[weight]]*(0.9155*Table2[[#This Row],[J56]]-E$9)^2</f>
        <v>0</v>
      </c>
      <c r="Q34">
        <f>Table3[[#This Row],[weight]]*(0.9155*Table2[[#This Row],[J67]]-F$9)^2</f>
        <v>0</v>
      </c>
      <c r="R34">
        <f>Table3[[#This Row],[weight]]*(0.9155*Table2[[#This Row],[J67'']]-G$9)^2</f>
        <v>0</v>
      </c>
      <c r="S34">
        <f>chloroform!J39</f>
        <v>0</v>
      </c>
      <c r="T34" t="str">
        <f>chloroform!F39</f>
        <v>4H6</v>
      </c>
    </row>
    <row r="35" spans="11:20" x14ac:dyDescent="0.25">
      <c r="K35">
        <f>chloroform!E40</f>
        <v>92</v>
      </c>
      <c r="L35">
        <f>Table3[[#This Row],[weight]]*(0.9155*Table2[[#This Row],[J1,2]]-A$9)^2</f>
        <v>1.4953983170235502E-3</v>
      </c>
      <c r="M35">
        <f>Table3[[#This Row],[weight]]*(0.9155*Table2[[#This Row],[J2,3]]-B$9)^2</f>
        <v>6.841543100845057E-5</v>
      </c>
      <c r="N35">
        <f>Table3[[#This Row],[weight]]*(0.9155*Table2[[#This Row],[J34]]-C$9)^2</f>
        <v>1.9644610078518361E-5</v>
      </c>
      <c r="O35">
        <f>Table3[[#This Row],[weight]]*(0.9155*Table2[[#This Row],[J45]]-D$9)^2</f>
        <v>2.1222407126056796E-4</v>
      </c>
      <c r="P35">
        <f>Table3[[#This Row],[weight]]*(0.9155*Table2[[#This Row],[J56]]-E$9)^2</f>
        <v>1.372504257675292E-4</v>
      </c>
      <c r="Q35">
        <f>Table3[[#This Row],[weight]]*(0.9155*Table2[[#This Row],[J67]]-F$9)^2</f>
        <v>2.377278049729006E-2</v>
      </c>
      <c r="R35">
        <f>Table3[[#This Row],[weight]]*(0.9155*Table2[[#This Row],[J67'']]-G$9)^2</f>
        <v>0.74036962820254337</v>
      </c>
      <c r="S35">
        <f>chloroform!J40</f>
        <v>0.22233231020865696</v>
      </c>
      <c r="T35" t="str">
        <f>chloroform!F40</f>
        <v>5C12</v>
      </c>
    </row>
    <row r="36" spans="11:20" x14ac:dyDescent="0.25">
      <c r="K36">
        <f>chloroform!E41</f>
        <v>93</v>
      </c>
      <c r="L36">
        <f>Table3[[#This Row],[weight]]*(0.9155*Table2[[#This Row],[J1,2]]-A$9)^2</f>
        <v>7.9389379365659466E-6</v>
      </c>
      <c r="M36">
        <f>Table3[[#This Row],[weight]]*(0.9155*Table2[[#This Row],[J2,3]]-B$9)^2</f>
        <v>3.008902417703543E-2</v>
      </c>
      <c r="N36">
        <f>Table3[[#This Row],[weight]]*(0.9155*Table2[[#This Row],[J34]]-C$9)^2</f>
        <v>7.0985709156100947E-5</v>
      </c>
      <c r="O36">
        <f>Table3[[#This Row],[weight]]*(0.9155*Table2[[#This Row],[J45]]-D$9)^2</f>
        <v>2.7481353964439747E-2</v>
      </c>
      <c r="P36">
        <f>Table3[[#This Row],[weight]]*(0.9155*Table2[[#This Row],[J56]]-E$9)^2</f>
        <v>4.9646176628889815E-2</v>
      </c>
      <c r="Q36">
        <f>Table3[[#This Row],[weight]]*(0.9155*Table2[[#This Row],[J67]]-F$9)^2</f>
        <v>8.1637969986922479E-2</v>
      </c>
      <c r="R36">
        <f>Table3[[#This Row],[weight]]*(0.9155*Table2[[#This Row],[J67'']]-G$9)^2</f>
        <v>3.6098163785742254E-3</v>
      </c>
      <c r="S36">
        <f>chloroform!J41</f>
        <v>8.8283694021660543E-4</v>
      </c>
      <c r="T36" t="str">
        <f>chloroform!F41</f>
        <v>12C5</v>
      </c>
    </row>
    <row r="37" spans="11:20" x14ac:dyDescent="0.25">
      <c r="K37">
        <f>chloroform!E42</f>
        <v>95</v>
      </c>
      <c r="L37">
        <f>Table3[[#This Row],[weight]]*(0.9155*Table2[[#This Row],[J1,2]]-A$9)^2</f>
        <v>3.5072511974434821E-6</v>
      </c>
      <c r="M37">
        <f>Table3[[#This Row],[weight]]*(0.9155*Table2[[#This Row],[J2,3]]-B$9)^2</f>
        <v>7.2526516684981316E-5</v>
      </c>
      <c r="N37">
        <f>Table3[[#This Row],[weight]]*(0.9155*Table2[[#This Row],[J34]]-C$9)^2</f>
        <v>8.6391721061531793E-5</v>
      </c>
      <c r="O37">
        <f>Table3[[#This Row],[weight]]*(0.9155*Table2[[#This Row],[J45]]-D$9)^2</f>
        <v>3.3622575006930364E-6</v>
      </c>
      <c r="P37">
        <f>Table3[[#This Row],[weight]]*(0.9155*Table2[[#This Row],[J56]]-E$9)^2</f>
        <v>7.4163166689959229E-3</v>
      </c>
      <c r="Q37">
        <f>Table3[[#This Row],[weight]]*(0.9155*Table2[[#This Row],[J67]]-F$9)^2</f>
        <v>2.3947428620590256E-4</v>
      </c>
      <c r="R37">
        <f>Table3[[#This Row],[weight]]*(0.9155*Table2[[#This Row],[J67'']]-G$9)^2</f>
        <v>7.9238698293385822E-3</v>
      </c>
      <c r="S37">
        <f>chloroform!J42</f>
        <v>1.0522518811154306E-4</v>
      </c>
      <c r="T37" t="str">
        <f>chloroform!F42</f>
        <v>6H4</v>
      </c>
    </row>
    <row r="38" spans="11:20" x14ac:dyDescent="0.25">
      <c r="K38">
        <f>chloroform!E43</f>
        <v>100</v>
      </c>
      <c r="L38">
        <f>Table3[[#This Row],[weight]]*(0.9155*Table2[[#This Row],[J1,2]]-A$9)^2</f>
        <v>4.2152891332579928E-3</v>
      </c>
      <c r="M38">
        <f>Table3[[#This Row],[weight]]*(0.9155*Table2[[#This Row],[J2,3]]-B$9)^2</f>
        <v>7.597679776823545E-7</v>
      </c>
      <c r="N38">
        <f>Table3[[#This Row],[weight]]*(0.9155*Table2[[#This Row],[J34]]-C$9)^2</f>
        <v>1.5930843772254087E-4</v>
      </c>
      <c r="O38">
        <f>Table3[[#This Row],[weight]]*(0.9155*Table2[[#This Row],[J45]]-D$9)^2</f>
        <v>6.6993997786129697E-4</v>
      </c>
      <c r="P38">
        <f>Table3[[#This Row],[weight]]*(0.9155*Table2[[#This Row],[J56]]-E$9)^2</f>
        <v>1.0500052839806629E-3</v>
      </c>
      <c r="Q38">
        <f>Table3[[#This Row],[weight]]*(0.9155*Table2[[#This Row],[J67]]-F$9)^2</f>
        <v>6.4311292924952067E-3</v>
      </c>
      <c r="R38">
        <f>Table3[[#This Row],[weight]]*(0.9155*Table2[[#This Row],[J67'']]-G$9)^2</f>
        <v>1.3816710471808527</v>
      </c>
      <c r="S38">
        <f>chloroform!J43</f>
        <v>3.4033164530765062E-2</v>
      </c>
      <c r="T38" t="str">
        <f>chloroform!F43</f>
        <v>5C12</v>
      </c>
    </row>
    <row r="39" spans="11:20" x14ac:dyDescent="0.25">
      <c r="K39">
        <f>chloroform!E44</f>
        <v>112</v>
      </c>
      <c r="L39">
        <f>Table3[[#This Row],[weight]]*(0.9155*Table2[[#This Row],[J1,2]]-A$9)^2</f>
        <v>0</v>
      </c>
      <c r="M39">
        <f>Table3[[#This Row],[weight]]*(0.9155*Table2[[#This Row],[J2,3]]-B$9)^2</f>
        <v>0</v>
      </c>
      <c r="N39">
        <f>Table3[[#This Row],[weight]]*(0.9155*Table2[[#This Row],[J34]]-C$9)^2</f>
        <v>0</v>
      </c>
      <c r="O39">
        <f>Table3[[#This Row],[weight]]*(0.9155*Table2[[#This Row],[J45]]-D$9)^2</f>
        <v>0</v>
      </c>
      <c r="P39">
        <f>Table3[[#This Row],[weight]]*(0.9155*Table2[[#This Row],[J56]]-E$9)^2</f>
        <v>0</v>
      </c>
      <c r="Q39">
        <f>Table3[[#This Row],[weight]]*(0.9155*Table2[[#This Row],[J67]]-F$9)^2</f>
        <v>0</v>
      </c>
      <c r="R39">
        <f>Table3[[#This Row],[weight]]*(0.9155*Table2[[#This Row],[J67'']]-G$9)^2</f>
        <v>0</v>
      </c>
      <c r="S39">
        <f>chloroform!J44</f>
        <v>0</v>
      </c>
      <c r="T39" t="str">
        <f>chloroform!F44</f>
        <v>4H6</v>
      </c>
    </row>
    <row r="40" spans="11:20" x14ac:dyDescent="0.25">
      <c r="K40">
        <f>chloroform!E45</f>
        <v>115</v>
      </c>
      <c r="L40">
        <f>Table3[[#This Row],[weight]]*(0.9155*Table2[[#This Row],[J1,2]]-A$9)^2</f>
        <v>0</v>
      </c>
      <c r="M40">
        <f>Table3[[#This Row],[weight]]*(0.9155*Table2[[#This Row],[J2,3]]-B$9)^2</f>
        <v>0</v>
      </c>
      <c r="N40">
        <f>Table3[[#This Row],[weight]]*(0.9155*Table2[[#This Row],[J34]]-C$9)^2</f>
        <v>0</v>
      </c>
      <c r="O40">
        <f>Table3[[#This Row],[weight]]*(0.9155*Table2[[#This Row],[J45]]-D$9)^2</f>
        <v>0</v>
      </c>
      <c r="P40">
        <f>Table3[[#This Row],[weight]]*(0.9155*Table2[[#This Row],[J56]]-E$9)^2</f>
        <v>0</v>
      </c>
      <c r="Q40">
        <f>Table3[[#This Row],[weight]]*(0.9155*Table2[[#This Row],[J67]]-F$9)^2</f>
        <v>0</v>
      </c>
      <c r="R40">
        <f>Table3[[#This Row],[weight]]*(0.9155*Table2[[#This Row],[J67'']]-G$9)^2</f>
        <v>0</v>
      </c>
      <c r="S40">
        <f>chloroform!J45</f>
        <v>0</v>
      </c>
      <c r="T40" t="str">
        <f>chloroform!F45</f>
        <v>12C5</v>
      </c>
    </row>
    <row r="41" spans="11:20" x14ac:dyDescent="0.25">
      <c r="K41">
        <f>chloroform!E46</f>
        <v>117</v>
      </c>
      <c r="L41">
        <f>Table3[[#This Row],[weight]]*(0.9155*Table2[[#This Row],[J1,2]]-A$9)^2</f>
        <v>0</v>
      </c>
      <c r="M41">
        <f>Table3[[#This Row],[weight]]*(0.9155*Table2[[#This Row],[J2,3]]-B$9)^2</f>
        <v>0</v>
      </c>
      <c r="N41">
        <f>Table3[[#This Row],[weight]]*(0.9155*Table2[[#This Row],[J34]]-C$9)^2</f>
        <v>0</v>
      </c>
      <c r="O41">
        <f>Table3[[#This Row],[weight]]*(0.9155*Table2[[#This Row],[J45]]-D$9)^2</f>
        <v>0</v>
      </c>
      <c r="P41">
        <f>Table3[[#This Row],[weight]]*(0.9155*Table2[[#This Row],[J56]]-E$9)^2</f>
        <v>0</v>
      </c>
      <c r="Q41">
        <f>Table3[[#This Row],[weight]]*(0.9155*Table2[[#This Row],[J67]]-F$9)^2</f>
        <v>0</v>
      </c>
      <c r="R41">
        <f>Table3[[#This Row],[weight]]*(0.9155*Table2[[#This Row],[J67'']]-G$9)^2</f>
        <v>0</v>
      </c>
      <c r="S41">
        <f>chloroform!J46</f>
        <v>0</v>
      </c>
      <c r="T41" t="str">
        <f>chloroform!F46</f>
        <v>12C5</v>
      </c>
    </row>
    <row r="42" spans="11:20" x14ac:dyDescent="0.25">
      <c r="K42">
        <f>chloroform!E47</f>
        <v>118</v>
      </c>
      <c r="L42">
        <f>Table3[[#This Row],[weight]]*(0.9155*Table2[[#This Row],[J1,2]]-A$9)^2</f>
        <v>1.0778704933080747E-4</v>
      </c>
      <c r="M42">
        <f>Table3[[#This Row],[weight]]*(0.9155*Table2[[#This Row],[J2,3]]-B$9)^2</f>
        <v>2.7996292836452522E-6</v>
      </c>
      <c r="N42">
        <f>Table3[[#This Row],[weight]]*(0.9155*Table2[[#This Row],[J34]]-C$9)^2</f>
        <v>3.7189938103486127E-5</v>
      </c>
      <c r="O42">
        <f>Table3[[#This Row],[weight]]*(0.9155*Table2[[#This Row],[J45]]-D$9)^2</f>
        <v>2.2567133303464407E-4</v>
      </c>
      <c r="P42">
        <f>Table3[[#This Row],[weight]]*(0.9155*Table2[[#This Row],[J56]]-E$9)^2</f>
        <v>3.4177091084364331E-3</v>
      </c>
      <c r="Q42">
        <f>Table3[[#This Row],[weight]]*(0.9155*Table2[[#This Row],[J67]]-F$9)^2</f>
        <v>8.6937441523267573E-4</v>
      </c>
      <c r="R42">
        <f>Table3[[#This Row],[weight]]*(0.9155*Table2[[#This Row],[J67'']]-G$9)^2</f>
        <v>4.6308456435353532E-3</v>
      </c>
      <c r="S42">
        <f>chloroform!J47</f>
        <v>2.4613159009275582E-3</v>
      </c>
      <c r="T42" t="str">
        <f>chloroform!F47</f>
        <v>5C12</v>
      </c>
    </row>
    <row r="43" spans="11:20" x14ac:dyDescent="0.25">
      <c r="K43">
        <f>chloroform!E48</f>
        <v>120</v>
      </c>
      <c r="L43">
        <f>Table3[[#This Row],[weight]]*(0.9155*Table2[[#This Row],[J1,2]]-A$9)^2</f>
        <v>1.0000758492417587E-4</v>
      </c>
      <c r="M43">
        <f>Table3[[#This Row],[weight]]*(0.9155*Table2[[#This Row],[J2,3]]-B$9)^2</f>
        <v>0.35529106835474311</v>
      </c>
      <c r="N43">
        <f>Table3[[#This Row],[weight]]*(0.9155*Table2[[#This Row],[J34]]-C$9)^2</f>
        <v>1.376608011712366E-2</v>
      </c>
      <c r="O43">
        <f>Table3[[#This Row],[weight]]*(0.9155*Table2[[#This Row],[J45]]-D$9)^2</f>
        <v>0.47208305885920082</v>
      </c>
      <c r="P43">
        <f>Table3[[#This Row],[weight]]*(0.9155*Table2[[#This Row],[J56]]-E$9)^2</f>
        <v>7.3867732814822558E-4</v>
      </c>
      <c r="Q43">
        <f>Table3[[#This Row],[weight]]*(0.9155*Table2[[#This Row],[J67]]-F$9)^2</f>
        <v>0.57691427575408538</v>
      </c>
      <c r="R43">
        <f>Table3[[#This Row],[weight]]*(0.9155*Table2[[#This Row],[J67'']]-G$9)^2</f>
        <v>8.8548703744362762E-3</v>
      </c>
      <c r="S43">
        <f>chloroform!J48</f>
        <v>7.7080940221036127E-3</v>
      </c>
      <c r="T43" t="str">
        <f>chloroform!F48</f>
        <v>4H6</v>
      </c>
    </row>
    <row r="44" spans="11:20" x14ac:dyDescent="0.25">
      <c r="K44">
        <f>chloroform!E49</f>
        <v>122</v>
      </c>
      <c r="L44">
        <f>Table3[[#This Row],[weight]]*(0.9155*Table2[[#This Row],[J1,2]]-A$9)^2</f>
        <v>1.516630863710487E-3</v>
      </c>
      <c r="M44">
        <f>Table3[[#This Row],[weight]]*(0.9155*Table2[[#This Row],[J2,3]]-B$9)^2</f>
        <v>3.3809061633297786E-4</v>
      </c>
      <c r="N44">
        <f>Table3[[#This Row],[weight]]*(0.9155*Table2[[#This Row],[J34]]-C$9)^2</f>
        <v>4.771155085077365E-5</v>
      </c>
      <c r="O44">
        <f>Table3[[#This Row],[weight]]*(0.9155*Table2[[#This Row],[J45]]-D$9)^2</f>
        <v>4.2260781459509383E-4</v>
      </c>
      <c r="P44">
        <f>Table3[[#This Row],[weight]]*(0.9155*Table2[[#This Row],[J56]]-E$9)^2</f>
        <v>2.2968111904634178E-3</v>
      </c>
      <c r="Q44">
        <f>Table3[[#This Row],[weight]]*(0.9155*Table2[[#This Row],[J67]]-F$9)^2</f>
        <v>6.8843086309175659E-5</v>
      </c>
      <c r="R44">
        <f>Table3[[#This Row],[weight]]*(0.9155*Table2[[#This Row],[J67'']]-G$9)^2</f>
        <v>0.13887342849459283</v>
      </c>
      <c r="S44">
        <f>chloroform!J49</f>
        <v>2.9049460468950562E-2</v>
      </c>
      <c r="T44" t="str">
        <f>chloroform!F49</f>
        <v>5C12</v>
      </c>
    </row>
    <row r="45" spans="11:20" x14ac:dyDescent="0.25">
      <c r="K45">
        <f>chloroform!E50</f>
        <v>124</v>
      </c>
      <c r="L45">
        <f>Table3[[#This Row],[weight]]*(0.9155*Table2[[#This Row],[J1,2]]-A$9)^2</f>
        <v>0</v>
      </c>
      <c r="M45">
        <f>Table3[[#This Row],[weight]]*(0.9155*Table2[[#This Row],[J2,3]]-B$9)^2</f>
        <v>0</v>
      </c>
      <c r="N45">
        <f>Table3[[#This Row],[weight]]*(0.9155*Table2[[#This Row],[J34]]-C$9)^2</f>
        <v>0</v>
      </c>
      <c r="O45">
        <f>Table3[[#This Row],[weight]]*(0.9155*Table2[[#This Row],[J45]]-D$9)^2</f>
        <v>0</v>
      </c>
      <c r="P45">
        <f>Table3[[#This Row],[weight]]*(0.9155*Table2[[#This Row],[J56]]-E$9)^2</f>
        <v>0</v>
      </c>
      <c r="Q45">
        <f>Table3[[#This Row],[weight]]*(0.9155*Table2[[#This Row],[J67]]-F$9)^2</f>
        <v>0</v>
      </c>
      <c r="R45">
        <f>Table3[[#This Row],[weight]]*(0.9155*Table2[[#This Row],[J67'']]-G$9)^2</f>
        <v>0</v>
      </c>
      <c r="S45">
        <f>chloroform!J50</f>
        <v>0</v>
      </c>
      <c r="T45" t="str">
        <f>chloroform!F50</f>
        <v>12C5</v>
      </c>
    </row>
    <row r="46" spans="11:20" x14ac:dyDescent="0.25">
      <c r="K46">
        <f>chloroform!E51</f>
        <v>125</v>
      </c>
      <c r="L46">
        <f>Table3[[#This Row],[weight]]*(0.9155*Table2[[#This Row],[J1,2]]-A$9)^2</f>
        <v>0</v>
      </c>
      <c r="M46">
        <f>Table3[[#This Row],[weight]]*(0.9155*Table2[[#This Row],[J2,3]]-B$9)^2</f>
        <v>0</v>
      </c>
      <c r="N46">
        <f>Table3[[#This Row],[weight]]*(0.9155*Table2[[#This Row],[J34]]-C$9)^2</f>
        <v>0</v>
      </c>
      <c r="O46">
        <f>Table3[[#This Row],[weight]]*(0.9155*Table2[[#This Row],[J45]]-D$9)^2</f>
        <v>0</v>
      </c>
      <c r="P46">
        <f>Table3[[#This Row],[weight]]*(0.9155*Table2[[#This Row],[J56]]-E$9)^2</f>
        <v>0</v>
      </c>
      <c r="Q46">
        <f>Table3[[#This Row],[weight]]*(0.9155*Table2[[#This Row],[J67]]-F$9)^2</f>
        <v>0</v>
      </c>
      <c r="R46">
        <f>Table3[[#This Row],[weight]]*(0.9155*Table2[[#This Row],[J67'']]-G$9)^2</f>
        <v>0</v>
      </c>
      <c r="S46">
        <f>chloroform!J51</f>
        <v>0</v>
      </c>
      <c r="T46" t="str">
        <f>chloroform!F51</f>
        <v>12C5</v>
      </c>
    </row>
    <row r="47" spans="11:20" x14ac:dyDescent="0.25">
      <c r="K47">
        <f>chloroform!E52</f>
        <v>126</v>
      </c>
      <c r="L47">
        <f>Table3[[#This Row],[weight]]*(0.9155*Table2[[#This Row],[J1,2]]-A$9)^2</f>
        <v>0</v>
      </c>
      <c r="M47">
        <f>Table3[[#This Row],[weight]]*(0.9155*Table2[[#This Row],[J2,3]]-B$9)^2</f>
        <v>0</v>
      </c>
      <c r="N47">
        <f>Table3[[#This Row],[weight]]*(0.9155*Table2[[#This Row],[J34]]-C$9)^2</f>
        <v>0</v>
      </c>
      <c r="O47">
        <f>Table3[[#This Row],[weight]]*(0.9155*Table2[[#This Row],[J45]]-D$9)^2</f>
        <v>0</v>
      </c>
      <c r="P47">
        <f>Table3[[#This Row],[weight]]*(0.9155*Table2[[#This Row],[J56]]-E$9)^2</f>
        <v>0</v>
      </c>
      <c r="Q47">
        <f>Table3[[#This Row],[weight]]*(0.9155*Table2[[#This Row],[J67]]-F$9)^2</f>
        <v>0</v>
      </c>
      <c r="R47">
        <f>Table3[[#This Row],[weight]]*(0.9155*Table2[[#This Row],[J67'']]-G$9)^2</f>
        <v>0</v>
      </c>
      <c r="S47">
        <f>chloroform!J52</f>
        <v>0</v>
      </c>
      <c r="T47" t="str">
        <f>chloroform!F52</f>
        <v>5C12</v>
      </c>
    </row>
    <row r="48" spans="11:20" x14ac:dyDescent="0.25">
      <c r="K48">
        <f>chloroform!E53</f>
        <v>129</v>
      </c>
      <c r="L48">
        <f>Table3[[#This Row],[weight]]*(0.9155*Table2[[#This Row],[J1,2]]-A$9)^2</f>
        <v>7.3231507337166138E-4</v>
      </c>
      <c r="M48">
        <f>Table3[[#This Row],[weight]]*(0.9155*Table2[[#This Row],[J2,3]]-B$9)^2</f>
        <v>2.6812277921888799E-7</v>
      </c>
      <c r="N48">
        <f>Table3[[#This Row],[weight]]*(0.9155*Table2[[#This Row],[J34]]-C$9)^2</f>
        <v>5.6488205405196167E-5</v>
      </c>
      <c r="O48">
        <f>Table3[[#This Row],[weight]]*(0.9155*Table2[[#This Row],[J45]]-D$9)^2</f>
        <v>1.4628865204657096E-4</v>
      </c>
      <c r="P48">
        <f>Table3[[#This Row],[weight]]*(0.9155*Table2[[#This Row],[J56]]-E$9)^2</f>
        <v>2.6464182909738838E-4</v>
      </c>
      <c r="Q48">
        <f>Table3[[#This Row],[weight]]*(0.9155*Table2[[#This Row],[J67]]-F$9)^2</f>
        <v>0.40283297641508486</v>
      </c>
      <c r="R48">
        <f>Table3[[#This Row],[weight]]*(0.9155*Table2[[#This Row],[J67'']]-G$9)^2</f>
        <v>2.8565048914167626E-2</v>
      </c>
      <c r="S48">
        <f>chloroform!J53</f>
        <v>6.8395488899470691E-3</v>
      </c>
      <c r="T48" t="str">
        <f>chloroform!F53</f>
        <v>5C12</v>
      </c>
    </row>
    <row r="49" spans="11:20" x14ac:dyDescent="0.25">
      <c r="K49">
        <f>chloroform!E54</f>
        <v>144</v>
      </c>
      <c r="L49">
        <f>Table3[[#This Row],[weight]]*(0.9155*Table2[[#This Row],[J1,2]]-A$9)^2</f>
        <v>8.8165320074123612E-5</v>
      </c>
      <c r="M49">
        <f>Table3[[#This Row],[weight]]*(0.9155*Table2[[#This Row],[J2,3]]-B$9)^2</f>
        <v>9.0086831853212414E-9</v>
      </c>
      <c r="N49">
        <f>Table3[[#This Row],[weight]]*(0.9155*Table2[[#This Row],[J34]]-C$9)^2</f>
        <v>1.3067487893614024E-5</v>
      </c>
      <c r="O49">
        <f>Table3[[#This Row],[weight]]*(0.9155*Table2[[#This Row],[J45]]-D$9)^2</f>
        <v>3.7583244594767536E-7</v>
      </c>
      <c r="P49">
        <f>Table3[[#This Row],[weight]]*(0.9155*Table2[[#This Row],[J56]]-E$9)^2</f>
        <v>1.962247079137066E-4</v>
      </c>
      <c r="Q49">
        <f>Table3[[#This Row],[weight]]*(0.9155*Table2[[#This Row],[J67]]-F$9)^2</f>
        <v>5.0662044393555406E-4</v>
      </c>
      <c r="R49">
        <f>Table3[[#This Row],[weight]]*(0.9155*Table2[[#This Row],[J67'']]-G$9)^2</f>
        <v>1.6200648996638138E-3</v>
      </c>
      <c r="S49">
        <f>chloroform!J54</f>
        <v>2.0960489617706171E-4</v>
      </c>
      <c r="T49" t="str">
        <f>chloroform!F54</f>
        <v>5C12</v>
      </c>
    </row>
    <row r="50" spans="11:20" x14ac:dyDescent="0.25">
      <c r="K50">
        <f>chloroform!E55</f>
        <v>155</v>
      </c>
      <c r="L50">
        <f>Table3[[#This Row],[weight]]*(0.9155*Table2[[#This Row],[J1,2]]-A$9)^2</f>
        <v>2.7010831835160161E-3</v>
      </c>
      <c r="M50">
        <f>Table3[[#This Row],[weight]]*(0.9155*Table2[[#This Row],[J2,3]]-B$9)^2</f>
        <v>1.4602830539655562E-5</v>
      </c>
      <c r="N50">
        <f>Table3[[#This Row],[weight]]*(0.9155*Table2[[#This Row],[J34]]-C$9)^2</f>
        <v>1.0073338595641482E-4</v>
      </c>
      <c r="O50">
        <f>Table3[[#This Row],[weight]]*(0.9155*Table2[[#This Row],[J45]]-D$9)^2</f>
        <v>1.4304793590408803E-3</v>
      </c>
      <c r="P50">
        <f>Table3[[#This Row],[weight]]*(0.9155*Table2[[#This Row],[J56]]-E$9)^2</f>
        <v>2.323450819964839E-3</v>
      </c>
      <c r="Q50">
        <f>Table3[[#This Row],[weight]]*(0.9155*Table2[[#This Row],[J67]]-F$9)^2</f>
        <v>1.9002995683768252E-4</v>
      </c>
      <c r="R50">
        <f>Table3[[#This Row],[weight]]*(0.9155*Table2[[#This Row],[J67'']]-G$9)^2</f>
        <v>1.7844714082608595</v>
      </c>
      <c r="S50">
        <f>chloroform!J55</f>
        <v>4.0120392345484514E-2</v>
      </c>
      <c r="T50" t="str">
        <f>chloroform!F55</f>
        <v>5C12</v>
      </c>
    </row>
    <row r="51" spans="11:20" x14ac:dyDescent="0.25">
      <c r="K51">
        <f>chloroform!E56</f>
        <v>159</v>
      </c>
      <c r="L51">
        <f>Table3[[#This Row],[weight]]*(0.9155*Table2[[#This Row],[J1,2]]-A$9)^2</f>
        <v>5.4946407667853949E-6</v>
      </c>
      <c r="M51">
        <f>Table3[[#This Row],[weight]]*(0.9155*Table2[[#This Row],[J2,3]]-B$9)^2</f>
        <v>7.15975577082349E-7</v>
      </c>
      <c r="N51">
        <f>Table3[[#This Row],[weight]]*(0.9155*Table2[[#This Row],[J34]]-C$9)^2</f>
        <v>3.5124204870645934E-7</v>
      </c>
      <c r="O51">
        <f>Table3[[#This Row],[weight]]*(0.9155*Table2[[#This Row],[J45]]-D$9)^2</f>
        <v>3.4517993863266687E-6</v>
      </c>
      <c r="P51">
        <f>Table3[[#This Row],[weight]]*(0.9155*Table2[[#This Row],[J56]]-E$9)^2</f>
        <v>1.2295838735769442E-4</v>
      </c>
      <c r="Q51">
        <f>Table3[[#This Row],[weight]]*(0.9155*Table2[[#This Row],[J67]]-F$9)^2</f>
        <v>2.1479790615009195E-2</v>
      </c>
      <c r="R51">
        <f>Table3[[#This Row],[weight]]*(0.9155*Table2[[#This Row],[J67'']]-G$9)^2</f>
        <v>1.8171202658842671E-3</v>
      </c>
      <c r="S51">
        <f>chloroform!J56</f>
        <v>3.6829102602058171E-4</v>
      </c>
      <c r="T51" t="str">
        <f>chloroform!F56</f>
        <v>5C12</v>
      </c>
    </row>
    <row r="52" spans="11:20" x14ac:dyDescent="0.25">
      <c r="K52">
        <f>chloroform!E57</f>
        <v>164</v>
      </c>
      <c r="L52">
        <f>Table3[[#This Row],[weight]]*(0.9155*Table2[[#This Row],[J1,2]]-A$9)^2</f>
        <v>1.1036007152532242E-4</v>
      </c>
      <c r="M52">
        <f>Table3[[#This Row],[weight]]*(0.9155*Table2[[#This Row],[J2,3]]-B$9)^2</f>
        <v>1.5664265741626877E-7</v>
      </c>
      <c r="N52">
        <f>Table3[[#This Row],[weight]]*(0.9155*Table2[[#This Row],[J34]]-C$9)^2</f>
        <v>1.6855358073897537E-6</v>
      </c>
      <c r="O52">
        <f>Table3[[#This Row],[weight]]*(0.9155*Table2[[#This Row],[J45]]-D$9)^2</f>
        <v>1.2557929421316346E-5</v>
      </c>
      <c r="P52">
        <f>Table3[[#This Row],[weight]]*(0.9155*Table2[[#This Row],[J56]]-E$9)^2</f>
        <v>1.3870031880804245E-4</v>
      </c>
      <c r="Q52">
        <f>Table3[[#This Row],[weight]]*(0.9155*Table2[[#This Row],[J67]]-F$9)^2</f>
        <v>6.1814801827028874E-5</v>
      </c>
      <c r="R52">
        <f>Table3[[#This Row],[weight]]*(0.9155*Table2[[#This Row],[J67'']]-G$9)^2</f>
        <v>3.3955511780137823E-2</v>
      </c>
      <c r="S52">
        <f>chloroform!J57</f>
        <v>8.1309185658397579E-4</v>
      </c>
      <c r="T52" t="str">
        <f>chloroform!F57</f>
        <v>5C12</v>
      </c>
    </row>
    <row r="53" spans="11:20" x14ac:dyDescent="0.25">
      <c r="K53">
        <f>chloroform!E58</f>
        <v>170</v>
      </c>
      <c r="L53">
        <f>Table3[[#This Row],[weight]]*(0.9155*Table2[[#This Row],[J1,2]]-A$9)^2</f>
        <v>7.2766676314867923E-7</v>
      </c>
      <c r="M53">
        <f>Table3[[#This Row],[weight]]*(0.9155*Table2[[#This Row],[J2,3]]-B$9)^2</f>
        <v>8.6484608648859911E-4</v>
      </c>
      <c r="N53">
        <f>Table3[[#This Row],[weight]]*(0.9155*Table2[[#This Row],[J34]]-C$9)^2</f>
        <v>7.6652267543945295E-8</v>
      </c>
      <c r="O53">
        <f>Table3[[#This Row],[weight]]*(0.9155*Table2[[#This Row],[J45]]-D$9)^2</f>
        <v>1.5805020107622095E-5</v>
      </c>
      <c r="P53">
        <f>Table3[[#This Row],[weight]]*(0.9155*Table2[[#This Row],[J56]]-E$9)^2</f>
        <v>5.834738502035631E-7</v>
      </c>
      <c r="Q53">
        <f>Table3[[#This Row],[weight]]*(0.9155*Table2[[#This Row],[J67]]-F$9)^2</f>
        <v>1.3305303325498503E-5</v>
      </c>
      <c r="R53">
        <f>Table3[[#This Row],[weight]]*(0.9155*Table2[[#This Row],[J67'']]-G$9)^2</f>
        <v>3.4586185534097523E-4</v>
      </c>
      <c r="S53">
        <f>chloroform!J58</f>
        <v>5.2511957077470057E-5</v>
      </c>
      <c r="T53" t="str">
        <f>chloroform!F58</f>
        <v>56E</v>
      </c>
    </row>
    <row r="54" spans="11:20" x14ac:dyDescent="0.25">
      <c r="K54">
        <f>chloroform!E59</f>
        <v>184</v>
      </c>
      <c r="L54">
        <f>Table3[[#This Row],[weight]]*(0.9155*Table2[[#This Row],[J1,2]]-A$9)^2</f>
        <v>2.2582055314119509E-8</v>
      </c>
      <c r="M54">
        <f>Table3[[#This Row],[weight]]*(0.9155*Table2[[#This Row],[J2,3]]-B$9)^2</f>
        <v>0.48488827207648644</v>
      </c>
      <c r="N54">
        <f>Table3[[#This Row],[weight]]*(0.9155*Table2[[#This Row],[J34]]-C$9)^2</f>
        <v>9.3322159314948323E-3</v>
      </c>
      <c r="O54">
        <f>Table3[[#This Row],[weight]]*(0.9155*Table2[[#This Row],[J45]]-D$9)^2</f>
        <v>0.62419779241812889</v>
      </c>
      <c r="P54">
        <f>Table3[[#This Row],[weight]]*(0.9155*Table2[[#This Row],[J56]]-E$9)^2</f>
        <v>1.4086172282518274E-2</v>
      </c>
      <c r="Q54">
        <f>Table3[[#This Row],[weight]]*(0.9155*Table2[[#This Row],[J67]]-F$9)^2</f>
        <v>0.98655616024618265</v>
      </c>
      <c r="R54">
        <f>Table3[[#This Row],[weight]]*(0.9155*Table2[[#This Row],[J67'']]-G$9)^2</f>
        <v>1.0878467685582106E-2</v>
      </c>
      <c r="S54">
        <f>chloroform!J59</f>
        <v>1.0770965039707274E-2</v>
      </c>
      <c r="T54" t="str">
        <f>chloroform!F59</f>
        <v>4H6</v>
      </c>
    </row>
    <row r="55" spans="11:20" x14ac:dyDescent="0.25">
      <c r="K55">
        <f>chloroform!E60</f>
        <v>189</v>
      </c>
      <c r="L55">
        <f>Table3[[#This Row],[weight]]*(0.9155*Table2[[#This Row],[J1,2]]-A$9)^2</f>
        <v>8.2969145153470282E-5</v>
      </c>
      <c r="M55">
        <f>Table3[[#This Row],[weight]]*(0.9155*Table2[[#This Row],[J2,3]]-B$9)^2</f>
        <v>3.8308843399865143E-7</v>
      </c>
      <c r="N55">
        <f>Table3[[#This Row],[weight]]*(0.9155*Table2[[#This Row],[J34]]-C$9)^2</f>
        <v>6.8359826601601662E-7</v>
      </c>
      <c r="O55">
        <f>Table3[[#This Row],[weight]]*(0.9155*Table2[[#This Row],[J45]]-D$9)^2</f>
        <v>1.2889949768627589E-5</v>
      </c>
      <c r="P55">
        <f>Table3[[#This Row],[weight]]*(0.9155*Table2[[#This Row],[J56]]-E$9)^2</f>
        <v>1.2035254005783776E-7</v>
      </c>
      <c r="Q55">
        <f>Table3[[#This Row],[weight]]*(0.9155*Table2[[#This Row],[J67]]-F$9)^2</f>
        <v>6.0780211241732468E-2</v>
      </c>
      <c r="R55">
        <f>Table3[[#This Row],[weight]]*(0.9155*Table2[[#This Row],[J67'']]-G$9)^2</f>
        <v>5.7134913300218625E-3</v>
      </c>
      <c r="S55">
        <f>chloroform!J60</f>
        <v>1.0207311634556158E-3</v>
      </c>
      <c r="T55" t="str">
        <f>chloroform!F60</f>
        <v>5C12</v>
      </c>
    </row>
    <row r="56" spans="11:20" x14ac:dyDescent="0.25">
      <c r="K56">
        <f>chloroform!E61</f>
        <v>190</v>
      </c>
      <c r="L56">
        <f>Table3[[#This Row],[weight]]*(0.9155*Table2[[#This Row],[J1,2]]-A$9)^2</f>
        <v>6.3081608141440405E-5</v>
      </c>
      <c r="M56">
        <f>Table3[[#This Row],[weight]]*(0.9155*Table2[[#This Row],[J2,3]]-B$9)^2</f>
        <v>0.11188244140316635</v>
      </c>
      <c r="N56">
        <f>Table3[[#This Row],[weight]]*(0.9155*Table2[[#This Row],[J34]]-C$9)^2</f>
        <v>1.706124394218504E-3</v>
      </c>
      <c r="O56">
        <f>Table3[[#This Row],[weight]]*(0.9155*Table2[[#This Row],[J45]]-D$9)^2</f>
        <v>0.22562769804007712</v>
      </c>
      <c r="P56">
        <f>Table3[[#This Row],[weight]]*(0.9155*Table2[[#This Row],[J56]]-E$9)^2</f>
        <v>6.7103156876287037E-3</v>
      </c>
      <c r="Q56">
        <f>Table3[[#This Row],[weight]]*(0.9155*Table2[[#This Row],[J67]]-F$9)^2</f>
        <v>6.6651157568782746E-2</v>
      </c>
      <c r="R56">
        <f>Table3[[#This Row],[weight]]*(0.9155*Table2[[#This Row],[J67'']]-G$9)^2</f>
        <v>2.8581514620826955E-2</v>
      </c>
      <c r="S56">
        <f>chloroform!J61</f>
        <v>2.3600035153043737E-3</v>
      </c>
      <c r="T56" t="str">
        <f>chloroform!F61</f>
        <v>4H6</v>
      </c>
    </row>
    <row r="57" spans="11:20" x14ac:dyDescent="0.25">
      <c r="K57">
        <f>chloroform!E62</f>
        <v>199</v>
      </c>
      <c r="L57">
        <f>Table3[[#This Row],[weight]]*(0.9155*Table2[[#This Row],[J1,2]]-A$9)^2</f>
        <v>0</v>
      </c>
      <c r="M57">
        <f>Table3[[#This Row],[weight]]*(0.9155*Table2[[#This Row],[J2,3]]-B$9)^2</f>
        <v>0</v>
      </c>
      <c r="N57">
        <f>Table3[[#This Row],[weight]]*(0.9155*Table2[[#This Row],[J34]]-C$9)^2</f>
        <v>0</v>
      </c>
      <c r="O57">
        <f>Table3[[#This Row],[weight]]*(0.9155*Table2[[#This Row],[J45]]-D$9)^2</f>
        <v>0</v>
      </c>
      <c r="P57">
        <f>Table3[[#This Row],[weight]]*(0.9155*Table2[[#This Row],[J56]]-E$9)^2</f>
        <v>0</v>
      </c>
      <c r="Q57">
        <f>Table3[[#This Row],[weight]]*(0.9155*Table2[[#This Row],[J67]]-F$9)^2</f>
        <v>0</v>
      </c>
      <c r="R57">
        <f>Table3[[#This Row],[weight]]*(0.9155*Table2[[#This Row],[J67'']]-G$9)^2</f>
        <v>0</v>
      </c>
      <c r="S57">
        <f>chloroform!J62</f>
        <v>0</v>
      </c>
      <c r="T57" t="str">
        <f>chloroform!F62</f>
        <v>4H6</v>
      </c>
    </row>
    <row r="58" spans="11:20" x14ac:dyDescent="0.25">
      <c r="K58">
        <f>chloroform!E63</f>
        <v>201</v>
      </c>
      <c r="L58">
        <f>Table3[[#This Row],[weight]]*(0.9155*Table2[[#This Row],[J1,2]]-A$9)^2</f>
        <v>0</v>
      </c>
      <c r="M58">
        <f>Table3[[#This Row],[weight]]*(0.9155*Table2[[#This Row],[J2,3]]-B$9)^2</f>
        <v>0</v>
      </c>
      <c r="N58">
        <f>Table3[[#This Row],[weight]]*(0.9155*Table2[[#This Row],[J34]]-C$9)^2</f>
        <v>0</v>
      </c>
      <c r="O58">
        <f>Table3[[#This Row],[weight]]*(0.9155*Table2[[#This Row],[J45]]-D$9)^2</f>
        <v>0</v>
      </c>
      <c r="P58">
        <f>Table3[[#This Row],[weight]]*(0.9155*Table2[[#This Row],[J56]]-E$9)^2</f>
        <v>0</v>
      </c>
      <c r="Q58">
        <f>Table3[[#This Row],[weight]]*(0.9155*Table2[[#This Row],[J67]]-F$9)^2</f>
        <v>0</v>
      </c>
      <c r="R58">
        <f>Table3[[#This Row],[weight]]*(0.9155*Table2[[#This Row],[J67'']]-G$9)^2</f>
        <v>0</v>
      </c>
      <c r="S58">
        <f>chloroform!J63</f>
        <v>0</v>
      </c>
      <c r="T58" t="str">
        <f>chloroform!F63</f>
        <v>4H6</v>
      </c>
    </row>
    <row r="59" spans="11:20" x14ac:dyDescent="0.25">
      <c r="K59">
        <f>chloroform!E64</f>
        <v>205</v>
      </c>
      <c r="L59">
        <f>Table3[[#This Row],[weight]]*(0.9155*Table2[[#This Row],[J1,2]]-A$9)^2</f>
        <v>6.1862117109678703E-6</v>
      </c>
      <c r="M59">
        <f>Table3[[#This Row],[weight]]*(0.9155*Table2[[#This Row],[J2,3]]-B$9)^2</f>
        <v>1.3170311635981835E-6</v>
      </c>
      <c r="N59">
        <f>Table3[[#This Row],[weight]]*(0.9155*Table2[[#This Row],[J34]]-C$9)^2</f>
        <v>4.6596854066074372E-6</v>
      </c>
      <c r="O59">
        <f>Table3[[#This Row],[weight]]*(0.9155*Table2[[#This Row],[J45]]-D$9)^2</f>
        <v>6.7531516613022568E-7</v>
      </c>
      <c r="P59">
        <f>Table3[[#This Row],[weight]]*(0.9155*Table2[[#This Row],[J56]]-E$9)^2</f>
        <v>1.609939557012199E-5</v>
      </c>
      <c r="Q59">
        <f>Table3[[#This Row],[weight]]*(0.9155*Table2[[#This Row],[J67]]-F$9)^2</f>
        <v>7.1726992239130307E-3</v>
      </c>
      <c r="R59">
        <f>Table3[[#This Row],[weight]]*(0.9155*Table2[[#This Row],[J67'']]-G$9)^2</f>
        <v>8.2848250057833818E-4</v>
      </c>
      <c r="S59">
        <f>chloroform!J64</f>
        <v>1.2057133954501917E-4</v>
      </c>
      <c r="T59" t="str">
        <f>chloroform!F64</f>
        <v>5C12</v>
      </c>
    </row>
    <row r="60" spans="11:20" x14ac:dyDescent="0.25">
      <c r="K60">
        <f>chloroform!E65</f>
        <v>217</v>
      </c>
      <c r="L60">
        <f>Table3[[#This Row],[weight]]*(0.9155*Table2[[#This Row],[J1,2]]-A$9)^2</f>
        <v>0</v>
      </c>
      <c r="M60">
        <f>Table3[[#This Row],[weight]]*(0.9155*Table2[[#This Row],[J2,3]]-B$9)^2</f>
        <v>0</v>
      </c>
      <c r="N60">
        <f>Table3[[#This Row],[weight]]*(0.9155*Table2[[#This Row],[J34]]-C$9)^2</f>
        <v>0</v>
      </c>
      <c r="O60">
        <f>Table3[[#This Row],[weight]]*(0.9155*Table2[[#This Row],[J45]]-D$9)^2</f>
        <v>0</v>
      </c>
      <c r="P60">
        <f>Table3[[#This Row],[weight]]*(0.9155*Table2[[#This Row],[J56]]-E$9)^2</f>
        <v>0</v>
      </c>
      <c r="Q60">
        <f>Table3[[#This Row],[weight]]*(0.9155*Table2[[#This Row],[J67]]-F$9)^2</f>
        <v>0</v>
      </c>
      <c r="R60">
        <f>Table3[[#This Row],[weight]]*(0.9155*Table2[[#This Row],[J67'']]-G$9)^2</f>
        <v>0</v>
      </c>
      <c r="S60">
        <f>chloroform!J65</f>
        <v>0</v>
      </c>
      <c r="T60" t="str">
        <f>chloroform!F65</f>
        <v>E45</v>
      </c>
    </row>
    <row r="61" spans="11:20" x14ac:dyDescent="0.25">
      <c r="K61">
        <f>chloroform!E66</f>
        <v>225</v>
      </c>
      <c r="L61">
        <f>Table3[[#This Row],[weight]]*(0.9155*Table2[[#This Row],[J1,2]]-A$9)^2</f>
        <v>0</v>
      </c>
      <c r="M61">
        <f>Table3[[#This Row],[weight]]*(0.9155*Table2[[#This Row],[J2,3]]-B$9)^2</f>
        <v>0</v>
      </c>
      <c r="N61">
        <f>Table3[[#This Row],[weight]]*(0.9155*Table2[[#This Row],[J34]]-C$9)^2</f>
        <v>0</v>
      </c>
      <c r="O61">
        <f>Table3[[#This Row],[weight]]*(0.9155*Table2[[#This Row],[J45]]-D$9)^2</f>
        <v>0</v>
      </c>
      <c r="P61">
        <f>Table3[[#This Row],[weight]]*(0.9155*Table2[[#This Row],[J56]]-E$9)^2</f>
        <v>0</v>
      </c>
      <c r="Q61">
        <f>Table3[[#This Row],[weight]]*(0.9155*Table2[[#This Row],[J67]]-F$9)^2</f>
        <v>0</v>
      </c>
      <c r="R61">
        <f>Table3[[#This Row],[weight]]*(0.9155*Table2[[#This Row],[J67'']]-G$9)^2</f>
        <v>0</v>
      </c>
      <c r="S61">
        <f>chloroform!J66</f>
        <v>0</v>
      </c>
      <c r="T61" t="str">
        <f>chloroform!F66</f>
        <v>E45</v>
      </c>
    </row>
    <row r="62" spans="11:20" x14ac:dyDescent="0.25">
      <c r="K62">
        <f>chloroform!E67</f>
        <v>247</v>
      </c>
      <c r="L62">
        <f>Table3[[#This Row],[weight]]*(0.9155*Table2[[#This Row],[J1,2]]-A$9)^2</f>
        <v>2.2107552099433635E-5</v>
      </c>
      <c r="M62">
        <f>Table3[[#This Row],[weight]]*(0.9155*Table2[[#This Row],[J2,3]]-B$9)^2</f>
        <v>1.4603848387123437E-4</v>
      </c>
      <c r="N62">
        <f>Table3[[#This Row],[weight]]*(0.9155*Table2[[#This Row],[J34]]-C$9)^2</f>
        <v>9.3493717784223524E-4</v>
      </c>
      <c r="O62">
        <f>Table3[[#This Row],[weight]]*(0.9155*Table2[[#This Row],[J45]]-D$9)^2</f>
        <v>5.7878263553206916E-6</v>
      </c>
      <c r="P62">
        <f>Table3[[#This Row],[weight]]*(0.9155*Table2[[#This Row],[J56]]-E$9)^2</f>
        <v>6.9179118894338379E-7</v>
      </c>
      <c r="Q62">
        <f>Table3[[#This Row],[weight]]*(0.9155*Table2[[#This Row],[J67]]-F$9)^2</f>
        <v>3.065765830839335E-6</v>
      </c>
      <c r="R62">
        <f>Table3[[#This Row],[weight]]*(0.9155*Table2[[#This Row],[J67'']]-G$9)^2</f>
        <v>2.1193105044440072E-4</v>
      </c>
      <c r="S62">
        <f>chloroform!J67</f>
        <v>6.4481041042882236E-5</v>
      </c>
      <c r="T62" t="str">
        <f>chloroform!F67</f>
        <v>5C12</v>
      </c>
    </row>
    <row r="63" spans="11:20" x14ac:dyDescent="0.25">
      <c r="K63">
        <f>chloroform!E68</f>
        <v>376</v>
      </c>
      <c r="L63">
        <f>Table3[[#This Row],[weight]]*(0.9155*Table2[[#This Row],[J1,2]]-A$9)^2</f>
        <v>0</v>
      </c>
      <c r="M63">
        <f>Table3[[#This Row],[weight]]*(0.9155*Table2[[#This Row],[J2,3]]-B$9)^2</f>
        <v>0</v>
      </c>
      <c r="N63">
        <f>Table3[[#This Row],[weight]]*(0.9155*Table2[[#This Row],[J34]]-C$9)^2</f>
        <v>0</v>
      </c>
      <c r="O63">
        <f>Table3[[#This Row],[weight]]*(0.9155*Table2[[#This Row],[J45]]-D$9)^2</f>
        <v>0</v>
      </c>
      <c r="P63">
        <f>Table3[[#This Row],[weight]]*(0.9155*Table2[[#This Row],[J56]]-E$9)^2</f>
        <v>0</v>
      </c>
      <c r="Q63">
        <f>Table3[[#This Row],[weight]]*(0.9155*Table2[[#This Row],[J67]]-F$9)^2</f>
        <v>0</v>
      </c>
      <c r="R63">
        <f>Table3[[#This Row],[weight]]*(0.9155*Table2[[#This Row],[J67'']]-G$9)^2</f>
        <v>0</v>
      </c>
      <c r="S63">
        <f>chloroform!J68</f>
        <v>0</v>
      </c>
      <c r="T63" t="str">
        <f>chloroform!F68</f>
        <v>4H6</v>
      </c>
    </row>
    <row r="64" spans="11:20" x14ac:dyDescent="0.25">
      <c r="K64">
        <f>chloroform!E69</f>
        <v>387</v>
      </c>
      <c r="L64">
        <f>Table3[[#This Row],[weight]]*(0.9155*Table2[[#This Row],[J1,2]]-A$9)^2</f>
        <v>1.2250358866106917E-3</v>
      </c>
      <c r="M64">
        <f>Table3[[#This Row],[weight]]*(0.9155*Table2[[#This Row],[J2,3]]-B$9)^2</f>
        <v>0.35265237400800875</v>
      </c>
      <c r="N64">
        <f>Table3[[#This Row],[weight]]*(0.9155*Table2[[#This Row],[J34]]-C$9)^2</f>
        <v>7.3811947115243301E-4</v>
      </c>
      <c r="O64">
        <f>Table3[[#This Row],[weight]]*(0.9155*Table2[[#This Row],[J45]]-D$9)^2</f>
        <v>0.27484062662270337</v>
      </c>
      <c r="P64">
        <f>Table3[[#This Row],[weight]]*(0.9155*Table2[[#This Row],[J56]]-E$9)^2</f>
        <v>0.50251340225589691</v>
      </c>
      <c r="Q64">
        <f>Table3[[#This Row],[weight]]*(0.9155*Table2[[#This Row],[J67]]-F$9)^2</f>
        <v>2.5569498463971808E-3</v>
      </c>
      <c r="R64">
        <f>Table3[[#This Row],[weight]]*(0.9155*Table2[[#This Row],[J67'']]-G$9)^2</f>
        <v>0.31876586234113458</v>
      </c>
      <c r="S64">
        <f>chloroform!J69</f>
        <v>9.4835783659327801E-3</v>
      </c>
      <c r="T64" t="str">
        <f>chloroform!F69</f>
        <v>12C5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40C877-BDD3-45E1-BA89-4846EDD764E0}">
  <dimension ref="A1:T64"/>
  <sheetViews>
    <sheetView workbookViewId="0">
      <selection activeCell="K2" sqref="K2:T64"/>
    </sheetView>
  </sheetViews>
  <sheetFormatPr defaultRowHeight="15" x14ac:dyDescent="0.25"/>
  <cols>
    <col min="1" max="1" width="14.5703125" customWidth="1"/>
    <col min="11" max="11" width="10.5703125" customWidth="1"/>
    <col min="20" max="20" width="14" customWidth="1"/>
  </cols>
  <sheetData>
    <row r="1" spans="1:20" x14ac:dyDescent="0.25">
      <c r="A1" t="s">
        <v>45</v>
      </c>
      <c r="B1">
        <f>SUMIF(Table1[Classification],E1,Table1[weight])</f>
        <v>0.60029569669909921</v>
      </c>
      <c r="D1" t="s">
        <v>11</v>
      </c>
      <c r="E1" t="s">
        <v>16</v>
      </c>
      <c r="G1">
        <f>COUNTIF(Table3[classification],E1)</f>
        <v>26</v>
      </c>
      <c r="K1" t="s">
        <v>44</v>
      </c>
      <c r="L1" t="s">
        <v>35</v>
      </c>
      <c r="M1" t="s">
        <v>36</v>
      </c>
      <c r="N1" t="s">
        <v>37</v>
      </c>
      <c r="O1" t="s">
        <v>38</v>
      </c>
      <c r="P1" t="s">
        <v>39</v>
      </c>
      <c r="Q1" t="s">
        <v>40</v>
      </c>
      <c r="R1" t="s">
        <v>42</v>
      </c>
      <c r="S1" t="s">
        <v>14</v>
      </c>
      <c r="T1" t="s">
        <v>43</v>
      </c>
    </row>
    <row r="2" spans="1:20" x14ac:dyDescent="0.25">
      <c r="K2">
        <f>chloroform!E7</f>
        <v>1</v>
      </c>
      <c r="L2">
        <f>Table3[[#This Row],[weight]]*(0.9155*Table2[[#This Row],[J1,2]]-A$9)^2</f>
        <v>5.1906757995002172E-4</v>
      </c>
      <c r="M2">
        <f>Table3[[#This Row],[weight]]*(0.9155*Table2[[#This Row],[J2,3]]-B$9)^2</f>
        <v>0.57123212985981753</v>
      </c>
      <c r="N2">
        <f>Table3[[#This Row],[weight]]*(0.9155*Table2[[#This Row],[J34]]-C$9)^2</f>
        <v>4.6201722619578888E-4</v>
      </c>
      <c r="O2">
        <f>Table3[[#This Row],[weight]]*(0.9155*Table2[[#This Row],[J45]]-D$9)^2</f>
        <v>0.92929103561239423</v>
      </c>
      <c r="P2">
        <f>Table3[[#This Row],[weight]]*(0.9155*Table2[[#This Row],[J56]]-E$9)^2</f>
        <v>1.7271291946275427</v>
      </c>
      <c r="Q2">
        <f>Table3[[#This Row],[weight]]*(0.9155*Table2[[#This Row],[J67]]-F$9)^2</f>
        <v>1.0320723964307934</v>
      </c>
      <c r="R2">
        <f>Table3[[#This Row],[weight]]*(0.9155*Table2[[#This Row],[J67'']]-G$9)^2</f>
        <v>7.8526901010349412E-2</v>
      </c>
      <c r="S2">
        <f>chloroform!J7</f>
        <v>1.5369372396989205E-2</v>
      </c>
      <c r="T2" t="str">
        <f>chloroform!F7</f>
        <v>6H4</v>
      </c>
    </row>
    <row r="3" spans="1:20" x14ac:dyDescent="0.25">
      <c r="A3" t="s">
        <v>59</v>
      </c>
      <c r="K3">
        <f>chloroform!E8</f>
        <v>2</v>
      </c>
      <c r="L3">
        <f>Table3[[#This Row],[weight]]*(0.9155*Table2[[#This Row],[J1,2]]-A$9)^2</f>
        <v>2.0826072377200122E-4</v>
      </c>
      <c r="M3">
        <f>Table3[[#This Row],[weight]]*(0.9155*Table2[[#This Row],[J2,3]]-B$9)^2</f>
        <v>2.5235062242049371E-4</v>
      </c>
      <c r="N3">
        <f>Table3[[#This Row],[weight]]*(0.9155*Table2[[#This Row],[J34]]-C$9)^2</f>
        <v>7.0206885567645713E-4</v>
      </c>
      <c r="O3">
        <f>Table3[[#This Row],[weight]]*(0.9155*Table2[[#This Row],[J45]]-D$9)^2</f>
        <v>2.4426174724496454E-2</v>
      </c>
      <c r="P3">
        <f>Table3[[#This Row],[weight]]*(0.9155*Table2[[#This Row],[J56]]-E$9)^2</f>
        <v>1.4635545660126594E-2</v>
      </c>
      <c r="Q3">
        <f>Table3[[#This Row],[weight]]*(0.9155*Table2[[#This Row],[J67]]-F$9)^2</f>
        <v>0.11425136412913885</v>
      </c>
      <c r="R3">
        <f>Table3[[#This Row],[weight]]*(0.9155*Table2[[#This Row],[J67'']]-G$9)^2</f>
        <v>0.44932999957535547</v>
      </c>
      <c r="S3">
        <f>chloroform!J8</f>
        <v>4.5701457632861299E-2</v>
      </c>
      <c r="T3" t="str">
        <f>chloroform!F8</f>
        <v>4H6</v>
      </c>
    </row>
    <row r="4" spans="1:20" x14ac:dyDescent="0.25">
      <c r="A4" t="s">
        <v>35</v>
      </c>
      <c r="B4" t="s">
        <v>36</v>
      </c>
      <c r="C4" t="s">
        <v>37</v>
      </c>
      <c r="D4" t="s">
        <v>38</v>
      </c>
      <c r="E4" t="s">
        <v>39</v>
      </c>
      <c r="F4" t="s">
        <v>40</v>
      </c>
      <c r="G4" t="s">
        <v>42</v>
      </c>
      <c r="K4">
        <f>chloroform!E9</f>
        <v>4</v>
      </c>
      <c r="L4">
        <f>Table3[[#This Row],[weight]]*(0.9155*Table2[[#This Row],[J1,2]]-A$9)^2</f>
        <v>7.0440258047176963E-7</v>
      </c>
      <c r="M4">
        <f>Table3[[#This Row],[weight]]*(0.9155*Table2[[#This Row],[J2,3]]-B$9)^2</f>
        <v>2.0702100860228009E-5</v>
      </c>
      <c r="N4">
        <f>Table3[[#This Row],[weight]]*(0.9155*Table2[[#This Row],[J34]]-C$9)^2</f>
        <v>3.60046786126288E-3</v>
      </c>
      <c r="O4">
        <f>Table3[[#This Row],[weight]]*(0.9155*Table2[[#This Row],[J45]]-D$9)^2</f>
        <v>3.7845319523011397E-3</v>
      </c>
      <c r="P4">
        <f>Table3[[#This Row],[weight]]*(0.9155*Table2[[#This Row],[J56]]-E$9)^2</f>
        <v>5.7438703569146832E-4</v>
      </c>
      <c r="Q4">
        <f>Table3[[#This Row],[weight]]*(0.9155*Table2[[#This Row],[J67]]-F$9)^2</f>
        <v>2.5500604345888276E-4</v>
      </c>
      <c r="R4">
        <f>Table3[[#This Row],[weight]]*(0.9155*Table2[[#This Row],[J67'']]-G$9)^2</f>
        <v>0.67832956745681228</v>
      </c>
      <c r="S4">
        <f>chloroform!J9</f>
        <v>0.1122618771305435</v>
      </c>
      <c r="T4" t="str">
        <f>chloroform!F9</f>
        <v>4H6</v>
      </c>
    </row>
    <row r="5" spans="1:20" x14ac:dyDescent="0.25">
      <c r="A5">
        <f>SUMIF(Table1[Classification],E1,Table2[J1,23])/$B$1</f>
        <v>7.5746054226471102</v>
      </c>
      <c r="B5">
        <f>SUMIF(Table1[Classification],E1,Table2[J2,34])/$B$1</f>
        <v>1.9315522276559915</v>
      </c>
      <c r="C5">
        <f>SUMIF(Table1[Classification],E1,Table2[J345])/$B$1</f>
        <v>1.9212831940502062</v>
      </c>
      <c r="D5">
        <f>SUMIF(Table1[Classification],E1,Table2[J456])/$B$1</f>
        <v>1.4011232025251446</v>
      </c>
      <c r="E5">
        <f>SUMIF(Table1[Classification],E1,Table2[J567])/$B$1</f>
        <v>10.769147160640836</v>
      </c>
      <c r="F5">
        <f>SUMIF(Table1[Classification],E1,Table2[J678])/$B$1</f>
        <v>1.8841535540437175</v>
      </c>
      <c r="G5">
        <f>SUMIF(Table1[Classification],E1,Table2[J67''9])/$B$1</f>
        <v>4.3349014729992028</v>
      </c>
      <c r="K5">
        <f>chloroform!E10</f>
        <v>5</v>
      </c>
      <c r="L5">
        <f>Table3[[#This Row],[weight]]*(0.9155*Table2[[#This Row],[J1,2]]-A$9)^2</f>
        <v>0</v>
      </c>
      <c r="M5">
        <f>Table3[[#This Row],[weight]]*(0.9155*Table2[[#This Row],[J2,3]]-B$9)^2</f>
        <v>0</v>
      </c>
      <c r="N5">
        <f>Table3[[#This Row],[weight]]*(0.9155*Table2[[#This Row],[J34]]-C$9)^2</f>
        <v>0</v>
      </c>
      <c r="O5">
        <f>Table3[[#This Row],[weight]]*(0.9155*Table2[[#This Row],[J45]]-D$9)^2</f>
        <v>0</v>
      </c>
      <c r="P5">
        <f>Table3[[#This Row],[weight]]*(0.9155*Table2[[#This Row],[J56]]-E$9)^2</f>
        <v>0</v>
      </c>
      <c r="Q5">
        <f>Table3[[#This Row],[weight]]*(0.9155*Table2[[#This Row],[J67]]-F$9)^2</f>
        <v>0</v>
      </c>
      <c r="R5">
        <f>Table3[[#This Row],[weight]]*(0.9155*Table2[[#This Row],[J67'']]-G$9)^2</f>
        <v>0</v>
      </c>
      <c r="S5">
        <f>chloroform!J10</f>
        <v>0</v>
      </c>
      <c r="T5" t="str">
        <f>chloroform!F10</f>
        <v>6H4</v>
      </c>
    </row>
    <row r="6" spans="1:20" x14ac:dyDescent="0.25">
      <c r="K6">
        <f>chloroform!E11</f>
        <v>8</v>
      </c>
      <c r="L6">
        <f>Table3[[#This Row],[weight]]*(0.9155*Table2[[#This Row],[J1,2]]-A$9)^2</f>
        <v>0</v>
      </c>
      <c r="M6">
        <f>Table3[[#This Row],[weight]]*(0.9155*Table2[[#This Row],[J2,3]]-B$9)^2</f>
        <v>0</v>
      </c>
      <c r="N6">
        <f>Table3[[#This Row],[weight]]*(0.9155*Table2[[#This Row],[J34]]-C$9)^2</f>
        <v>0</v>
      </c>
      <c r="O6">
        <f>Table3[[#This Row],[weight]]*(0.9155*Table2[[#This Row],[J45]]-D$9)^2</f>
        <v>0</v>
      </c>
      <c r="P6">
        <f>Table3[[#This Row],[weight]]*(0.9155*Table2[[#This Row],[J56]]-E$9)^2</f>
        <v>0</v>
      </c>
      <c r="Q6">
        <f>Table3[[#This Row],[weight]]*(0.9155*Table2[[#This Row],[J67]]-F$9)^2</f>
        <v>0</v>
      </c>
      <c r="R6">
        <f>Table3[[#This Row],[weight]]*(0.9155*Table2[[#This Row],[J67'']]-G$9)^2</f>
        <v>0</v>
      </c>
      <c r="S6">
        <f>chloroform!J11</f>
        <v>0</v>
      </c>
      <c r="T6" t="str">
        <f>chloroform!F11</f>
        <v>6H4</v>
      </c>
    </row>
    <row r="7" spans="1:20" x14ac:dyDescent="0.25">
      <c r="A7" t="s">
        <v>60</v>
      </c>
      <c r="K7">
        <f>chloroform!E12</f>
        <v>14</v>
      </c>
      <c r="L7">
        <f>Table3[[#This Row],[weight]]*(0.9155*Table2[[#This Row],[J1,2]]-A$9)^2</f>
        <v>8.0162708075569352E-5</v>
      </c>
      <c r="M7">
        <f>Table3[[#This Row],[weight]]*(0.9155*Table2[[#This Row],[J2,3]]-B$9)^2</f>
        <v>2.0800773544955698E-6</v>
      </c>
      <c r="N7">
        <f>Table3[[#This Row],[weight]]*(0.9155*Table2[[#This Row],[J34]]-C$9)^2</f>
        <v>7.806935801748712E-4</v>
      </c>
      <c r="O7">
        <f>Table3[[#This Row],[weight]]*(0.9155*Table2[[#This Row],[J45]]-D$9)^2</f>
        <v>5.3468434891984734E-4</v>
      </c>
      <c r="P7">
        <f>Table3[[#This Row],[weight]]*(0.9155*Table2[[#This Row],[J56]]-E$9)^2</f>
        <v>2.2722025907803307E-4</v>
      </c>
      <c r="Q7">
        <f>Table3[[#This Row],[weight]]*(0.9155*Table2[[#This Row],[J67]]-F$9)^2</f>
        <v>9.7223207207271754E-4</v>
      </c>
      <c r="R7">
        <f>Table3[[#This Row],[weight]]*(0.9155*Table2[[#This Row],[J67'']]-G$9)^2</f>
        <v>1.014101514862469E-3</v>
      </c>
      <c r="S7">
        <f>chloroform!J12</f>
        <v>8.4585370675389904E-4</v>
      </c>
      <c r="T7" t="str">
        <f>chloroform!F12</f>
        <v>4H6</v>
      </c>
    </row>
    <row r="8" spans="1:20" x14ac:dyDescent="0.25">
      <c r="A8" t="s">
        <v>35</v>
      </c>
      <c r="B8" t="s">
        <v>36</v>
      </c>
      <c r="C8" t="s">
        <v>37</v>
      </c>
      <c r="D8" t="s">
        <v>38</v>
      </c>
      <c r="E8" t="s">
        <v>39</v>
      </c>
      <c r="F8" t="s">
        <v>40</v>
      </c>
      <c r="G8" t="s">
        <v>42</v>
      </c>
      <c r="K8">
        <f>chloroform!E13</f>
        <v>20</v>
      </c>
      <c r="L8">
        <f>Table3[[#This Row],[weight]]*(0.9155*Table2[[#This Row],[J1,2]]-A$9)^2</f>
        <v>3.2211717760737674E-3</v>
      </c>
      <c r="M8">
        <f>Table3[[#This Row],[weight]]*(0.9155*Table2[[#This Row],[J2,3]]-B$9)^2</f>
        <v>0.74987803156311061</v>
      </c>
      <c r="N8">
        <f>Table3[[#This Row],[weight]]*(0.9155*Table2[[#This Row],[J34]]-C$9)^2</f>
        <v>1.8039518265369224E-4</v>
      </c>
      <c r="O8">
        <f>Table3[[#This Row],[weight]]*(0.9155*Table2[[#This Row],[J45]]-D$9)^2</f>
        <v>1.5687303215362876</v>
      </c>
      <c r="P8">
        <f>Table3[[#This Row],[weight]]*(0.9155*Table2[[#This Row],[J56]]-E$9)^2</f>
        <v>2.2942634594386178</v>
      </c>
      <c r="Q8">
        <f>Table3[[#This Row],[weight]]*(0.9155*Table2[[#This Row],[J67]]-F$9)^2</f>
        <v>0.10761290599729713</v>
      </c>
      <c r="R8">
        <f>Table3[[#This Row],[weight]]*(0.9155*Table2[[#This Row],[J67'']]-G$9)^2</f>
        <v>1.3535067249270682</v>
      </c>
      <c r="S8">
        <f>chloroform!J13</f>
        <v>2.2236255721901754E-2</v>
      </c>
      <c r="T8" t="str">
        <f>chloroform!F13</f>
        <v>6H4</v>
      </c>
    </row>
    <row r="9" spans="1:20" x14ac:dyDescent="0.25">
      <c r="A9">
        <f>A5</f>
        <v>7.5746054226471102</v>
      </c>
      <c r="B9">
        <f t="shared" ref="B9:G9" si="0">B5</f>
        <v>1.9315522276559915</v>
      </c>
      <c r="C9">
        <f>C5</f>
        <v>1.9212831940502062</v>
      </c>
      <c r="D9">
        <f t="shared" si="0"/>
        <v>1.4011232025251446</v>
      </c>
      <c r="E9">
        <f t="shared" si="0"/>
        <v>10.769147160640836</v>
      </c>
      <c r="F9">
        <f t="shared" si="0"/>
        <v>1.8841535540437175</v>
      </c>
      <c r="G9">
        <f t="shared" si="0"/>
        <v>4.3349014729992028</v>
      </c>
      <c r="K9">
        <f>chloroform!E14</f>
        <v>21</v>
      </c>
      <c r="L9">
        <f>Table3[[#This Row],[weight]]*(0.9155*Table2[[#This Row],[J1,2]]-A$9)^2</f>
        <v>9.5158496396459597E-4</v>
      </c>
      <c r="M9">
        <f>Table3[[#This Row],[weight]]*(0.9155*Table2[[#This Row],[J2,3]]-B$9)^2</f>
        <v>7.407454003918493E-5</v>
      </c>
      <c r="N9">
        <f>Table3[[#This Row],[weight]]*(0.9155*Table2[[#This Row],[J34]]-C$9)^2</f>
        <v>4.8364869680587556E-3</v>
      </c>
      <c r="O9">
        <f>Table3[[#This Row],[weight]]*(0.9155*Table2[[#This Row],[J45]]-D$9)^2</f>
        <v>4.2190195101424521E-2</v>
      </c>
      <c r="P9">
        <f>Table3[[#This Row],[weight]]*(0.9155*Table2[[#This Row],[J56]]-E$9)^2</f>
        <v>1.0347094831983709E-2</v>
      </c>
      <c r="Q9">
        <f>Table3[[#This Row],[weight]]*(0.9155*Table2[[#This Row],[J67]]-F$9)^2</f>
        <v>8.455171702736447E-2</v>
      </c>
      <c r="R9">
        <f>Table3[[#This Row],[weight]]*(0.9155*Table2[[#This Row],[J67'']]-G$9)^2</f>
        <v>0.11689328411707801</v>
      </c>
      <c r="S9">
        <f>chloroform!J14</f>
        <v>7.7209011344806247E-2</v>
      </c>
      <c r="T9" t="str">
        <f>chloroform!F14</f>
        <v>4H6</v>
      </c>
    </row>
    <row r="10" spans="1:20" x14ac:dyDescent="0.25">
      <c r="K10">
        <f>chloroform!E15</f>
        <v>25</v>
      </c>
      <c r="L10">
        <f>Table3[[#This Row],[weight]]*(0.9155*Table2[[#This Row],[J1,2]]-A$9)^2</f>
        <v>9.979735627202884E-6</v>
      </c>
      <c r="M10">
        <f>Table3[[#This Row],[weight]]*(0.9155*Table2[[#This Row],[J2,3]]-B$9)^2</f>
        <v>7.6061223329202141E-6</v>
      </c>
      <c r="N10">
        <f>Table3[[#This Row],[weight]]*(0.9155*Table2[[#This Row],[J34]]-C$9)^2</f>
        <v>2.426452879323816E-4</v>
      </c>
      <c r="O10">
        <f>Table3[[#This Row],[weight]]*(0.9155*Table2[[#This Row],[J45]]-D$9)^2</f>
        <v>3.4419428935623822E-4</v>
      </c>
      <c r="P10">
        <f>Table3[[#This Row],[weight]]*(0.9155*Table2[[#This Row],[J56]]-E$9)^2</f>
        <v>3.0845420414143634E-4</v>
      </c>
      <c r="Q10">
        <f>Table3[[#This Row],[weight]]*(0.9155*Table2[[#This Row],[J67]]-F$9)^2</f>
        <v>1.2996296133833865E-3</v>
      </c>
      <c r="R10">
        <f>Table3[[#This Row],[weight]]*(0.9155*Table2[[#This Row],[J67'']]-G$9)^2</f>
        <v>3.5572450607167321E-3</v>
      </c>
      <c r="S10">
        <f>chloroform!J15</f>
        <v>4.7537764035642649E-4</v>
      </c>
      <c r="T10" t="str">
        <f>chloroform!F15</f>
        <v>4H6</v>
      </c>
    </row>
    <row r="11" spans="1:20" x14ac:dyDescent="0.25">
      <c r="A11" t="s">
        <v>61</v>
      </c>
      <c r="K11">
        <f>chloroform!E16</f>
        <v>27</v>
      </c>
      <c r="L11">
        <f>Table3[[#This Row],[weight]]*(0.9155*Table2[[#This Row],[J1,2]]-A$9)^2</f>
        <v>3.4626081288088118E-6</v>
      </c>
      <c r="M11">
        <f>Table3[[#This Row],[weight]]*(0.9155*Table2[[#This Row],[J2,3]]-B$9)^2</f>
        <v>4.8808837681542836E-7</v>
      </c>
      <c r="N11">
        <f>Table3[[#This Row],[weight]]*(0.9155*Table2[[#This Row],[J34]]-C$9)^2</f>
        <v>1.3433147399702521E-4</v>
      </c>
      <c r="O11">
        <f>Table3[[#This Row],[weight]]*(0.9155*Table2[[#This Row],[J45]]-D$9)^2</f>
        <v>1.3949693542401529E-4</v>
      </c>
      <c r="P11">
        <f>Table3[[#This Row],[weight]]*(0.9155*Table2[[#This Row],[J56]]-E$9)^2</f>
        <v>7.5026819729928365E-6</v>
      </c>
      <c r="Q11">
        <f>Table3[[#This Row],[weight]]*(0.9155*Table2[[#This Row],[J67]]-F$9)^2</f>
        <v>9.6109972415086044E-3</v>
      </c>
      <c r="R11">
        <f>Table3[[#This Row],[weight]]*(0.9155*Table2[[#This Row],[J67'']]-G$9)^2</f>
        <v>1.3289815447861404E-3</v>
      </c>
      <c r="S11">
        <f>chloroform!J16</f>
        <v>1.781939242583272E-4</v>
      </c>
      <c r="T11" t="str">
        <f>chloroform!F16</f>
        <v>4H6</v>
      </c>
    </row>
    <row r="12" spans="1:20" x14ac:dyDescent="0.25">
      <c r="A12" t="s">
        <v>35</v>
      </c>
      <c r="B12" t="s">
        <v>36</v>
      </c>
      <c r="C12" t="s">
        <v>37</v>
      </c>
      <c r="D12" t="s">
        <v>38</v>
      </c>
      <c r="E12" t="s">
        <v>39</v>
      </c>
      <c r="F12" t="s">
        <v>40</v>
      </c>
      <c r="G12" t="s">
        <v>42</v>
      </c>
      <c r="K12">
        <f>chloroform!E17</f>
        <v>29</v>
      </c>
      <c r="L12">
        <f>Table3[[#This Row],[weight]]*(0.9155*Table2[[#This Row],[J1,2]]-A$9)^2</f>
        <v>2.4525548597368983E-4</v>
      </c>
      <c r="M12">
        <f>Table3[[#This Row],[weight]]*(0.9155*Table2[[#This Row],[J2,3]]-B$9)^2</f>
        <v>2.8687648659410744E-4</v>
      </c>
      <c r="N12">
        <f>Table3[[#This Row],[weight]]*(0.9155*Table2[[#This Row],[J34]]-C$9)^2</f>
        <v>4.9271161249579744E-7</v>
      </c>
      <c r="O12">
        <f>Table3[[#This Row],[weight]]*(0.9155*Table2[[#This Row],[J45]]-D$9)^2</f>
        <v>2.4770102423342228E-2</v>
      </c>
      <c r="P12">
        <f>Table3[[#This Row],[weight]]*(0.9155*Table2[[#This Row],[J56]]-E$9)^2</f>
        <v>5.8265506432182076E-2</v>
      </c>
      <c r="Q12">
        <f>Table3[[#This Row],[weight]]*(0.9155*Table2[[#This Row],[J67]]-F$9)^2</f>
        <v>0.96248820583270933</v>
      </c>
      <c r="R12">
        <f>Table3[[#This Row],[weight]]*(0.9155*Table2[[#This Row],[J67'']]-G$9)^2</f>
        <v>3.8299220697663207E-3</v>
      </c>
      <c r="S12">
        <f>chloroform!J17</f>
        <v>1.0782620989501255E-2</v>
      </c>
      <c r="T12" t="str">
        <f>chloroform!F17</f>
        <v>4H6</v>
      </c>
    </row>
    <row r="13" spans="1:20" x14ac:dyDescent="0.25">
      <c r="A13">
        <f>SQRT(SUMIF($T$2:$T$46,$E$1,L$2:L$46)/(($G$1-1)*$B$1/$G$1))</f>
        <v>0.10676635032872524</v>
      </c>
      <c r="B13">
        <f>SQRT(SUMIF($T$2:$T$46,$E$1,M$2:M$46)/(($G$1-1)*$B$1/$G$1))</f>
        <v>4.0205101333781509E-2</v>
      </c>
      <c r="C13">
        <f>SQRT(SUMIF($T$2:$T$46,$E$1,N$2:N$46)/(($G$1-1)*$B$1/$G$1))</f>
        <v>0.24508206781222097</v>
      </c>
      <c r="D13">
        <f t="shared" ref="D13:F13" si="1">SQRT(SUMIF($T$2:$T$46,$E$1,O$2:O$46)/(($G$1-1)*$B$1/$G$1))</f>
        <v>0.63790596250045506</v>
      </c>
      <c r="E13">
        <f t="shared" si="1"/>
        <v>0.50651418159209871</v>
      </c>
      <c r="F13">
        <f t="shared" si="1"/>
        <v>2.090880119667387</v>
      </c>
      <c r="G13">
        <f>SQRT(SUMIF($T$2:$T$46,$E$1,R$2:R$46)/(($G$1-1)*$B$1/$G$1))</f>
        <v>3.0898000934808798</v>
      </c>
      <c r="K13">
        <f>chloroform!E18</f>
        <v>30</v>
      </c>
      <c r="L13">
        <f>Table3[[#This Row],[weight]]*(0.9155*Table2[[#This Row],[J1,2]]-A$9)^2</f>
        <v>1.1608217885724235E-5</v>
      </c>
      <c r="M13">
        <f>Table3[[#This Row],[weight]]*(0.9155*Table2[[#This Row],[J2,3]]-B$9)^2</f>
        <v>0.14050960779438154</v>
      </c>
      <c r="N13">
        <f>Table3[[#This Row],[weight]]*(0.9155*Table2[[#This Row],[J34]]-C$9)^2</f>
        <v>3.4765694138977197E-4</v>
      </c>
      <c r="O13">
        <f>Table3[[#This Row],[weight]]*(0.9155*Table2[[#This Row],[J45]]-D$9)^2</f>
        <v>0.12476054655478258</v>
      </c>
      <c r="P13">
        <f>Table3[[#This Row],[weight]]*(0.9155*Table2[[#This Row],[J56]]-E$9)^2</f>
        <v>0.41191666679374261</v>
      </c>
      <c r="Q13">
        <f>Table3[[#This Row],[weight]]*(0.9155*Table2[[#This Row],[J67]]-F$9)^2</f>
        <v>1.0043305423008578E-3</v>
      </c>
      <c r="R13">
        <f>Table3[[#This Row],[weight]]*(0.9155*Table2[[#This Row],[J67'']]-G$9)^2</f>
        <v>0.24948287147386103</v>
      </c>
      <c r="S13">
        <f>chloroform!J18</f>
        <v>3.7545223175171893E-3</v>
      </c>
      <c r="T13" t="str">
        <f>chloroform!F18</f>
        <v>6H4</v>
      </c>
    </row>
    <row r="14" spans="1:20" x14ac:dyDescent="0.25">
      <c r="K14">
        <f>chloroform!E19</f>
        <v>32</v>
      </c>
      <c r="L14">
        <f>Table3[[#This Row],[weight]]*(0.9155*Table2[[#This Row],[J1,2]]-A$9)^2</f>
        <v>4.2933309953451828E-6</v>
      </c>
      <c r="M14">
        <f>Table3[[#This Row],[weight]]*(0.9155*Table2[[#This Row],[J2,3]]-B$9)^2</f>
        <v>2.2165806313221125E-6</v>
      </c>
      <c r="N14">
        <f>Table3[[#This Row],[weight]]*(0.9155*Table2[[#This Row],[J34]]-C$9)^2</f>
        <v>2.1778111958342742E-4</v>
      </c>
      <c r="O14">
        <f>Table3[[#This Row],[weight]]*(0.9155*Table2[[#This Row],[J45]]-D$9)^2</f>
        <v>6.2516515666999892E-4</v>
      </c>
      <c r="P14">
        <f>Table3[[#This Row],[weight]]*(0.9155*Table2[[#This Row],[J56]]-E$9)^2</f>
        <v>3.1203601727752665E-4</v>
      </c>
      <c r="Q14">
        <f>Table3[[#This Row],[weight]]*(0.9155*Table2[[#This Row],[J67]]-F$9)^2</f>
        <v>4.3210454847859099E-4</v>
      </c>
      <c r="R14">
        <f>Table3[[#This Row],[weight]]*(0.9155*Table2[[#This Row],[J67'']]-G$9)^2</f>
        <v>2.2042950855071457E-2</v>
      </c>
      <c r="S14">
        <f>chloroform!J19</f>
        <v>7.3055337798452974E-4</v>
      </c>
      <c r="T14" t="str">
        <f>chloroform!F19</f>
        <v>4H6</v>
      </c>
    </row>
    <row r="15" spans="1:20" x14ac:dyDescent="0.25">
      <c r="K15">
        <f>chloroform!E20</f>
        <v>35</v>
      </c>
      <c r="L15">
        <f>Table3[[#This Row],[weight]]*(0.9155*Table2[[#This Row],[J1,2]]-A$9)^2</f>
        <v>1.5755063141614519E-6</v>
      </c>
      <c r="M15">
        <f>Table3[[#This Row],[weight]]*(0.9155*Table2[[#This Row],[J2,3]]-B$9)^2</f>
        <v>2.2101562885288102E-3</v>
      </c>
      <c r="N15">
        <f>Table3[[#This Row],[weight]]*(0.9155*Table2[[#This Row],[J34]]-C$9)^2</f>
        <v>1.0215975270011954E-5</v>
      </c>
      <c r="O15">
        <f>Table3[[#This Row],[weight]]*(0.9155*Table2[[#This Row],[J45]]-D$9)^2</f>
        <v>7.1831191825236411E-3</v>
      </c>
      <c r="P15">
        <f>Table3[[#This Row],[weight]]*(0.9155*Table2[[#This Row],[J56]]-E$9)^2</f>
        <v>6.230644756405692E-3</v>
      </c>
      <c r="Q15">
        <f>Table3[[#This Row],[weight]]*(0.9155*Table2[[#This Row],[J67]]-F$9)^2</f>
        <v>4.0039856151316707E-4</v>
      </c>
      <c r="R15">
        <f>Table3[[#This Row],[weight]]*(0.9155*Table2[[#This Row],[J67'']]-G$9)^2</f>
        <v>9.5460929861485196E-4</v>
      </c>
      <c r="S15">
        <f>chloroform!J20</f>
        <v>8.1644225118472793E-5</v>
      </c>
      <c r="T15" t="str">
        <f>chloroform!F20</f>
        <v>6H4</v>
      </c>
    </row>
    <row r="16" spans="1:20" x14ac:dyDescent="0.25">
      <c r="K16">
        <f>chloroform!E21</f>
        <v>36</v>
      </c>
      <c r="L16">
        <f>Table3[[#This Row],[weight]]*(0.9155*Table2[[#This Row],[J1,2]]-A$9)^2</f>
        <v>2.7990205493002973E-7</v>
      </c>
      <c r="M16">
        <f>Table3[[#This Row],[weight]]*(0.9155*Table2[[#This Row],[J2,3]]-B$9)^2</f>
        <v>5.0943643305008407E-7</v>
      </c>
      <c r="N16">
        <f>Table3[[#This Row],[weight]]*(0.9155*Table2[[#This Row],[J34]]-C$9)^2</f>
        <v>2.9450469107178359E-5</v>
      </c>
      <c r="O16">
        <f>Table3[[#This Row],[weight]]*(0.9155*Table2[[#This Row],[J45]]-D$9)^2</f>
        <v>1.1474982490874664E-3</v>
      </c>
      <c r="P16">
        <f>Table3[[#This Row],[weight]]*(0.9155*Table2[[#This Row],[J56]]-E$9)^2</f>
        <v>6.715729446374433E-4</v>
      </c>
      <c r="Q16">
        <f>Table3[[#This Row],[weight]]*(0.9155*Table2[[#This Row],[J67]]-F$9)^2</f>
        <v>6.6417717697134088E-2</v>
      </c>
      <c r="R16">
        <f>Table3[[#This Row],[weight]]*(0.9155*Table2[[#This Row],[J67'']]-G$9)^2</f>
        <v>3.6861575717894689E-2</v>
      </c>
      <c r="S16">
        <f>chloroform!J21</f>
        <v>2.4245989889296209E-3</v>
      </c>
      <c r="T16" t="str">
        <f>chloroform!F21</f>
        <v>4H6</v>
      </c>
    </row>
    <row r="17" spans="7:20" x14ac:dyDescent="0.25">
      <c r="K17">
        <f>chloroform!E22</f>
        <v>40</v>
      </c>
      <c r="L17">
        <f>Table3[[#This Row],[weight]]*(0.9155*Table2[[#This Row],[J1,2]]-A$9)^2</f>
        <v>2.5163059218288761E-7</v>
      </c>
      <c r="M17">
        <f>Table3[[#This Row],[weight]]*(0.9155*Table2[[#This Row],[J2,3]]-B$9)^2</f>
        <v>7.6966050771856749E-7</v>
      </c>
      <c r="N17">
        <f>Table3[[#This Row],[weight]]*(0.9155*Table2[[#This Row],[J34]]-C$9)^2</f>
        <v>1.7861669039028047E-4</v>
      </c>
      <c r="O17">
        <f>Table3[[#This Row],[weight]]*(0.9155*Table2[[#This Row],[J45]]-D$9)^2</f>
        <v>1.7863688534021686E-4</v>
      </c>
      <c r="P17">
        <f>Table3[[#This Row],[weight]]*(0.9155*Table2[[#This Row],[J56]]-E$9)^2</f>
        <v>1.1519010576915922E-4</v>
      </c>
      <c r="Q17">
        <f>Table3[[#This Row],[weight]]*(0.9155*Table2[[#This Row],[J67]]-F$9)^2</f>
        <v>4.809779678208424E-4</v>
      </c>
      <c r="R17">
        <f>Table3[[#This Row],[weight]]*(0.9155*Table2[[#This Row],[J67'']]-G$9)^2</f>
        <v>1.27736552653859E-3</v>
      </c>
      <c r="S17">
        <f>chloroform!J22</f>
        <v>1.7632209154101546E-4</v>
      </c>
      <c r="T17" t="str">
        <f>chloroform!F22</f>
        <v>4H6</v>
      </c>
    </row>
    <row r="18" spans="7:20" x14ac:dyDescent="0.25">
      <c r="G18" t="s">
        <v>35</v>
      </c>
      <c r="K18">
        <f>chloroform!E23</f>
        <v>42</v>
      </c>
      <c r="L18">
        <f>Table3[[#This Row],[weight]]*(0.9155*Table2[[#This Row],[J1,2]]-A$9)^2</f>
        <v>0</v>
      </c>
      <c r="M18">
        <f>Table3[[#This Row],[weight]]*(0.9155*Table2[[#This Row],[J2,3]]-B$9)^2</f>
        <v>0</v>
      </c>
      <c r="N18">
        <f>Table3[[#This Row],[weight]]*(0.9155*Table2[[#This Row],[J34]]-C$9)^2</f>
        <v>0</v>
      </c>
      <c r="O18">
        <f>Table3[[#This Row],[weight]]*(0.9155*Table2[[#This Row],[J45]]-D$9)^2</f>
        <v>0</v>
      </c>
      <c r="P18">
        <f>Table3[[#This Row],[weight]]*(0.9155*Table2[[#This Row],[J56]]-E$9)^2</f>
        <v>0</v>
      </c>
      <c r="Q18">
        <f>Table3[[#This Row],[weight]]*(0.9155*Table2[[#This Row],[J67]]-F$9)^2</f>
        <v>0</v>
      </c>
      <c r="R18">
        <f>Table3[[#This Row],[weight]]*(0.9155*Table2[[#This Row],[J67'']]-G$9)^2</f>
        <v>0</v>
      </c>
      <c r="S18">
        <f>chloroform!J23</f>
        <v>0</v>
      </c>
      <c r="T18" t="str">
        <f>chloroform!F23</f>
        <v>6H4</v>
      </c>
    </row>
    <row r="19" spans="7:20" x14ac:dyDescent="0.25">
      <c r="G19" t="s">
        <v>36</v>
      </c>
      <c r="K19">
        <f>chloroform!E24</f>
        <v>43</v>
      </c>
      <c r="L19">
        <f>Table3[[#This Row],[weight]]*(0.9155*Table2[[#This Row],[J1,2]]-A$9)^2</f>
        <v>1.473213326535655E-5</v>
      </c>
      <c r="M19">
        <f>Table3[[#This Row],[weight]]*(0.9155*Table2[[#This Row],[J2,3]]-B$9)^2</f>
        <v>2.7995442761423045E-3</v>
      </c>
      <c r="N19">
        <f>Table3[[#This Row],[weight]]*(0.9155*Table2[[#This Row],[J34]]-C$9)^2</f>
        <v>1.5339466410955196E-3</v>
      </c>
      <c r="O19">
        <f>Table3[[#This Row],[weight]]*(0.9155*Table2[[#This Row],[J45]]-D$9)^2</f>
        <v>4.2285728680294496E-2</v>
      </c>
      <c r="P19">
        <f>Table3[[#This Row],[weight]]*(0.9155*Table2[[#This Row],[J56]]-E$9)^2</f>
        <v>0.24118112077328094</v>
      </c>
      <c r="Q19">
        <f>Table3[[#This Row],[weight]]*(0.9155*Table2[[#This Row],[J67]]-F$9)^2</f>
        <v>0.35565043782603728</v>
      </c>
      <c r="R19">
        <f>Table3[[#This Row],[weight]]*(0.9155*Table2[[#This Row],[J67'']]-G$9)^2</f>
        <v>7.7754501355864264E-4</v>
      </c>
      <c r="S19">
        <f>chloroform!J24</f>
        <v>3.3659406365728149E-3</v>
      </c>
      <c r="T19" t="str">
        <f>chloroform!F24</f>
        <v>12C5</v>
      </c>
    </row>
    <row r="20" spans="7:20" x14ac:dyDescent="0.25">
      <c r="G20" t="s">
        <v>37</v>
      </c>
      <c r="K20">
        <f>chloroform!E25</f>
        <v>44</v>
      </c>
      <c r="L20">
        <f>Table3[[#This Row],[weight]]*(0.9155*Table2[[#This Row],[J1,2]]-A$9)^2</f>
        <v>1.1609308056002886E-3</v>
      </c>
      <c r="M20">
        <f>Table3[[#This Row],[weight]]*(0.9155*Table2[[#This Row],[J2,3]]-B$9)^2</f>
        <v>4.5018128368764852E-5</v>
      </c>
      <c r="N20">
        <f>Table3[[#This Row],[weight]]*(0.9155*Table2[[#This Row],[J34]]-C$9)^2</f>
        <v>5.5666657864361108E-3</v>
      </c>
      <c r="O20">
        <f>Table3[[#This Row],[weight]]*(0.9155*Table2[[#This Row],[J45]]-D$9)^2</f>
        <v>4.1168399682869422E-2</v>
      </c>
      <c r="P20">
        <f>Table3[[#This Row],[weight]]*(0.9155*Table2[[#This Row],[J56]]-E$9)^2</f>
        <v>1.1987584555998127E-2</v>
      </c>
      <c r="Q20">
        <f>Table3[[#This Row],[weight]]*(0.9155*Table2[[#This Row],[J67]]-F$9)^2</f>
        <v>8.1121833146031025E-2</v>
      </c>
      <c r="R20">
        <f>Table3[[#This Row],[weight]]*(0.9155*Table2[[#This Row],[J67'']]-G$9)^2</f>
        <v>0.10894296193871784</v>
      </c>
      <c r="S20">
        <f>chloroform!J25</f>
        <v>7.4598169292350663E-2</v>
      </c>
      <c r="T20" t="str">
        <f>chloroform!F25</f>
        <v>4H6</v>
      </c>
    </row>
    <row r="21" spans="7:20" x14ac:dyDescent="0.25">
      <c r="G21" t="s">
        <v>38</v>
      </c>
      <c r="K21">
        <f>chloroform!E26</f>
        <v>47</v>
      </c>
      <c r="L21">
        <f>Table3[[#This Row],[weight]]*(0.9155*Table2[[#This Row],[J1,2]]-A$9)^2</f>
        <v>0</v>
      </c>
      <c r="M21">
        <f>Table3[[#This Row],[weight]]*(0.9155*Table2[[#This Row],[J2,3]]-B$9)^2</f>
        <v>0</v>
      </c>
      <c r="N21">
        <f>Table3[[#This Row],[weight]]*(0.9155*Table2[[#This Row],[J34]]-C$9)^2</f>
        <v>0</v>
      </c>
      <c r="O21">
        <f>Table3[[#This Row],[weight]]*(0.9155*Table2[[#This Row],[J45]]-D$9)^2</f>
        <v>0</v>
      </c>
      <c r="P21">
        <f>Table3[[#This Row],[weight]]*(0.9155*Table2[[#This Row],[J56]]-E$9)^2</f>
        <v>0</v>
      </c>
      <c r="Q21">
        <f>Table3[[#This Row],[weight]]*(0.9155*Table2[[#This Row],[J67]]-F$9)^2</f>
        <v>0</v>
      </c>
      <c r="R21">
        <f>Table3[[#This Row],[weight]]*(0.9155*Table2[[#This Row],[J67'']]-G$9)^2</f>
        <v>0</v>
      </c>
      <c r="S21">
        <f>chloroform!J26</f>
        <v>0</v>
      </c>
      <c r="T21" t="str">
        <f>chloroform!F26</f>
        <v>6H4</v>
      </c>
    </row>
    <row r="22" spans="7:20" x14ac:dyDescent="0.25">
      <c r="G22" t="s">
        <v>39</v>
      </c>
      <c r="K22">
        <f>chloroform!E27</f>
        <v>51</v>
      </c>
      <c r="L22">
        <f>Table3[[#This Row],[weight]]*(0.9155*Table2[[#This Row],[J1,2]]-A$9)^2</f>
        <v>0</v>
      </c>
      <c r="M22">
        <f>Table3[[#This Row],[weight]]*(0.9155*Table2[[#This Row],[J2,3]]-B$9)^2</f>
        <v>0</v>
      </c>
      <c r="N22">
        <f>Table3[[#This Row],[weight]]*(0.9155*Table2[[#This Row],[J34]]-C$9)^2</f>
        <v>0</v>
      </c>
      <c r="O22">
        <f>Table3[[#This Row],[weight]]*(0.9155*Table2[[#This Row],[J45]]-D$9)^2</f>
        <v>0</v>
      </c>
      <c r="P22">
        <f>Table3[[#This Row],[weight]]*(0.9155*Table2[[#This Row],[J56]]-E$9)^2</f>
        <v>0</v>
      </c>
      <c r="Q22">
        <f>Table3[[#This Row],[weight]]*(0.9155*Table2[[#This Row],[J67]]-F$9)^2</f>
        <v>0</v>
      </c>
      <c r="R22">
        <f>Table3[[#This Row],[weight]]*(0.9155*Table2[[#This Row],[J67'']]-G$9)^2</f>
        <v>0</v>
      </c>
      <c r="S22">
        <f>chloroform!J27</f>
        <v>0</v>
      </c>
      <c r="T22" t="str">
        <f>chloroform!F27</f>
        <v>45E</v>
      </c>
    </row>
    <row r="23" spans="7:20" x14ac:dyDescent="0.25">
      <c r="G23" t="s">
        <v>40</v>
      </c>
      <c r="K23">
        <f>chloroform!E28</f>
        <v>52</v>
      </c>
      <c r="L23">
        <f>Table3[[#This Row],[weight]]*(0.9155*Table2[[#This Row],[J1,2]]-A$9)^2</f>
        <v>6.8184118893576762E-4</v>
      </c>
      <c r="M23">
        <f>Table3[[#This Row],[weight]]*(0.9155*Table2[[#This Row],[J2,3]]-B$9)^2</f>
        <v>1.7934497853084874E-6</v>
      </c>
      <c r="N23">
        <f>Table3[[#This Row],[weight]]*(0.9155*Table2[[#This Row],[J34]]-C$9)^2</f>
        <v>3.0011415271655852E-3</v>
      </c>
      <c r="O23">
        <f>Table3[[#This Row],[weight]]*(0.9155*Table2[[#This Row],[J45]]-D$9)^2</f>
        <v>4.4804820660185882E-3</v>
      </c>
      <c r="P23">
        <f>Table3[[#This Row],[weight]]*(0.9155*Table2[[#This Row],[J56]]-E$9)^2</f>
        <v>1.945740270010738E-3</v>
      </c>
      <c r="Q23">
        <f>Table3[[#This Row],[weight]]*(0.9155*Table2[[#This Row],[J67]]-F$9)^2</f>
        <v>1.8282226502476573E-2</v>
      </c>
      <c r="R23">
        <f>Table3[[#This Row],[weight]]*(0.9155*Table2[[#This Row],[J67'']]-G$9)^2</f>
        <v>0.64901620116223224</v>
      </c>
      <c r="S23">
        <f>chloroform!J28</f>
        <v>6.2888274405505803E-2</v>
      </c>
      <c r="T23" t="str">
        <f>chloroform!F28</f>
        <v>4H6</v>
      </c>
    </row>
    <row r="24" spans="7:20" x14ac:dyDescent="0.25">
      <c r="G24" t="s">
        <v>42</v>
      </c>
      <c r="K24">
        <f>chloroform!E29</f>
        <v>54</v>
      </c>
      <c r="L24">
        <f>Table3[[#This Row],[weight]]*(0.9155*Table2[[#This Row],[J1,2]]-A$9)^2</f>
        <v>1.1953220209616931E-3</v>
      </c>
      <c r="M24">
        <f>Table3[[#This Row],[weight]]*(0.9155*Table2[[#This Row],[J2,3]]-B$9)^2</f>
        <v>2.4668551983000792E-6</v>
      </c>
      <c r="N24">
        <f>Table3[[#This Row],[weight]]*(0.9155*Table2[[#This Row],[J34]]-C$9)^2</f>
        <v>7.6971451937150465E-3</v>
      </c>
      <c r="O24">
        <f>Table3[[#This Row],[weight]]*(0.9155*Table2[[#This Row],[J45]]-D$9)^2</f>
        <v>2.5039164916509069E-2</v>
      </c>
      <c r="P24">
        <f>Table3[[#This Row],[weight]]*(0.9155*Table2[[#This Row],[J56]]-E$9)^2</f>
        <v>5.6771412240095393E-3</v>
      </c>
      <c r="Q24">
        <f>Table3[[#This Row],[weight]]*(0.9155*Table2[[#This Row],[J67]]-F$9)^2</f>
        <v>4.9926734142518039E-2</v>
      </c>
      <c r="R24">
        <f>Table3[[#This Row],[weight]]*(0.9155*Table2[[#This Row],[J67'']]-G$9)^2</f>
        <v>3.308794615115032</v>
      </c>
      <c r="S24">
        <f>chloroform!J29</f>
        <v>0.11024816405490606</v>
      </c>
      <c r="T24" t="str">
        <f>chloroform!F29</f>
        <v>4H6</v>
      </c>
    </row>
    <row r="25" spans="7:20" x14ac:dyDescent="0.25">
      <c r="K25">
        <f>chloroform!E30</f>
        <v>55</v>
      </c>
      <c r="L25">
        <f>Table3[[#This Row],[weight]]*(0.9155*Table2[[#This Row],[J1,2]]-A$9)^2</f>
        <v>1.2044869343616695E-5</v>
      </c>
      <c r="M25">
        <f>Table3[[#This Row],[weight]]*(0.9155*Table2[[#This Row],[J2,3]]-B$9)^2</f>
        <v>1.5297155446948407E-3</v>
      </c>
      <c r="N25">
        <f>Table3[[#This Row],[weight]]*(0.9155*Table2[[#This Row],[J34]]-C$9)^2</f>
        <v>4.2909534525790343E-4</v>
      </c>
      <c r="O25">
        <f>Table3[[#This Row],[weight]]*(0.9155*Table2[[#This Row],[J45]]-D$9)^2</f>
        <v>1.6455513154040192E-2</v>
      </c>
      <c r="P25">
        <f>Table3[[#This Row],[weight]]*(0.9155*Table2[[#This Row],[J56]]-E$9)^2</f>
        <v>0.12046162503334899</v>
      </c>
      <c r="Q25">
        <f>Table3[[#This Row],[weight]]*(0.9155*Table2[[#This Row],[J67]]-F$9)^2</f>
        <v>0.13908129509155318</v>
      </c>
      <c r="R25">
        <f>Table3[[#This Row],[weight]]*(0.9155*Table2[[#This Row],[J67'']]-G$9)^2</f>
        <v>1.1738768735423104E-3</v>
      </c>
      <c r="S25">
        <f>chloroform!J30</f>
        <v>1.5357057864394787E-3</v>
      </c>
      <c r="T25" t="str">
        <f>chloroform!F30</f>
        <v>12C5</v>
      </c>
    </row>
    <row r="26" spans="7:20" x14ac:dyDescent="0.25">
      <c r="K26">
        <f>chloroform!E31</f>
        <v>57</v>
      </c>
      <c r="L26">
        <f>Table3[[#This Row],[weight]]*(0.9155*Table2[[#This Row],[J1,2]]-A$9)^2</f>
        <v>3.4764881838459137E-6</v>
      </c>
      <c r="M26">
        <f>Table3[[#This Row],[weight]]*(0.9155*Table2[[#This Row],[J2,3]]-B$9)^2</f>
        <v>4.8338485651676984E-7</v>
      </c>
      <c r="N26">
        <f>Table3[[#This Row],[weight]]*(0.9155*Table2[[#This Row],[J34]]-C$9)^2</f>
        <v>1.4353108330963059E-4</v>
      </c>
      <c r="O26">
        <f>Table3[[#This Row],[weight]]*(0.9155*Table2[[#This Row],[J45]]-D$9)^2</f>
        <v>1.5483625083651816E-4</v>
      </c>
      <c r="P26">
        <f>Table3[[#This Row],[weight]]*(0.9155*Table2[[#This Row],[J56]]-E$9)^2</f>
        <v>8.3502443977458135E-6</v>
      </c>
      <c r="Q26">
        <f>Table3[[#This Row],[weight]]*(0.9155*Table2[[#This Row],[J67]]-F$9)^2</f>
        <v>1.0570221285823665E-2</v>
      </c>
      <c r="R26">
        <f>Table3[[#This Row],[weight]]*(0.9155*Table2[[#This Row],[J67'']]-G$9)^2</f>
        <v>1.4591307946865957E-3</v>
      </c>
      <c r="S26">
        <f>chloroform!J31</f>
        <v>1.9656618624770586E-4</v>
      </c>
      <c r="T26" t="str">
        <f>chloroform!F31</f>
        <v>4H6</v>
      </c>
    </row>
    <row r="27" spans="7:20" x14ac:dyDescent="0.25">
      <c r="K27">
        <f>chloroform!E32</f>
        <v>58</v>
      </c>
      <c r="L27">
        <f>Table3[[#This Row],[weight]]*(0.9155*Table2[[#This Row],[J1,2]]-A$9)^2</f>
        <v>9.3460234657557824E-8</v>
      </c>
      <c r="M27">
        <f>Table3[[#This Row],[weight]]*(0.9155*Table2[[#This Row],[J2,3]]-B$9)^2</f>
        <v>6.9458772707770231E-10</v>
      </c>
      <c r="N27">
        <f>Table3[[#This Row],[weight]]*(0.9155*Table2[[#This Row],[J34]]-C$9)^2</f>
        <v>2.7022534021257845E-4</v>
      </c>
      <c r="O27">
        <f>Table3[[#This Row],[weight]]*(0.9155*Table2[[#This Row],[J45]]-D$9)^2</f>
        <v>2.342012590090679E-4</v>
      </c>
      <c r="P27">
        <f>Table3[[#This Row],[weight]]*(0.9155*Table2[[#This Row],[J56]]-E$9)^2</f>
        <v>5.5220671816894396E-5</v>
      </c>
      <c r="Q27">
        <f>Table3[[#This Row],[weight]]*(0.9155*Table2[[#This Row],[J67]]-F$9)^2</f>
        <v>1.0450908625741897E-4</v>
      </c>
      <c r="R27">
        <f>Table3[[#This Row],[weight]]*(0.9155*Table2[[#This Row],[J67'']]-G$9)^2</f>
        <v>7.9789068011156764E-3</v>
      </c>
      <c r="S27">
        <f>chloroform!J32</f>
        <v>2.4661833307946558E-4</v>
      </c>
      <c r="T27" t="str">
        <f>chloroform!F32</f>
        <v>4H6</v>
      </c>
    </row>
    <row r="28" spans="7:20" x14ac:dyDescent="0.25">
      <c r="K28">
        <f>chloroform!E33</f>
        <v>60</v>
      </c>
      <c r="L28">
        <f>Table3[[#This Row],[weight]]*(0.9155*Table2[[#This Row],[J1,2]]-A$9)^2</f>
        <v>1.4413143408989638E-3</v>
      </c>
      <c r="M28">
        <f>Table3[[#This Row],[weight]]*(0.9155*Table2[[#This Row],[J2,3]]-B$9)^2</f>
        <v>1.0210059678635509E-2</v>
      </c>
      <c r="N28">
        <f>Table3[[#This Row],[weight]]*(0.9155*Table2[[#This Row],[J34]]-C$9)^2</f>
        <v>1.6582633930526265E-5</v>
      </c>
      <c r="O28">
        <f>Table3[[#This Row],[weight]]*(0.9155*Table2[[#This Row],[J45]]-D$9)^2</f>
        <v>5.1299138138114167E-2</v>
      </c>
      <c r="P28">
        <f>Table3[[#This Row],[weight]]*(0.9155*Table2[[#This Row],[J56]]-E$9)^2</f>
        <v>0.37301006300027623</v>
      </c>
      <c r="Q28">
        <f>Table3[[#This Row],[weight]]*(0.9155*Table2[[#This Row],[J67]]-F$9)^2</f>
        <v>1.601906010641674E-4</v>
      </c>
      <c r="R28">
        <f>Table3[[#This Row],[weight]]*(0.9155*Table2[[#This Row],[J67'']]-G$9)^2</f>
        <v>0.19750432512112465</v>
      </c>
      <c r="S28">
        <f>chloroform!J33</f>
        <v>4.5952987890748717E-3</v>
      </c>
      <c r="T28" t="str">
        <f>chloroform!F33</f>
        <v>12C5</v>
      </c>
    </row>
    <row r="29" spans="7:20" x14ac:dyDescent="0.25">
      <c r="K29">
        <f>chloroform!E34</f>
        <v>65</v>
      </c>
      <c r="L29">
        <f>Table3[[#This Row],[weight]]*(0.9155*Table2[[#This Row],[J1,2]]-A$9)^2</f>
        <v>3.5276735847219337E-4</v>
      </c>
      <c r="M29">
        <f>Table3[[#This Row],[weight]]*(0.9155*Table2[[#This Row],[J2,3]]-B$9)^2</f>
        <v>5.8828309117431488E-5</v>
      </c>
      <c r="N29">
        <f>Table3[[#This Row],[weight]]*(0.9155*Table2[[#This Row],[J34]]-C$9)^2</f>
        <v>1.0120788452474508E-3</v>
      </c>
      <c r="O29">
        <f>Table3[[#This Row],[weight]]*(0.9155*Table2[[#This Row],[J45]]-D$9)^2</f>
        <v>1.1355463280070702E-2</v>
      </c>
      <c r="P29">
        <f>Table3[[#This Row],[weight]]*(0.9155*Table2[[#This Row],[J56]]-E$9)^2</f>
        <v>1.5746167836474357E-2</v>
      </c>
      <c r="Q29">
        <f>Table3[[#This Row],[weight]]*(0.9155*Table2[[#This Row],[J67]]-F$9)^2</f>
        <v>0.48565080431520119</v>
      </c>
      <c r="R29">
        <f>Table3[[#This Row],[weight]]*(0.9155*Table2[[#This Row],[J67'']]-G$9)^2</f>
        <v>2.1317207763446346E-3</v>
      </c>
      <c r="S29">
        <f>chloroform!J34</f>
        <v>6.8579294735968367E-3</v>
      </c>
      <c r="T29" t="str">
        <f>chloroform!F34</f>
        <v>4H6</v>
      </c>
    </row>
    <row r="30" spans="7:20" x14ac:dyDescent="0.25">
      <c r="K30">
        <f>chloroform!E35</f>
        <v>69</v>
      </c>
      <c r="L30">
        <f>Table3[[#This Row],[weight]]*(0.9155*Table2[[#This Row],[J1,2]]-A$9)^2</f>
        <v>9.2438449984297611E-6</v>
      </c>
      <c r="M30">
        <f>Table3[[#This Row],[weight]]*(0.9155*Table2[[#This Row],[J2,3]]-B$9)^2</f>
        <v>4.3079333171883753E-3</v>
      </c>
      <c r="N30">
        <f>Table3[[#This Row],[weight]]*(0.9155*Table2[[#This Row],[J34]]-C$9)^2</f>
        <v>3.3708764408960813E-7</v>
      </c>
      <c r="O30">
        <f>Table3[[#This Row],[weight]]*(0.9155*Table2[[#This Row],[J45]]-D$9)^2</f>
        <v>9.3942332158816477E-3</v>
      </c>
      <c r="P30">
        <f>Table3[[#This Row],[weight]]*(0.9155*Table2[[#This Row],[J56]]-E$9)^2</f>
        <v>1.0565139044465061E-2</v>
      </c>
      <c r="Q30">
        <f>Table3[[#This Row],[weight]]*(0.9155*Table2[[#This Row],[J67]]-F$9)^2</f>
        <v>4.3235695783664101E-4</v>
      </c>
      <c r="R30">
        <f>Table3[[#This Row],[weight]]*(0.9155*Table2[[#This Row],[J67'']]-G$9)^2</f>
        <v>6.7520183731328218E-3</v>
      </c>
      <c r="S30">
        <f>chloroform!J35</f>
        <v>1.1798925063709552E-4</v>
      </c>
      <c r="T30" t="str">
        <f>chloroform!F35</f>
        <v>6H4</v>
      </c>
    </row>
    <row r="31" spans="7:20" x14ac:dyDescent="0.25">
      <c r="K31">
        <f>chloroform!E36</f>
        <v>70</v>
      </c>
      <c r="L31">
        <f>Table3[[#This Row],[weight]]*(0.9155*Table2[[#This Row],[J1,2]]-A$9)^2</f>
        <v>1.2315824342149701E-3</v>
      </c>
      <c r="M31">
        <f>Table3[[#This Row],[weight]]*(0.9155*Table2[[#This Row],[J2,3]]-B$9)^2</f>
        <v>1.1322981985588278E-4</v>
      </c>
      <c r="N31">
        <f>Table3[[#This Row],[weight]]*(0.9155*Table2[[#This Row],[J34]]-C$9)^2</f>
        <v>5.2400068844342266E-3</v>
      </c>
      <c r="O31">
        <f>Table3[[#This Row],[weight]]*(0.9155*Table2[[#This Row],[J45]]-D$9)^2</f>
        <v>4.2153155860269395E-2</v>
      </c>
      <c r="P31">
        <f>Table3[[#This Row],[weight]]*(0.9155*Table2[[#This Row],[J56]]-E$9)^2</f>
        <v>1.1617612912615077E-2</v>
      </c>
      <c r="Q31">
        <f>Table3[[#This Row],[weight]]*(0.9155*Table2[[#This Row],[J67]]-F$9)^2</f>
        <v>7.7287219492617937E-2</v>
      </c>
      <c r="R31">
        <f>Table3[[#This Row],[weight]]*(0.9155*Table2[[#This Row],[J67'']]-G$9)^2</f>
        <v>0.11465664105243323</v>
      </c>
      <c r="S31">
        <f>chloroform!J36</f>
        <v>7.3635045548761172E-2</v>
      </c>
      <c r="T31" t="str">
        <f>chloroform!F36</f>
        <v>4H6</v>
      </c>
    </row>
    <row r="32" spans="7:20" x14ac:dyDescent="0.25">
      <c r="K32">
        <f>chloroform!E37</f>
        <v>86</v>
      </c>
      <c r="L32">
        <f>Table3[[#This Row],[weight]]*(0.9155*Table2[[#This Row],[J1,2]]-A$9)^2</f>
        <v>2.4020944733340596E-5</v>
      </c>
      <c r="M32">
        <f>Table3[[#This Row],[weight]]*(0.9155*Table2[[#This Row],[J2,3]]-B$9)^2</f>
        <v>5.7719710892350489E-3</v>
      </c>
      <c r="N32">
        <f>Table3[[#This Row],[weight]]*(0.9155*Table2[[#This Row],[J34]]-C$9)^2</f>
        <v>2.3216022060932679E-4</v>
      </c>
      <c r="O32">
        <f>Table3[[#This Row],[weight]]*(0.9155*Table2[[#This Row],[J45]]-D$9)^2</f>
        <v>5.0251735277665313E-2</v>
      </c>
      <c r="P32">
        <f>Table3[[#This Row],[weight]]*(0.9155*Table2[[#This Row],[J56]]-E$9)^2</f>
        <v>2.2805137300758484E-3</v>
      </c>
      <c r="Q32">
        <f>Table3[[#This Row],[weight]]*(0.9155*Table2[[#This Row],[J67]]-F$9)^2</f>
        <v>2.957330539956883E-5</v>
      </c>
      <c r="R32">
        <f>Table3[[#This Row],[weight]]*(0.9155*Table2[[#This Row],[J67'']]-G$9)^2</f>
        <v>4.5014671014578615E-3</v>
      </c>
      <c r="S32">
        <f>chloroform!J37</f>
        <v>6.9045805775509283E-4</v>
      </c>
      <c r="T32" t="str">
        <f>chloroform!F37</f>
        <v>56E</v>
      </c>
    </row>
    <row r="33" spans="11:20" x14ac:dyDescent="0.25">
      <c r="K33">
        <f>chloroform!E38</f>
        <v>89</v>
      </c>
      <c r="L33">
        <f>Table3[[#This Row],[weight]]*(0.9155*Table2[[#This Row],[J1,2]]-A$9)^2</f>
        <v>0</v>
      </c>
      <c r="M33">
        <f>Table3[[#This Row],[weight]]*(0.9155*Table2[[#This Row],[J2,3]]-B$9)^2</f>
        <v>0</v>
      </c>
      <c r="N33">
        <f>Table3[[#This Row],[weight]]*(0.9155*Table2[[#This Row],[J34]]-C$9)^2</f>
        <v>0</v>
      </c>
      <c r="O33">
        <f>Table3[[#This Row],[weight]]*(0.9155*Table2[[#This Row],[J45]]-D$9)^2</f>
        <v>0</v>
      </c>
      <c r="P33">
        <f>Table3[[#This Row],[weight]]*(0.9155*Table2[[#This Row],[J56]]-E$9)^2</f>
        <v>0</v>
      </c>
      <c r="Q33">
        <f>Table3[[#This Row],[weight]]*(0.9155*Table2[[#This Row],[J67]]-F$9)^2</f>
        <v>0</v>
      </c>
      <c r="R33">
        <f>Table3[[#This Row],[weight]]*(0.9155*Table2[[#This Row],[J67'']]-G$9)^2</f>
        <v>0</v>
      </c>
      <c r="S33">
        <f>chloroform!J38</f>
        <v>0</v>
      </c>
      <c r="T33" t="str">
        <f>chloroform!F38</f>
        <v>4H6</v>
      </c>
    </row>
    <row r="34" spans="11:20" x14ac:dyDescent="0.25">
      <c r="K34">
        <f>chloroform!E39</f>
        <v>90</v>
      </c>
      <c r="L34">
        <f>Table3[[#This Row],[weight]]*(0.9155*Table2[[#This Row],[J1,2]]-A$9)^2</f>
        <v>0</v>
      </c>
      <c r="M34">
        <f>Table3[[#This Row],[weight]]*(0.9155*Table2[[#This Row],[J2,3]]-B$9)^2</f>
        <v>0</v>
      </c>
      <c r="N34">
        <f>Table3[[#This Row],[weight]]*(0.9155*Table2[[#This Row],[J34]]-C$9)^2</f>
        <v>0</v>
      </c>
      <c r="O34">
        <f>Table3[[#This Row],[weight]]*(0.9155*Table2[[#This Row],[J45]]-D$9)^2</f>
        <v>0</v>
      </c>
      <c r="P34">
        <f>Table3[[#This Row],[weight]]*(0.9155*Table2[[#This Row],[J56]]-E$9)^2</f>
        <v>0</v>
      </c>
      <c r="Q34">
        <f>Table3[[#This Row],[weight]]*(0.9155*Table2[[#This Row],[J67]]-F$9)^2</f>
        <v>0</v>
      </c>
      <c r="R34">
        <f>Table3[[#This Row],[weight]]*(0.9155*Table2[[#This Row],[J67'']]-G$9)^2</f>
        <v>0</v>
      </c>
      <c r="S34">
        <f>chloroform!J39</f>
        <v>0</v>
      </c>
      <c r="T34" t="str">
        <f>chloroform!F39</f>
        <v>4H6</v>
      </c>
    </row>
    <row r="35" spans="11:20" x14ac:dyDescent="0.25">
      <c r="K35">
        <f>chloroform!E40</f>
        <v>92</v>
      </c>
      <c r="L35">
        <f>Table3[[#This Row],[weight]]*(0.9155*Table2[[#This Row],[J1,2]]-A$9)^2</f>
        <v>4.6095992859638706E-4</v>
      </c>
      <c r="M35">
        <f>Table3[[#This Row],[weight]]*(0.9155*Table2[[#This Row],[J2,3]]-B$9)^2</f>
        <v>10.577663528094728</v>
      </c>
      <c r="N35">
        <f>Table3[[#This Row],[weight]]*(0.9155*Table2[[#This Row],[J34]]-C$9)^2</f>
        <v>0.2146986408611152</v>
      </c>
      <c r="O35">
        <f>Table3[[#This Row],[weight]]*(0.9155*Table2[[#This Row],[J45]]-D$9)^2</f>
        <v>18.461868035708171</v>
      </c>
      <c r="P35">
        <f>Table3[[#This Row],[weight]]*(0.9155*Table2[[#This Row],[J56]]-E$9)^2</f>
        <v>0.28751111370505894</v>
      </c>
      <c r="Q35">
        <f>Table3[[#This Row],[weight]]*(0.9155*Table2[[#This Row],[J67]]-F$9)^2</f>
        <v>4.6411337871574886E-2</v>
      </c>
      <c r="R35">
        <f>Table3[[#This Row],[weight]]*(0.9155*Table2[[#This Row],[J67'']]-G$9)^2</f>
        <v>1.140570434100832</v>
      </c>
      <c r="S35">
        <f>chloroform!J40</f>
        <v>0.22233231020865696</v>
      </c>
      <c r="T35" t="str">
        <f>chloroform!F40</f>
        <v>5C12</v>
      </c>
    </row>
    <row r="36" spans="11:20" x14ac:dyDescent="0.25">
      <c r="K36">
        <f>chloroform!E41</f>
        <v>93</v>
      </c>
      <c r="L36">
        <f>Table3[[#This Row],[weight]]*(0.9155*Table2[[#This Row],[J1,2]]-A$9)^2</f>
        <v>9.44957153085257E-7</v>
      </c>
      <c r="M36">
        <f>Table3[[#This Row],[weight]]*(0.9155*Table2[[#This Row],[J2,3]]-B$9)^2</f>
        <v>9.5853743011081803E-4</v>
      </c>
      <c r="N36">
        <f>Table3[[#This Row],[weight]]*(0.9155*Table2[[#This Row],[J34]]-C$9)^2</f>
        <v>4.1998102540822288E-4</v>
      </c>
      <c r="O36">
        <f>Table3[[#This Row],[weight]]*(0.9155*Table2[[#This Row],[J45]]-D$9)^2</f>
        <v>1.0828938690624837E-2</v>
      </c>
      <c r="P36">
        <f>Table3[[#This Row],[weight]]*(0.9155*Table2[[#This Row],[J56]]-E$9)^2</f>
        <v>6.5466528722328693E-2</v>
      </c>
      <c r="Q36">
        <f>Table3[[#This Row],[weight]]*(0.9155*Table2[[#This Row],[J67]]-F$9)^2</f>
        <v>7.9447342555007155E-2</v>
      </c>
      <c r="R36">
        <f>Table3[[#This Row],[weight]]*(0.9155*Table2[[#This Row],[J67'']]-G$9)^2</f>
        <v>2.2094274419364951E-3</v>
      </c>
      <c r="S36">
        <f>chloroform!J41</f>
        <v>8.8283694021660543E-4</v>
      </c>
      <c r="T36" t="str">
        <f>chloroform!F41</f>
        <v>12C5</v>
      </c>
    </row>
    <row r="37" spans="11:20" x14ac:dyDescent="0.25">
      <c r="K37">
        <f>chloroform!E42</f>
        <v>95</v>
      </c>
      <c r="L37">
        <f>Table3[[#This Row],[weight]]*(0.9155*Table2[[#This Row],[J1,2]]-A$9)^2</f>
        <v>1.0119508949507087E-5</v>
      </c>
      <c r="M37">
        <f>Table3[[#This Row],[weight]]*(0.9155*Table2[[#This Row],[J2,3]]-B$9)^2</f>
        <v>3.8512207341138568E-3</v>
      </c>
      <c r="N37">
        <f>Table3[[#This Row],[weight]]*(0.9155*Table2[[#This Row],[J34]]-C$9)^2</f>
        <v>4.7493698177062676E-7</v>
      </c>
      <c r="O37">
        <f>Table3[[#This Row],[weight]]*(0.9155*Table2[[#This Row],[J45]]-D$9)^2</f>
        <v>8.3401872904254517E-3</v>
      </c>
      <c r="P37">
        <f>Table3[[#This Row],[weight]]*(0.9155*Table2[[#This Row],[J56]]-E$9)^2</f>
        <v>9.5117501329384339E-3</v>
      </c>
      <c r="Q37">
        <f>Table3[[#This Row],[weight]]*(0.9155*Table2[[#This Row],[J67]]-F$9)^2</f>
        <v>2.0001012572738294E-4</v>
      </c>
      <c r="R37">
        <f>Table3[[#This Row],[weight]]*(0.9155*Table2[[#This Row],[J67'']]-G$9)^2</f>
        <v>7.1404805353282507E-3</v>
      </c>
      <c r="S37">
        <f>chloroform!J42</f>
        <v>1.0522518811154306E-4</v>
      </c>
      <c r="T37" t="str">
        <f>chloroform!F42</f>
        <v>6H4</v>
      </c>
    </row>
    <row r="38" spans="11:20" x14ac:dyDescent="0.25">
      <c r="K38">
        <f>chloroform!E43</f>
        <v>100</v>
      </c>
      <c r="L38">
        <f>Table3[[#This Row],[weight]]*(0.9155*Table2[[#This Row],[J1,2]]-A$9)^2</f>
        <v>7.8242747484268144E-3</v>
      </c>
      <c r="M38">
        <f>Table3[[#This Row],[weight]]*(0.9155*Table2[[#This Row],[J2,3]]-B$9)^2</f>
        <v>1.6131471531077619</v>
      </c>
      <c r="N38">
        <f>Table3[[#This Row],[weight]]*(0.9155*Table2[[#This Row],[J34]]-C$9)^2</f>
        <v>2.7865716040018813E-2</v>
      </c>
      <c r="O38">
        <f>Table3[[#This Row],[weight]]*(0.9155*Table2[[#This Row],[J45]]-D$9)^2</f>
        <v>2.7208321621109395</v>
      </c>
      <c r="P38">
        <f>Table3[[#This Row],[weight]]*(0.9155*Table2[[#This Row],[J56]]-E$9)^2</f>
        <v>2.9859476879844957E-2</v>
      </c>
      <c r="Q38">
        <f>Table3[[#This Row],[weight]]*(0.9155*Table2[[#This Row],[J67]]-F$9)^2</f>
        <v>3.1619285524655911E-3</v>
      </c>
      <c r="R38">
        <f>Table3[[#This Row],[weight]]*(0.9155*Table2[[#This Row],[J67'']]-G$9)^2</f>
        <v>1.1973846227880842</v>
      </c>
      <c r="S38">
        <f>chloroform!J43</f>
        <v>3.4033164530765062E-2</v>
      </c>
      <c r="T38" t="str">
        <f>chloroform!F43</f>
        <v>5C12</v>
      </c>
    </row>
    <row r="39" spans="11:20" x14ac:dyDescent="0.25">
      <c r="K39">
        <f>chloroform!E44</f>
        <v>112</v>
      </c>
      <c r="L39">
        <f>Table3[[#This Row],[weight]]*(0.9155*Table2[[#This Row],[J1,2]]-A$9)^2</f>
        <v>0</v>
      </c>
      <c r="M39">
        <f>Table3[[#This Row],[weight]]*(0.9155*Table2[[#This Row],[J2,3]]-B$9)^2</f>
        <v>0</v>
      </c>
      <c r="N39">
        <f>Table3[[#This Row],[weight]]*(0.9155*Table2[[#This Row],[J34]]-C$9)^2</f>
        <v>0</v>
      </c>
      <c r="O39">
        <f>Table3[[#This Row],[weight]]*(0.9155*Table2[[#This Row],[J45]]-D$9)^2</f>
        <v>0</v>
      </c>
      <c r="P39">
        <f>Table3[[#This Row],[weight]]*(0.9155*Table2[[#This Row],[J56]]-E$9)^2</f>
        <v>0</v>
      </c>
      <c r="Q39">
        <f>Table3[[#This Row],[weight]]*(0.9155*Table2[[#This Row],[J67]]-F$9)^2</f>
        <v>0</v>
      </c>
      <c r="R39">
        <f>Table3[[#This Row],[weight]]*(0.9155*Table2[[#This Row],[J67'']]-G$9)^2</f>
        <v>0</v>
      </c>
      <c r="S39">
        <f>chloroform!J44</f>
        <v>0</v>
      </c>
      <c r="T39" t="str">
        <f>chloroform!F44</f>
        <v>4H6</v>
      </c>
    </row>
    <row r="40" spans="11:20" x14ac:dyDescent="0.25">
      <c r="K40">
        <f>chloroform!E45</f>
        <v>115</v>
      </c>
      <c r="L40">
        <f>Table3[[#This Row],[weight]]*(0.9155*Table2[[#This Row],[J1,2]]-A$9)^2</f>
        <v>0</v>
      </c>
      <c r="M40">
        <f>Table3[[#This Row],[weight]]*(0.9155*Table2[[#This Row],[J2,3]]-B$9)^2</f>
        <v>0</v>
      </c>
      <c r="N40">
        <f>Table3[[#This Row],[weight]]*(0.9155*Table2[[#This Row],[J34]]-C$9)^2</f>
        <v>0</v>
      </c>
      <c r="O40">
        <f>Table3[[#This Row],[weight]]*(0.9155*Table2[[#This Row],[J45]]-D$9)^2</f>
        <v>0</v>
      </c>
      <c r="P40">
        <f>Table3[[#This Row],[weight]]*(0.9155*Table2[[#This Row],[J56]]-E$9)^2</f>
        <v>0</v>
      </c>
      <c r="Q40">
        <f>Table3[[#This Row],[weight]]*(0.9155*Table2[[#This Row],[J67]]-F$9)^2</f>
        <v>0</v>
      </c>
      <c r="R40">
        <f>Table3[[#This Row],[weight]]*(0.9155*Table2[[#This Row],[J67'']]-G$9)^2</f>
        <v>0</v>
      </c>
      <c r="S40">
        <f>chloroform!J45</f>
        <v>0</v>
      </c>
      <c r="T40" t="str">
        <f>chloroform!F45</f>
        <v>12C5</v>
      </c>
    </row>
    <row r="41" spans="11:20" x14ac:dyDescent="0.25">
      <c r="K41">
        <f>chloroform!E46</f>
        <v>117</v>
      </c>
      <c r="L41">
        <f>Table3[[#This Row],[weight]]*(0.9155*Table2[[#This Row],[J1,2]]-A$9)^2</f>
        <v>0</v>
      </c>
      <c r="M41">
        <f>Table3[[#This Row],[weight]]*(0.9155*Table2[[#This Row],[J2,3]]-B$9)^2</f>
        <v>0</v>
      </c>
      <c r="N41">
        <f>Table3[[#This Row],[weight]]*(0.9155*Table2[[#This Row],[J34]]-C$9)^2</f>
        <v>0</v>
      </c>
      <c r="O41">
        <f>Table3[[#This Row],[weight]]*(0.9155*Table2[[#This Row],[J45]]-D$9)^2</f>
        <v>0</v>
      </c>
      <c r="P41">
        <f>Table3[[#This Row],[weight]]*(0.9155*Table2[[#This Row],[J56]]-E$9)^2</f>
        <v>0</v>
      </c>
      <c r="Q41">
        <f>Table3[[#This Row],[weight]]*(0.9155*Table2[[#This Row],[J67]]-F$9)^2</f>
        <v>0</v>
      </c>
      <c r="R41">
        <f>Table3[[#This Row],[weight]]*(0.9155*Table2[[#This Row],[J67'']]-G$9)^2</f>
        <v>0</v>
      </c>
      <c r="S41">
        <f>chloroform!J46</f>
        <v>0</v>
      </c>
      <c r="T41" t="str">
        <f>chloroform!F46</f>
        <v>12C5</v>
      </c>
    </row>
    <row r="42" spans="11:20" x14ac:dyDescent="0.25">
      <c r="K42">
        <f>chloroform!E47</f>
        <v>118</v>
      </c>
      <c r="L42">
        <f>Table3[[#This Row],[weight]]*(0.9155*Table2[[#This Row],[J1,2]]-A$9)^2</f>
        <v>1.6437490856485305E-5</v>
      </c>
      <c r="M42">
        <f>Table3[[#This Row],[weight]]*(0.9155*Table2[[#This Row],[J2,3]]-B$9)^2</f>
        <v>0.11536507661591094</v>
      </c>
      <c r="N42">
        <f>Table3[[#This Row],[weight]]*(0.9155*Table2[[#This Row],[J34]]-C$9)^2</f>
        <v>2.9576771144623698E-3</v>
      </c>
      <c r="O42">
        <f>Table3[[#This Row],[weight]]*(0.9155*Table2[[#This Row],[J45]]-D$9)^2</f>
        <v>0.21675979948025048</v>
      </c>
      <c r="P42">
        <f>Table3[[#This Row],[weight]]*(0.9155*Table2[[#This Row],[J56]]-E$9)^2</f>
        <v>1.2915297626723037E-2</v>
      </c>
      <c r="Q42">
        <f>Table3[[#This Row],[weight]]*(0.9155*Table2[[#This Row],[J67]]-F$9)^2</f>
        <v>1.290929286993435E-3</v>
      </c>
      <c r="R42">
        <f>Table3[[#This Row],[weight]]*(0.9155*Table2[[#This Row],[J67'']]-G$9)^2</f>
        <v>8.0794155313587343E-3</v>
      </c>
      <c r="S42">
        <f>chloroform!J47</f>
        <v>2.4613159009275582E-3</v>
      </c>
      <c r="T42" t="str">
        <f>chloroform!F47</f>
        <v>5C12</v>
      </c>
    </row>
    <row r="43" spans="11:20" x14ac:dyDescent="0.25">
      <c r="K43">
        <f>chloroform!E48</f>
        <v>120</v>
      </c>
      <c r="L43">
        <f>Table3[[#This Row],[weight]]*(0.9155*Table2[[#This Row],[J1,2]]-A$9)^2</f>
        <v>4.4936882857500116E-4</v>
      </c>
      <c r="M43">
        <f>Table3[[#This Row],[weight]]*(0.9155*Table2[[#This Row],[J2,3]]-B$9)^2</f>
        <v>6.3532645503073601E-5</v>
      </c>
      <c r="N43">
        <f>Table3[[#This Row],[weight]]*(0.9155*Table2[[#This Row],[J34]]-C$9)^2</f>
        <v>1.0162598073972825E-3</v>
      </c>
      <c r="O43">
        <f>Table3[[#This Row],[weight]]*(0.9155*Table2[[#This Row],[J45]]-D$9)^2</f>
        <v>1.2153170738043954E-2</v>
      </c>
      <c r="P43">
        <f>Table3[[#This Row],[weight]]*(0.9155*Table2[[#This Row],[J56]]-E$9)^2</f>
        <v>1.5584049647275618E-2</v>
      </c>
      <c r="Q43">
        <f>Table3[[#This Row],[weight]]*(0.9155*Table2[[#This Row],[J67]]-F$9)^2</f>
        <v>0.55972008227063563</v>
      </c>
      <c r="R43">
        <f>Table3[[#This Row],[weight]]*(0.9155*Table2[[#This Row],[J67'']]-G$9)^2</f>
        <v>3.0757394579258596E-3</v>
      </c>
      <c r="S43">
        <f>chloroform!J48</f>
        <v>7.7080940221036127E-3</v>
      </c>
      <c r="T43" t="str">
        <f>chloroform!F48</f>
        <v>4H6</v>
      </c>
    </row>
    <row r="44" spans="11:20" x14ac:dyDescent="0.25">
      <c r="K44">
        <f>chloroform!E49</f>
        <v>122</v>
      </c>
      <c r="L44">
        <f>Table3[[#This Row],[weight]]*(0.9155*Table2[[#This Row],[J1,2]]-A$9)^2</f>
        <v>2.960201455370938E-4</v>
      </c>
      <c r="M44">
        <f>Table3[[#This Row],[weight]]*(0.9155*Table2[[#This Row],[J2,3]]-B$9)^2</f>
        <v>1.3322496050600303</v>
      </c>
      <c r="N44">
        <f>Table3[[#This Row],[weight]]*(0.9155*Table2[[#This Row],[J34]]-C$9)^2</f>
        <v>2.9857335337108781E-2</v>
      </c>
      <c r="O44">
        <f>Table3[[#This Row],[weight]]*(0.9155*Table2[[#This Row],[J45]]-D$9)^2</f>
        <v>2.4599212192978919</v>
      </c>
      <c r="P44">
        <f>Table3[[#This Row],[weight]]*(0.9155*Table2[[#This Row],[J56]]-E$9)^2</f>
        <v>5.6410413737613713E-2</v>
      </c>
      <c r="Q44">
        <f>Table3[[#This Row],[weight]]*(0.9155*Table2[[#This Row],[J67]]-F$9)^2</f>
        <v>9.2638044539063581E-4</v>
      </c>
      <c r="R44">
        <f>Table3[[#This Row],[weight]]*(0.9155*Table2[[#This Row],[J67'']]-G$9)^2</f>
        <v>0.20040974331503644</v>
      </c>
      <c r="S44">
        <f>chloroform!J49</f>
        <v>2.9049460468950562E-2</v>
      </c>
      <c r="T44" t="str">
        <f>chloroform!F49</f>
        <v>5C12</v>
      </c>
    </row>
    <row r="45" spans="11:20" x14ac:dyDescent="0.25">
      <c r="K45">
        <f>chloroform!E50</f>
        <v>124</v>
      </c>
      <c r="L45">
        <f>Table3[[#This Row],[weight]]*(0.9155*Table2[[#This Row],[J1,2]]-A$9)^2</f>
        <v>0</v>
      </c>
      <c r="M45">
        <f>Table3[[#This Row],[weight]]*(0.9155*Table2[[#This Row],[J2,3]]-B$9)^2</f>
        <v>0</v>
      </c>
      <c r="N45">
        <f>Table3[[#This Row],[weight]]*(0.9155*Table2[[#This Row],[J34]]-C$9)^2</f>
        <v>0</v>
      </c>
      <c r="O45">
        <f>Table3[[#This Row],[weight]]*(0.9155*Table2[[#This Row],[J45]]-D$9)^2</f>
        <v>0</v>
      </c>
      <c r="P45">
        <f>Table3[[#This Row],[weight]]*(0.9155*Table2[[#This Row],[J56]]-E$9)^2</f>
        <v>0</v>
      </c>
      <c r="Q45">
        <f>Table3[[#This Row],[weight]]*(0.9155*Table2[[#This Row],[J67]]-F$9)^2</f>
        <v>0</v>
      </c>
      <c r="R45">
        <f>Table3[[#This Row],[weight]]*(0.9155*Table2[[#This Row],[J67'']]-G$9)^2</f>
        <v>0</v>
      </c>
      <c r="S45">
        <f>chloroform!J50</f>
        <v>0</v>
      </c>
      <c r="T45" t="str">
        <f>chloroform!F50</f>
        <v>12C5</v>
      </c>
    </row>
    <row r="46" spans="11:20" x14ac:dyDescent="0.25">
      <c r="K46">
        <f>chloroform!E51</f>
        <v>125</v>
      </c>
      <c r="L46">
        <f>Table3[[#This Row],[weight]]*(0.9155*Table2[[#This Row],[J1,2]]-A$9)^2</f>
        <v>0</v>
      </c>
      <c r="M46">
        <f>Table3[[#This Row],[weight]]*(0.9155*Table2[[#This Row],[J2,3]]-B$9)^2</f>
        <v>0</v>
      </c>
      <c r="N46">
        <f>Table3[[#This Row],[weight]]*(0.9155*Table2[[#This Row],[J34]]-C$9)^2</f>
        <v>0</v>
      </c>
      <c r="O46">
        <f>Table3[[#This Row],[weight]]*(0.9155*Table2[[#This Row],[J45]]-D$9)^2</f>
        <v>0</v>
      </c>
      <c r="P46">
        <f>Table3[[#This Row],[weight]]*(0.9155*Table2[[#This Row],[J56]]-E$9)^2</f>
        <v>0</v>
      </c>
      <c r="Q46">
        <f>Table3[[#This Row],[weight]]*(0.9155*Table2[[#This Row],[J67]]-F$9)^2</f>
        <v>0</v>
      </c>
      <c r="R46">
        <f>Table3[[#This Row],[weight]]*(0.9155*Table2[[#This Row],[J67'']]-G$9)^2</f>
        <v>0</v>
      </c>
      <c r="S46">
        <f>chloroform!J51</f>
        <v>0</v>
      </c>
      <c r="T46" t="str">
        <f>chloroform!F51</f>
        <v>12C5</v>
      </c>
    </row>
    <row r="47" spans="11:20" x14ac:dyDescent="0.25">
      <c r="K47">
        <f>chloroform!E52</f>
        <v>126</v>
      </c>
      <c r="L47">
        <f>Table3[[#This Row],[weight]]*(0.9155*Table2[[#This Row],[J1,2]]-A$9)^2</f>
        <v>0</v>
      </c>
      <c r="M47">
        <f>Table3[[#This Row],[weight]]*(0.9155*Table2[[#This Row],[J2,3]]-B$9)^2</f>
        <v>0</v>
      </c>
      <c r="N47">
        <f>Table3[[#This Row],[weight]]*(0.9155*Table2[[#This Row],[J34]]-C$9)^2</f>
        <v>0</v>
      </c>
      <c r="O47">
        <f>Table3[[#This Row],[weight]]*(0.9155*Table2[[#This Row],[J45]]-D$9)^2</f>
        <v>0</v>
      </c>
      <c r="P47">
        <f>Table3[[#This Row],[weight]]*(0.9155*Table2[[#This Row],[J56]]-E$9)^2</f>
        <v>0</v>
      </c>
      <c r="Q47">
        <f>Table3[[#This Row],[weight]]*(0.9155*Table2[[#This Row],[J67]]-F$9)^2</f>
        <v>0</v>
      </c>
      <c r="R47">
        <f>Table3[[#This Row],[weight]]*(0.9155*Table2[[#This Row],[J67'']]-G$9)^2</f>
        <v>0</v>
      </c>
      <c r="S47">
        <f>chloroform!J52</f>
        <v>0</v>
      </c>
      <c r="T47" t="str">
        <f>chloroform!F52</f>
        <v>5C12</v>
      </c>
    </row>
    <row r="48" spans="11:20" x14ac:dyDescent="0.25">
      <c r="K48">
        <f>chloroform!E53</f>
        <v>129</v>
      </c>
      <c r="L48">
        <f>Table3[[#This Row],[weight]]*(0.9155*Table2[[#This Row],[J1,2]]-A$9)^2</f>
        <v>1.4144762056704145E-3</v>
      </c>
      <c r="M48">
        <f>Table3[[#This Row],[weight]]*(0.9155*Table2[[#This Row],[J2,3]]-B$9)^2</f>
        <v>0.32315582492554007</v>
      </c>
      <c r="N48">
        <f>Table3[[#This Row],[weight]]*(0.9155*Table2[[#This Row],[J34]]-C$9)^2</f>
        <v>7.7453884119800349E-3</v>
      </c>
      <c r="O48">
        <f>Table3[[#This Row],[weight]]*(0.9155*Table2[[#This Row],[J45]]-D$9)^2</f>
        <v>0.5824072837081572</v>
      </c>
      <c r="P48">
        <f>Table3[[#This Row],[weight]]*(0.9155*Table2[[#This Row],[J56]]-E$9)^2</f>
        <v>5.7340123751130718E-3</v>
      </c>
      <c r="Q48">
        <f>Table3[[#This Row],[weight]]*(0.9155*Table2[[#This Row],[J67]]-F$9)^2</f>
        <v>0.389311921785858</v>
      </c>
      <c r="R48">
        <f>Table3[[#This Row],[weight]]*(0.9155*Table2[[#This Row],[J67'']]-G$9)^2</f>
        <v>4.2193629108946112E-2</v>
      </c>
      <c r="S48">
        <f>chloroform!J53</f>
        <v>6.8395488899470691E-3</v>
      </c>
      <c r="T48" t="str">
        <f>chloroform!F53</f>
        <v>5C12</v>
      </c>
    </row>
    <row r="49" spans="11:20" x14ac:dyDescent="0.25">
      <c r="K49">
        <f>chloroform!E54</f>
        <v>144</v>
      </c>
      <c r="L49">
        <f>Table3[[#This Row],[weight]]*(0.9155*Table2[[#This Row],[J1,2]]-A$9)^2</f>
        <v>1.2625235894262008E-4</v>
      </c>
      <c r="M49">
        <f>Table3[[#This Row],[weight]]*(0.9155*Table2[[#This Row],[J2,3]]-B$9)^2</f>
        <v>9.94040428159099E-3</v>
      </c>
      <c r="N49">
        <f>Table3[[#This Row],[weight]]*(0.9155*Table2[[#This Row],[J34]]-C$9)^2</f>
        <v>1.0974736588833571E-4</v>
      </c>
      <c r="O49">
        <f>Table3[[#This Row],[weight]]*(0.9155*Table2[[#This Row],[J45]]-D$9)^2</f>
        <v>1.7126362908759931E-2</v>
      </c>
      <c r="P49">
        <f>Table3[[#This Row],[weight]]*(0.9155*Table2[[#This Row],[J56]]-E$9)^2</f>
        <v>4.3929527883020235E-6</v>
      </c>
      <c r="Q49">
        <f>Table3[[#This Row],[weight]]*(0.9155*Table2[[#This Row],[J67]]-F$9)^2</f>
        <v>5.9481497766567762E-4</v>
      </c>
      <c r="R49">
        <f>Table3[[#This Row],[weight]]*(0.9155*Table2[[#This Row],[J67'']]-G$9)^2</f>
        <v>1.1477214245688831E-3</v>
      </c>
      <c r="S49">
        <f>chloroform!J54</f>
        <v>2.0960489617706171E-4</v>
      </c>
      <c r="T49" t="str">
        <f>chloroform!F54</f>
        <v>5C12</v>
      </c>
    </row>
    <row r="50" spans="11:20" x14ac:dyDescent="0.25">
      <c r="K50">
        <f>chloroform!E55</f>
        <v>155</v>
      </c>
      <c r="L50">
        <f>Table3[[#This Row],[weight]]*(0.9155*Table2[[#This Row],[J1,2]]-A$9)^2</f>
        <v>6.0092544458267396E-3</v>
      </c>
      <c r="M50">
        <f>Table3[[#This Row],[weight]]*(0.9155*Table2[[#This Row],[J2,3]]-B$9)^2</f>
        <v>1.8885504346375033</v>
      </c>
      <c r="N50">
        <f>Table3[[#This Row],[weight]]*(0.9155*Table2[[#This Row],[J34]]-C$9)^2</f>
        <v>3.4192710515558805E-2</v>
      </c>
      <c r="O50">
        <f>Table3[[#This Row],[weight]]*(0.9155*Table2[[#This Row],[J45]]-D$9)^2</f>
        <v>3.1727671274219209</v>
      </c>
      <c r="P50">
        <f>Table3[[#This Row],[weight]]*(0.9155*Table2[[#This Row],[J56]]-E$9)^2</f>
        <v>3.0484284564347944E-2</v>
      </c>
      <c r="Q50">
        <f>Table3[[#This Row],[weight]]*(0.9155*Table2[[#This Row],[J67]]-F$9)^2</f>
        <v>1.5843087571950989E-3</v>
      </c>
      <c r="R50">
        <f>Table3[[#This Row],[weight]]*(0.9155*Table2[[#This Row],[J67'']]-G$9)^2</f>
        <v>1.5567154201581062</v>
      </c>
      <c r="S50">
        <f>chloroform!J55</f>
        <v>4.0120392345484514E-2</v>
      </c>
      <c r="T50" t="str">
        <f>chloroform!F55</f>
        <v>5C12</v>
      </c>
    </row>
    <row r="51" spans="11:20" x14ac:dyDescent="0.25">
      <c r="K51">
        <f>chloroform!E56</f>
        <v>159</v>
      </c>
      <c r="L51">
        <f>Table3[[#This Row],[weight]]*(0.9155*Table2[[#This Row],[J1,2]]-A$9)^2</f>
        <v>2.2961125183498292E-5</v>
      </c>
      <c r="M51">
        <f>Table3[[#This Row],[weight]]*(0.9155*Table2[[#This Row],[J2,3]]-B$9)^2</f>
        <v>1.7656930171019491E-2</v>
      </c>
      <c r="N51">
        <f>Table3[[#This Row],[weight]]*(0.9155*Table2[[#This Row],[J34]]-C$9)^2</f>
        <v>3.2708636051175942E-4</v>
      </c>
      <c r="O51">
        <f>Table3[[#This Row],[weight]]*(0.9155*Table2[[#This Row],[J45]]-D$9)^2</f>
        <v>3.1025915514447389E-2</v>
      </c>
      <c r="P51">
        <f>Table3[[#This Row],[weight]]*(0.9155*Table2[[#This Row],[J56]]-E$9)^2</f>
        <v>1.0520423899261497E-3</v>
      </c>
      <c r="Q51">
        <f>Table3[[#This Row],[weight]]*(0.9155*Table2[[#This Row],[J67]]-F$9)^2</f>
        <v>2.0755310112801545E-2</v>
      </c>
      <c r="R51">
        <f>Table3[[#This Row],[weight]]*(0.9155*Table2[[#This Row],[J67'']]-G$9)^2</f>
        <v>2.6085599735494831E-3</v>
      </c>
      <c r="S51">
        <f>chloroform!J56</f>
        <v>3.6829102602058171E-4</v>
      </c>
      <c r="T51" t="str">
        <f>chloroform!F56</f>
        <v>5C12</v>
      </c>
    </row>
    <row r="52" spans="11:20" x14ac:dyDescent="0.25">
      <c r="K52">
        <f>chloroform!E57</f>
        <v>164</v>
      </c>
      <c r="L52">
        <f>Table3[[#This Row],[weight]]*(0.9155*Table2[[#This Row],[J1,2]]-A$9)^2</f>
        <v>2.0000087835786182E-4</v>
      </c>
      <c r="M52">
        <f>Table3[[#This Row],[weight]]*(0.9155*Table2[[#This Row],[J2,3]]-B$9)^2</f>
        <v>3.8642526179341601E-2</v>
      </c>
      <c r="N52">
        <f>Table3[[#This Row],[weight]]*(0.9155*Table2[[#This Row],[J34]]-C$9)^2</f>
        <v>6.9984870693744E-4</v>
      </c>
      <c r="O52">
        <f>Table3[[#This Row],[weight]]*(0.9155*Table2[[#This Row],[J45]]-D$9)^2</f>
        <v>6.8907790446974759E-2</v>
      </c>
      <c r="P52">
        <f>Table3[[#This Row],[weight]]*(0.9155*Table2[[#This Row],[J56]]-E$9)^2</f>
        <v>1.8917990993853053E-3</v>
      </c>
      <c r="Q52">
        <f>Table3[[#This Row],[weight]]*(0.9155*Table2[[#This Row],[J67]]-F$9)^2</f>
        <v>1.3377673432053293E-4</v>
      </c>
      <c r="R52">
        <f>Table3[[#This Row],[weight]]*(0.9155*Table2[[#This Row],[J67'']]-G$9)^2</f>
        <v>2.9487825838084673E-2</v>
      </c>
      <c r="S52">
        <f>chloroform!J57</f>
        <v>8.1309185658397579E-4</v>
      </c>
      <c r="T52" t="str">
        <f>chloroform!F57</f>
        <v>5C12</v>
      </c>
    </row>
    <row r="53" spans="11:20" x14ac:dyDescent="0.25">
      <c r="K53">
        <f>chloroform!E58</f>
        <v>170</v>
      </c>
      <c r="L53">
        <f>Table3[[#This Row],[weight]]*(0.9155*Table2[[#This Row],[J1,2]]-A$9)^2</f>
        <v>5.0730604671482875E-9</v>
      </c>
      <c r="M53">
        <f>Table3[[#This Row],[weight]]*(0.9155*Table2[[#This Row],[J2,3]]-B$9)^2</f>
        <v>4.1810676873511133E-4</v>
      </c>
      <c r="N53">
        <f>Table3[[#This Row],[weight]]*(0.9155*Table2[[#This Row],[J34]]-C$9)^2</f>
        <v>4.5914808127309057E-5</v>
      </c>
      <c r="O53">
        <f>Table3[[#This Row],[weight]]*(0.9155*Table2[[#This Row],[J45]]-D$9)^2</f>
        <v>3.8234759853538864E-3</v>
      </c>
      <c r="P53">
        <f>Table3[[#This Row],[weight]]*(0.9155*Table2[[#This Row],[J56]]-E$9)^2</f>
        <v>7.7868938220512735E-5</v>
      </c>
      <c r="Q53">
        <f>Table3[[#This Row],[weight]]*(0.9155*Table2[[#This Row],[J67]]-F$9)^2</f>
        <v>7.3243376871167376E-6</v>
      </c>
      <c r="R53">
        <f>Table3[[#This Row],[weight]]*(0.9155*Table2[[#This Row],[J67'']]-G$9)^2</f>
        <v>4.7466126343251758E-4</v>
      </c>
      <c r="S53">
        <f>chloroform!J58</f>
        <v>5.2511957077470057E-5</v>
      </c>
      <c r="T53" t="str">
        <f>chloroform!F58</f>
        <v>56E</v>
      </c>
    </row>
    <row r="54" spans="11:20" x14ac:dyDescent="0.25">
      <c r="K54">
        <f>chloroform!E59</f>
        <v>184</v>
      </c>
      <c r="L54">
        <f>Table3[[#This Row],[weight]]*(0.9155*Table2[[#This Row],[J1,2]]-A$9)^2</f>
        <v>1.7126437585285496E-4</v>
      </c>
      <c r="M54">
        <f>Table3[[#This Row],[weight]]*(0.9155*Table2[[#This Row],[J2,3]]-B$9)^2</f>
        <v>3.1287878917933868E-4</v>
      </c>
      <c r="N54">
        <f>Table3[[#This Row],[weight]]*(0.9155*Table2[[#This Row],[J34]]-C$9)^2</f>
        <v>1.9422390279696982E-5</v>
      </c>
      <c r="O54">
        <f>Table3[[#This Row],[weight]]*(0.9155*Table2[[#This Row],[J45]]-D$9)^2</f>
        <v>2.3242350913871199E-2</v>
      </c>
      <c r="P54">
        <f>Table3[[#This Row],[weight]]*(0.9155*Table2[[#This Row],[J56]]-E$9)^2</f>
        <v>5.4814969836415449E-2</v>
      </c>
      <c r="Q54">
        <f>Table3[[#This Row],[weight]]*(0.9155*Table2[[#This Row],[J67]]-F$9)^2</f>
        <v>0.95995771422309562</v>
      </c>
      <c r="R54">
        <f>Table3[[#This Row],[weight]]*(0.9155*Table2[[#This Row],[J67'']]-G$9)^2</f>
        <v>3.4365909631547979E-3</v>
      </c>
      <c r="S54">
        <f>chloroform!J59</f>
        <v>1.0770965039707274E-2</v>
      </c>
      <c r="T54" t="str">
        <f>chloroform!F59</f>
        <v>4H6</v>
      </c>
    </row>
    <row r="55" spans="11:20" x14ac:dyDescent="0.25">
      <c r="K55">
        <f>chloroform!E60</f>
        <v>189</v>
      </c>
      <c r="L55">
        <f>Table3[[#This Row],[weight]]*(0.9155*Table2[[#This Row],[J1,2]]-A$9)^2</f>
        <v>1.7380921790862485E-4</v>
      </c>
      <c r="M55">
        <f>Table3[[#This Row],[weight]]*(0.9155*Table2[[#This Row],[J2,3]]-B$9)^2</f>
        <v>4.8588006890876487E-2</v>
      </c>
      <c r="N55">
        <f>Table3[[#This Row],[weight]]*(0.9155*Table2[[#This Row],[J34]]-C$9)^2</f>
        <v>1.0190207390138226E-3</v>
      </c>
      <c r="O55">
        <f>Table3[[#This Row],[weight]]*(0.9155*Table2[[#This Row],[J45]]-D$9)^2</f>
        <v>8.6281250979306681E-2</v>
      </c>
      <c r="P55">
        <f>Table3[[#This Row],[weight]]*(0.9155*Table2[[#This Row],[J56]]-E$9)^2</f>
        <v>1.238381573460093E-3</v>
      </c>
      <c r="Q55">
        <f>Table3[[#This Row],[weight]]*(0.9155*Table2[[#This Row],[J67]]-F$9)^2</f>
        <v>5.8751167781564625E-2</v>
      </c>
      <c r="R55">
        <f>Table3[[#This Row],[weight]]*(0.9155*Table2[[#This Row],[J67'']]-G$9)^2</f>
        <v>8.036959998177445E-3</v>
      </c>
      <c r="S55">
        <f>chloroform!J60</f>
        <v>1.0207311634556158E-3</v>
      </c>
      <c r="T55" t="str">
        <f>chloroform!F60</f>
        <v>5C12</v>
      </c>
    </row>
    <row r="56" spans="11:20" x14ac:dyDescent="0.25">
      <c r="K56">
        <f>chloroform!E61</f>
        <v>190</v>
      </c>
      <c r="L56">
        <f>Table3[[#This Row],[weight]]*(0.9155*Table2[[#This Row],[J1,2]]-A$9)^2</f>
        <v>3.0494088680583089E-6</v>
      </c>
      <c r="M56">
        <f>Table3[[#This Row],[weight]]*(0.9155*Table2[[#This Row],[J2,3]]-B$9)^2</f>
        <v>6.7302654395607803E-8</v>
      </c>
      <c r="N56">
        <f>Table3[[#This Row],[weight]]*(0.9155*Table2[[#This Row],[J34]]-C$9)^2</f>
        <v>3.5720928400628236E-5</v>
      </c>
      <c r="O56">
        <f>Table3[[#This Row],[weight]]*(0.9155*Table2[[#This Row],[J45]]-D$9)^2</f>
        <v>1.1438418152617926E-3</v>
      </c>
      <c r="P56">
        <f>Table3[[#This Row],[weight]]*(0.9155*Table2[[#This Row],[J56]]-E$9)^2</f>
        <v>7.7728776064602001E-4</v>
      </c>
      <c r="Q56">
        <f>Table3[[#This Row],[weight]]*(0.9155*Table2[[#This Row],[J67]]-F$9)^2</f>
        <v>6.3432719441525676E-2</v>
      </c>
      <c r="R56">
        <f>Table3[[#This Row],[weight]]*(0.9155*Table2[[#This Row],[J67'']]-G$9)^2</f>
        <v>3.62680880313948E-2</v>
      </c>
      <c r="S56">
        <f>chloroform!J61</f>
        <v>2.3600035153043737E-3</v>
      </c>
      <c r="T56" t="str">
        <f>chloroform!F61</f>
        <v>4H6</v>
      </c>
    </row>
    <row r="57" spans="11:20" x14ac:dyDescent="0.25">
      <c r="K57">
        <f>chloroform!E62</f>
        <v>199</v>
      </c>
      <c r="L57">
        <f>Table3[[#This Row],[weight]]*(0.9155*Table2[[#This Row],[J1,2]]-A$9)^2</f>
        <v>0</v>
      </c>
      <c r="M57">
        <f>Table3[[#This Row],[weight]]*(0.9155*Table2[[#This Row],[J2,3]]-B$9)^2</f>
        <v>0</v>
      </c>
      <c r="N57">
        <f>Table3[[#This Row],[weight]]*(0.9155*Table2[[#This Row],[J34]]-C$9)^2</f>
        <v>0</v>
      </c>
      <c r="O57">
        <f>Table3[[#This Row],[weight]]*(0.9155*Table2[[#This Row],[J45]]-D$9)^2</f>
        <v>0</v>
      </c>
      <c r="P57">
        <f>Table3[[#This Row],[weight]]*(0.9155*Table2[[#This Row],[J56]]-E$9)^2</f>
        <v>0</v>
      </c>
      <c r="Q57">
        <f>Table3[[#This Row],[weight]]*(0.9155*Table2[[#This Row],[J67]]-F$9)^2</f>
        <v>0</v>
      </c>
      <c r="R57">
        <f>Table3[[#This Row],[weight]]*(0.9155*Table2[[#This Row],[J67'']]-G$9)^2</f>
        <v>0</v>
      </c>
      <c r="S57">
        <f>chloroform!J62</f>
        <v>0</v>
      </c>
      <c r="T57" t="str">
        <f>chloroform!F62</f>
        <v>4H6</v>
      </c>
    </row>
    <row r="58" spans="11:20" x14ac:dyDescent="0.25">
      <c r="K58">
        <f>chloroform!E63</f>
        <v>201</v>
      </c>
      <c r="L58">
        <f>Table3[[#This Row],[weight]]*(0.9155*Table2[[#This Row],[J1,2]]-A$9)^2</f>
        <v>0</v>
      </c>
      <c r="M58">
        <f>Table3[[#This Row],[weight]]*(0.9155*Table2[[#This Row],[J2,3]]-B$9)^2</f>
        <v>0</v>
      </c>
      <c r="N58">
        <f>Table3[[#This Row],[weight]]*(0.9155*Table2[[#This Row],[J34]]-C$9)^2</f>
        <v>0</v>
      </c>
      <c r="O58">
        <f>Table3[[#This Row],[weight]]*(0.9155*Table2[[#This Row],[J45]]-D$9)^2</f>
        <v>0</v>
      </c>
      <c r="P58">
        <f>Table3[[#This Row],[weight]]*(0.9155*Table2[[#This Row],[J56]]-E$9)^2</f>
        <v>0</v>
      </c>
      <c r="Q58">
        <f>Table3[[#This Row],[weight]]*(0.9155*Table2[[#This Row],[J67]]-F$9)^2</f>
        <v>0</v>
      </c>
      <c r="R58">
        <f>Table3[[#This Row],[weight]]*(0.9155*Table2[[#This Row],[J67'']]-G$9)^2</f>
        <v>0</v>
      </c>
      <c r="S58">
        <f>chloroform!J63</f>
        <v>0</v>
      </c>
      <c r="T58" t="str">
        <f>chloroform!F63</f>
        <v>4H6</v>
      </c>
    </row>
    <row r="59" spans="11:20" x14ac:dyDescent="0.25">
      <c r="K59">
        <f>chloroform!E64</f>
        <v>205</v>
      </c>
      <c r="L59">
        <f>Table3[[#This Row],[weight]]*(0.9155*Table2[[#This Row],[J1,2]]-A$9)^2</f>
        <v>1.5114377550884707E-5</v>
      </c>
      <c r="M59">
        <f>Table3[[#This Row],[weight]]*(0.9155*Table2[[#This Row],[J2,3]]-B$9)^2</f>
        <v>5.8818644515101076E-3</v>
      </c>
      <c r="N59">
        <f>Table3[[#This Row],[weight]]*(0.9155*Table2[[#This Row],[J34]]-C$9)^2</f>
        <v>7.2735335573187362E-5</v>
      </c>
      <c r="O59">
        <f>Table3[[#This Row],[weight]]*(0.9155*Table2[[#This Row],[J45]]-D$9)^2</f>
        <v>1.0108710565807845E-2</v>
      </c>
      <c r="P59">
        <f>Table3[[#This Row],[weight]]*(0.9155*Table2[[#This Row],[J56]]-E$9)^2</f>
        <v>2.6329267031551602E-4</v>
      </c>
      <c r="Q59">
        <f>Table3[[#This Row],[weight]]*(0.9155*Table2[[#This Row],[J67]]-F$9)^2</f>
        <v>6.9331381991164604E-3</v>
      </c>
      <c r="R59">
        <f>Table3[[#This Row],[weight]]*(0.9155*Table2[[#This Row],[J67'']]-G$9)^2</f>
        <v>1.1300453343923993E-3</v>
      </c>
      <c r="S59">
        <f>chloroform!J64</f>
        <v>1.2057133954501917E-4</v>
      </c>
      <c r="T59" t="str">
        <f>chloroform!F64</f>
        <v>5C12</v>
      </c>
    </row>
    <row r="60" spans="11:20" x14ac:dyDescent="0.25">
      <c r="K60">
        <f>chloroform!E65</f>
        <v>217</v>
      </c>
      <c r="L60">
        <f>Table3[[#This Row],[weight]]*(0.9155*Table2[[#This Row],[J1,2]]-A$9)^2</f>
        <v>0</v>
      </c>
      <c r="M60">
        <f>Table3[[#This Row],[weight]]*(0.9155*Table2[[#This Row],[J2,3]]-B$9)^2</f>
        <v>0</v>
      </c>
      <c r="N60">
        <f>Table3[[#This Row],[weight]]*(0.9155*Table2[[#This Row],[J34]]-C$9)^2</f>
        <v>0</v>
      </c>
      <c r="O60">
        <f>Table3[[#This Row],[weight]]*(0.9155*Table2[[#This Row],[J45]]-D$9)^2</f>
        <v>0</v>
      </c>
      <c r="P60">
        <f>Table3[[#This Row],[weight]]*(0.9155*Table2[[#This Row],[J56]]-E$9)^2</f>
        <v>0</v>
      </c>
      <c r="Q60">
        <f>Table3[[#This Row],[weight]]*(0.9155*Table2[[#This Row],[J67]]-F$9)^2</f>
        <v>0</v>
      </c>
      <c r="R60">
        <f>Table3[[#This Row],[weight]]*(0.9155*Table2[[#This Row],[J67'']]-G$9)^2</f>
        <v>0</v>
      </c>
      <c r="S60">
        <f>chloroform!J65</f>
        <v>0</v>
      </c>
      <c r="T60" t="str">
        <f>chloroform!F65</f>
        <v>E45</v>
      </c>
    </row>
    <row r="61" spans="11:20" x14ac:dyDescent="0.25">
      <c r="K61">
        <f>chloroform!E66</f>
        <v>225</v>
      </c>
      <c r="L61">
        <f>Table3[[#This Row],[weight]]*(0.9155*Table2[[#This Row],[J1,2]]-A$9)^2</f>
        <v>0</v>
      </c>
      <c r="M61">
        <f>Table3[[#This Row],[weight]]*(0.9155*Table2[[#This Row],[J2,3]]-B$9)^2</f>
        <v>0</v>
      </c>
      <c r="N61">
        <f>Table3[[#This Row],[weight]]*(0.9155*Table2[[#This Row],[J34]]-C$9)^2</f>
        <v>0</v>
      </c>
      <c r="O61">
        <f>Table3[[#This Row],[weight]]*(0.9155*Table2[[#This Row],[J45]]-D$9)^2</f>
        <v>0</v>
      </c>
      <c r="P61">
        <f>Table3[[#This Row],[weight]]*(0.9155*Table2[[#This Row],[J56]]-E$9)^2</f>
        <v>0</v>
      </c>
      <c r="Q61">
        <f>Table3[[#This Row],[weight]]*(0.9155*Table2[[#This Row],[J67]]-F$9)^2</f>
        <v>0</v>
      </c>
      <c r="R61">
        <f>Table3[[#This Row],[weight]]*(0.9155*Table2[[#This Row],[J67'']]-G$9)^2</f>
        <v>0</v>
      </c>
      <c r="S61">
        <f>chloroform!J66</f>
        <v>0</v>
      </c>
      <c r="T61" t="str">
        <f>chloroform!F66</f>
        <v>E45</v>
      </c>
    </row>
    <row r="62" spans="11:20" x14ac:dyDescent="0.25">
      <c r="K62">
        <f>chloroform!E67</f>
        <v>247</v>
      </c>
      <c r="L62">
        <f>Table3[[#This Row],[weight]]*(0.9155*Table2[[#This Row],[J1,2]]-A$9)^2</f>
        <v>1.3525303617327977E-5</v>
      </c>
      <c r="M62">
        <f>Table3[[#This Row],[weight]]*(0.9155*Table2[[#This Row],[J2,3]]-B$9)^2</f>
        <v>1.8629345034166678E-3</v>
      </c>
      <c r="N62">
        <f>Table3[[#This Row],[weight]]*(0.9155*Table2[[#This Row],[J34]]-C$9)^2</f>
        <v>1.4739620348154995E-3</v>
      </c>
      <c r="O62">
        <f>Table3[[#This Row],[weight]]*(0.9155*Table2[[#This Row],[J45]]-D$9)^2</f>
        <v>4.9729862000722786E-3</v>
      </c>
      <c r="P62">
        <f>Table3[[#This Row],[weight]]*(0.9155*Table2[[#This Row],[J56]]-E$9)^2</f>
        <v>9.5330327893099361E-5</v>
      </c>
      <c r="Q62">
        <f>Table3[[#This Row],[weight]]*(0.9155*Table2[[#This Row],[J67]]-F$9)^2</f>
        <v>7.8064238444523495E-6</v>
      </c>
      <c r="R62">
        <f>Table3[[#This Row],[weight]]*(0.9155*Table2[[#This Row],[J67'']]-G$9)^2</f>
        <v>3.2732217206986688E-4</v>
      </c>
      <c r="S62">
        <f>chloroform!J67</f>
        <v>6.4481041042882236E-5</v>
      </c>
      <c r="T62" t="str">
        <f>chloroform!F67</f>
        <v>5C12</v>
      </c>
    </row>
    <row r="63" spans="11:20" x14ac:dyDescent="0.25">
      <c r="K63">
        <f>chloroform!E68</f>
        <v>376</v>
      </c>
      <c r="L63">
        <f>Table3[[#This Row],[weight]]*(0.9155*Table2[[#This Row],[J1,2]]-A$9)^2</f>
        <v>0</v>
      </c>
      <c r="M63">
        <f>Table3[[#This Row],[weight]]*(0.9155*Table2[[#This Row],[J2,3]]-B$9)^2</f>
        <v>0</v>
      </c>
      <c r="N63">
        <f>Table3[[#This Row],[weight]]*(0.9155*Table2[[#This Row],[J34]]-C$9)^2</f>
        <v>0</v>
      </c>
      <c r="O63">
        <f>Table3[[#This Row],[weight]]*(0.9155*Table2[[#This Row],[J45]]-D$9)^2</f>
        <v>0</v>
      </c>
      <c r="P63">
        <f>Table3[[#This Row],[weight]]*(0.9155*Table2[[#This Row],[J56]]-E$9)^2</f>
        <v>0</v>
      </c>
      <c r="Q63">
        <f>Table3[[#This Row],[weight]]*(0.9155*Table2[[#This Row],[J67]]-F$9)^2</f>
        <v>0</v>
      </c>
      <c r="R63">
        <f>Table3[[#This Row],[weight]]*(0.9155*Table2[[#This Row],[J67'']]-G$9)^2</f>
        <v>0</v>
      </c>
      <c r="S63">
        <f>chloroform!J68</f>
        <v>0</v>
      </c>
      <c r="T63" t="str">
        <f>chloroform!F68</f>
        <v>4H6</v>
      </c>
    </row>
    <row r="64" spans="11:20" x14ac:dyDescent="0.25">
      <c r="K64">
        <f>chloroform!E69</f>
        <v>387</v>
      </c>
      <c r="L64">
        <f>Table3[[#This Row],[weight]]*(0.9155*Table2[[#This Row],[J1,2]]-A$9)^2</f>
        <v>5.0984178803687222E-4</v>
      </c>
      <c r="M64">
        <f>Table3[[#This Row],[weight]]*(0.9155*Table2[[#This Row],[J2,3]]-B$9)^2</f>
        <v>5.7992840778093276E-3</v>
      </c>
      <c r="N64">
        <f>Table3[[#This Row],[weight]]*(0.9155*Table2[[#This Row],[J34]]-C$9)^2</f>
        <v>4.5715865944302133E-3</v>
      </c>
      <c r="O64">
        <f>Table3[[#This Row],[weight]]*(0.9155*Table2[[#This Row],[J45]]-D$9)^2</f>
        <v>0.12970472481997528</v>
      </c>
      <c r="P64">
        <f>Table3[[#This Row],[weight]]*(0.9155*Table2[[#This Row],[J56]]-E$9)^2</f>
        <v>0.66782262708010176</v>
      </c>
      <c r="Q64">
        <f>Table3[[#This Row],[weight]]*(0.9155*Table2[[#This Row],[J67]]-F$9)^2</f>
        <v>3.9962661479690286E-3</v>
      </c>
      <c r="R64">
        <f>Table3[[#This Row],[weight]]*(0.9155*Table2[[#This Row],[J67'']]-G$9)^2</f>
        <v>0.27220501028824501</v>
      </c>
      <c r="S64">
        <f>chloroform!J69</f>
        <v>9.4835783659327801E-3</v>
      </c>
      <c r="T64" t="str">
        <f>chloroform!F69</f>
        <v>12C5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9B92A-13D4-4ABE-A335-DD3FA08D2472}">
  <dimension ref="A1:T64"/>
  <sheetViews>
    <sheetView workbookViewId="0">
      <selection activeCell="K2" sqref="K2:T64"/>
    </sheetView>
  </sheetViews>
  <sheetFormatPr defaultRowHeight="15" x14ac:dyDescent="0.25"/>
  <cols>
    <col min="11" max="11" width="10.5703125" customWidth="1"/>
    <col min="12" max="12" width="12" bestFit="1" customWidth="1"/>
    <col min="13" max="19" width="9.28515625" bestFit="1" customWidth="1"/>
    <col min="20" max="20" width="14" customWidth="1"/>
  </cols>
  <sheetData>
    <row r="1" spans="1:20" x14ac:dyDescent="0.25">
      <c r="A1" t="s">
        <v>45</v>
      </c>
      <c r="B1">
        <f>SUMIF(Table1[Classification],E1,Table1[weight])</f>
        <v>4.1665009100275249E-2</v>
      </c>
      <c r="D1" t="s">
        <v>11</v>
      </c>
      <c r="E1" t="s">
        <v>17</v>
      </c>
      <c r="G1">
        <f>COUNTIF(Table3[classification],E1)</f>
        <v>10</v>
      </c>
      <c r="K1" t="s">
        <v>44</v>
      </c>
      <c r="L1" t="s">
        <v>35</v>
      </c>
      <c r="M1" t="s">
        <v>36</v>
      </c>
      <c r="N1" t="s">
        <v>37</v>
      </c>
      <c r="O1" t="s">
        <v>38</v>
      </c>
      <c r="P1" t="s">
        <v>39</v>
      </c>
      <c r="Q1" t="s">
        <v>40</v>
      </c>
      <c r="R1" t="s">
        <v>42</v>
      </c>
      <c r="S1" t="s">
        <v>14</v>
      </c>
      <c r="T1" t="s">
        <v>43</v>
      </c>
    </row>
    <row r="2" spans="1:20" x14ac:dyDescent="0.25">
      <c r="K2">
        <f>chloroform!E7</f>
        <v>1</v>
      </c>
      <c r="L2">
        <f>Table3[[#This Row],[weight]]*(0.9155*Table2[[#This Row],[J1,2]]-A$9)^2</f>
        <v>1.3580816858987029E-4</v>
      </c>
      <c r="M2">
        <f>Table3[[#This Row],[weight]]*(0.9155*Table2[[#This Row],[J2,3]]-B$9)^2</f>
        <v>3.6696661109631167E-4</v>
      </c>
      <c r="N2">
        <f>Table3[[#This Row],[weight]]*(0.9155*Table2[[#This Row],[J34]]-C$9)^2</f>
        <v>1.6655537765982233E-5</v>
      </c>
      <c r="O2">
        <f>Table3[[#This Row],[weight]]*(0.9155*Table2[[#This Row],[J45]]-D$9)^2</f>
        <v>3.9702072102912182E-4</v>
      </c>
      <c r="P2">
        <f>Table3[[#This Row],[weight]]*(0.9155*Table2[[#This Row],[J56]]-E$9)^2</f>
        <v>1.019100359680559E-3</v>
      </c>
      <c r="Q2">
        <f>Table3[[#This Row],[weight]]*(0.9155*Table2[[#This Row],[J67]]-F$9)^2</f>
        <v>0.23832868997985882</v>
      </c>
      <c r="R2">
        <f>Table3[[#This Row],[weight]]*(0.9155*Table2[[#This Row],[J67'']]-G$9)^2</f>
        <v>0.62177341025998689</v>
      </c>
      <c r="S2">
        <f>chloroform!J7</f>
        <v>1.5369372396989205E-2</v>
      </c>
      <c r="T2" t="str">
        <f>chloroform!F7</f>
        <v>6H4</v>
      </c>
    </row>
    <row r="3" spans="1:20" x14ac:dyDescent="0.25">
      <c r="K3">
        <f>chloroform!E8</f>
        <v>2</v>
      </c>
      <c r="L3">
        <f>Table3[[#This Row],[weight]]*(0.9155*Table2[[#This Row],[J1,2]]-A$9)^2</f>
        <v>2.0206205569128985E-3</v>
      </c>
      <c r="M3">
        <f>Table3[[#This Row],[weight]]*(0.9155*Table2[[#This Row],[J2,3]]-B$9)^2</f>
        <v>1.5734639536696942</v>
      </c>
      <c r="N3">
        <f>Table3[[#This Row],[weight]]*(0.9155*Table2[[#This Row],[J34]]-C$9)^2</f>
        <v>1.2468853565031178E-5</v>
      </c>
      <c r="O3">
        <f>Table3[[#This Row],[weight]]*(0.9155*Table2[[#This Row],[J45]]-D$9)^2</f>
        <v>2.3727816572838432</v>
      </c>
      <c r="P3">
        <f>Table3[[#This Row],[weight]]*(0.9155*Table2[[#This Row],[J56]]-E$9)^2</f>
        <v>4.3688523429537724</v>
      </c>
      <c r="Q3">
        <f>Table3[[#This Row],[weight]]*(0.9155*Table2[[#This Row],[J67]]-F$9)^2</f>
        <v>1.5575285066572959</v>
      </c>
      <c r="R3">
        <f>Table3[[#This Row],[weight]]*(0.9155*Table2[[#This Row],[J67'']]-G$9)^2</f>
        <v>4.2513842939285652E-2</v>
      </c>
      <c r="S3">
        <f>chloroform!J8</f>
        <v>4.5701457632861299E-2</v>
      </c>
      <c r="T3" t="str">
        <f>chloroform!F8</f>
        <v>4H6</v>
      </c>
    </row>
    <row r="4" spans="1:20" x14ac:dyDescent="0.25">
      <c r="A4" t="s">
        <v>35</v>
      </c>
      <c r="B4" t="s">
        <v>36</v>
      </c>
      <c r="C4" t="s">
        <v>37</v>
      </c>
      <c r="D4" t="s">
        <v>38</v>
      </c>
      <c r="E4" t="s">
        <v>39</v>
      </c>
      <c r="F4" t="s">
        <v>40</v>
      </c>
      <c r="G4" t="s">
        <v>42</v>
      </c>
      <c r="K4">
        <f>chloroform!E9</f>
        <v>4</v>
      </c>
      <c r="L4">
        <f>Table3[[#This Row],[weight]]*(0.9155*Table2[[#This Row],[J1,2]]-A$9)^2</f>
        <v>8.5065157140683644E-3</v>
      </c>
      <c r="M4">
        <f>Table3[[#This Row],[weight]]*(0.9155*Table2[[#This Row],[J2,3]]-B$9)^2</f>
        <v>3.9817379017341969</v>
      </c>
      <c r="N4">
        <f>Table3[[#This Row],[weight]]*(0.9155*Table2[[#This Row],[J34]]-C$9)^2</f>
        <v>1.1463174736782435E-2</v>
      </c>
      <c r="O4">
        <f>Table3[[#This Row],[weight]]*(0.9155*Table2[[#This Row],[J45]]-D$9)^2</f>
        <v>6.7478887025052012</v>
      </c>
      <c r="P4">
        <f>Table3[[#This Row],[weight]]*(0.9155*Table2[[#This Row],[J56]]-E$9)^2</f>
        <v>11.844422115291222</v>
      </c>
      <c r="Q4">
        <f>Table3[[#This Row],[weight]]*(0.9155*Table2[[#This Row],[J67]]-F$9)^2</f>
        <v>2.0799607645572</v>
      </c>
      <c r="R4">
        <f>Table3[[#This Row],[weight]]*(0.9155*Table2[[#This Row],[J67'']]-G$9)^2</f>
        <v>4.8283824762567535</v>
      </c>
      <c r="S4">
        <f>chloroform!J9</f>
        <v>0.1122618771305435</v>
      </c>
      <c r="T4" t="str">
        <f>chloroform!F9</f>
        <v>4H6</v>
      </c>
    </row>
    <row r="5" spans="1:20" x14ac:dyDescent="0.25">
      <c r="A5">
        <f>SUMIF(Table1[Classification],E1,Table2[J1,23])/$B$1</f>
        <v>7.2968299792722906</v>
      </c>
      <c r="B5">
        <f>SUMIF(Table1[Classification],E1,Table2[J2,34])/$B$1</f>
        <v>7.8734993187763012</v>
      </c>
      <c r="C5">
        <f>SUMIF(Table1[Classification],E1,Table2[J345])/$B$1</f>
        <v>2.061744649121354</v>
      </c>
      <c r="D5">
        <f>SUMIF(Table1[Classification],E1,Table2[J456])/$B$1</f>
        <v>9.337695181290389</v>
      </c>
      <c r="E5">
        <f>SUMIF(Table1[Classification],E1,Table2[J567])/$B$1</f>
        <v>0.42595388385355909</v>
      </c>
      <c r="F5">
        <f>SUMIF(Table1[Classification],E1,Table2[J678])/$B$1</f>
        <v>6.1408810940126086</v>
      </c>
      <c r="G5">
        <f>SUMIF(Table1[Classification],E1,Table2[J67''9])/$B$1</f>
        <v>8.4349753893681747</v>
      </c>
      <c r="K5">
        <f>chloroform!E10</f>
        <v>5</v>
      </c>
      <c r="L5">
        <f>Table3[[#This Row],[weight]]*(0.9155*Table2[[#This Row],[J1,2]]-A$9)^2</f>
        <v>0</v>
      </c>
      <c r="M5">
        <f>Table3[[#This Row],[weight]]*(0.9155*Table2[[#This Row],[J2,3]]-B$9)^2</f>
        <v>0</v>
      </c>
      <c r="N5">
        <f>Table3[[#This Row],[weight]]*(0.9155*Table2[[#This Row],[J34]]-C$9)^2</f>
        <v>0</v>
      </c>
      <c r="O5">
        <f>Table3[[#This Row],[weight]]*(0.9155*Table2[[#This Row],[J45]]-D$9)^2</f>
        <v>0</v>
      </c>
      <c r="P5">
        <f>Table3[[#This Row],[weight]]*(0.9155*Table2[[#This Row],[J56]]-E$9)^2</f>
        <v>0</v>
      </c>
      <c r="Q5">
        <f>Table3[[#This Row],[weight]]*(0.9155*Table2[[#This Row],[J67]]-F$9)^2</f>
        <v>0</v>
      </c>
      <c r="R5">
        <f>Table3[[#This Row],[weight]]*(0.9155*Table2[[#This Row],[J67'']]-G$9)^2</f>
        <v>0</v>
      </c>
      <c r="S5">
        <f>chloroform!J10</f>
        <v>0</v>
      </c>
      <c r="T5" t="str">
        <f>chloroform!F10</f>
        <v>6H4</v>
      </c>
    </row>
    <row r="6" spans="1:20" x14ac:dyDescent="0.25">
      <c r="K6">
        <f>chloroform!E11</f>
        <v>8</v>
      </c>
      <c r="L6">
        <f>Table3[[#This Row],[weight]]*(0.9155*Table2[[#This Row],[J1,2]]-A$9)^2</f>
        <v>0</v>
      </c>
      <c r="M6">
        <f>Table3[[#This Row],[weight]]*(0.9155*Table2[[#This Row],[J2,3]]-B$9)^2</f>
        <v>0</v>
      </c>
      <c r="N6">
        <f>Table3[[#This Row],[weight]]*(0.9155*Table2[[#This Row],[J34]]-C$9)^2</f>
        <v>0</v>
      </c>
      <c r="O6">
        <f>Table3[[#This Row],[weight]]*(0.9155*Table2[[#This Row],[J45]]-D$9)^2</f>
        <v>0</v>
      </c>
      <c r="P6">
        <f>Table3[[#This Row],[weight]]*(0.9155*Table2[[#This Row],[J56]]-E$9)^2</f>
        <v>0</v>
      </c>
      <c r="Q6">
        <f>Table3[[#This Row],[weight]]*(0.9155*Table2[[#This Row],[J67]]-F$9)^2</f>
        <v>0</v>
      </c>
      <c r="R6">
        <f>Table3[[#This Row],[weight]]*(0.9155*Table2[[#This Row],[J67'']]-G$9)^2</f>
        <v>0</v>
      </c>
      <c r="S6">
        <f>chloroform!J11</f>
        <v>0</v>
      </c>
      <c r="T6" t="str">
        <f>chloroform!F11</f>
        <v>6H4</v>
      </c>
    </row>
    <row r="7" spans="1:20" x14ac:dyDescent="0.25">
      <c r="A7" t="s">
        <v>60</v>
      </c>
      <c r="K7">
        <f>chloroform!E12</f>
        <v>14</v>
      </c>
      <c r="L7">
        <f>Table3[[#This Row],[weight]]*(0.9155*Table2[[#This Row],[J1,2]]-A$9)^2</f>
        <v>2.9009116626359005E-4</v>
      </c>
      <c r="M7">
        <f>Table3[[#This Row],[weight]]*(0.9155*Table2[[#This Row],[J2,3]]-B$9)^2</f>
        <v>2.9367934774042963E-2</v>
      </c>
      <c r="N7">
        <f>Table3[[#This Row],[weight]]*(0.9155*Table2[[#This Row],[J34]]-C$9)^2</f>
        <v>5.6909798457157961E-4</v>
      </c>
      <c r="O7">
        <f>Table3[[#This Row],[weight]]*(0.9155*Table2[[#This Row],[J45]]-D$9)^2</f>
        <v>6.4489100805510194E-2</v>
      </c>
      <c r="P7">
        <f>Table3[[#This Row],[weight]]*(0.9155*Table2[[#This Row],[J56]]-E$9)^2</f>
        <v>8.1649118497470682E-2</v>
      </c>
      <c r="Q7">
        <f>Table3[[#This Row],[weight]]*(0.9155*Table2[[#This Row],[J67]]-F$9)^2</f>
        <v>2.4019248255654192E-2</v>
      </c>
      <c r="R7">
        <f>Table3[[#This Row],[weight]]*(0.9155*Table2[[#This Row],[J67'']]-G$9)^2</f>
        <v>2.282810456912733E-2</v>
      </c>
      <c r="S7">
        <f>chloroform!J12</f>
        <v>8.4585370675389904E-4</v>
      </c>
      <c r="T7" t="str">
        <f>chloroform!F12</f>
        <v>4H6</v>
      </c>
    </row>
    <row r="8" spans="1:20" x14ac:dyDescent="0.25">
      <c r="A8" t="s">
        <v>35</v>
      </c>
      <c r="B8" t="s">
        <v>36</v>
      </c>
      <c r="C8" t="s">
        <v>37</v>
      </c>
      <c r="D8" t="s">
        <v>38</v>
      </c>
      <c r="E8" t="s">
        <v>39</v>
      </c>
      <c r="F8" t="s">
        <v>40</v>
      </c>
      <c r="G8" t="s">
        <v>42</v>
      </c>
      <c r="K8">
        <f>chloroform!E13</f>
        <v>20</v>
      </c>
      <c r="L8">
        <f>Table3[[#This Row],[weight]]*(0.9155*Table2[[#This Row],[J1,2]]-A$9)^2</f>
        <v>2.3513084424568072E-4</v>
      </c>
      <c r="M8">
        <f>Table3[[#This Row],[weight]]*(0.9155*Table2[[#This Row],[J2,3]]-B$9)^2</f>
        <v>4.0392292901639363E-4</v>
      </c>
      <c r="N8">
        <f>Table3[[#This Row],[weight]]*(0.9155*Table2[[#This Row],[J34]]-C$9)^2</f>
        <v>5.6463810588077107E-5</v>
      </c>
      <c r="O8">
        <f>Table3[[#This Row],[weight]]*(0.9155*Table2[[#This Row],[J45]]-D$9)^2</f>
        <v>4.7612537315160517E-3</v>
      </c>
      <c r="P8">
        <f>Table3[[#This Row],[weight]]*(0.9155*Table2[[#This Row],[J56]]-E$9)^2</f>
        <v>7.659812645888299E-4</v>
      </c>
      <c r="Q8">
        <f>Table3[[#This Row],[weight]]*(0.9155*Table2[[#This Row],[J67]]-F$9)^2</f>
        <v>9.4072095535572858E-2</v>
      </c>
      <c r="R8">
        <f>Table3[[#This Row],[weight]]*(0.9155*Table2[[#This Row],[J67'']]-G$9)^2</f>
        <v>0.30471193504585903</v>
      </c>
      <c r="S8">
        <f>chloroform!J13</f>
        <v>2.2236255721901754E-2</v>
      </c>
      <c r="T8" t="str">
        <f>chloroform!F13</f>
        <v>6H4</v>
      </c>
    </row>
    <row r="9" spans="1:20" x14ac:dyDescent="0.25">
      <c r="A9">
        <f t="shared" ref="A9:G9" si="0">A5</f>
        <v>7.2968299792722906</v>
      </c>
      <c r="B9">
        <f t="shared" si="0"/>
        <v>7.8734993187763012</v>
      </c>
      <c r="C9">
        <f t="shared" si="0"/>
        <v>2.061744649121354</v>
      </c>
      <c r="D9">
        <f t="shared" si="0"/>
        <v>9.337695181290389</v>
      </c>
      <c r="E9">
        <f t="shared" si="0"/>
        <v>0.42595388385355909</v>
      </c>
      <c r="F9">
        <f t="shared" si="0"/>
        <v>6.1408810940126086</v>
      </c>
      <c r="G9">
        <f t="shared" si="0"/>
        <v>8.4349753893681747</v>
      </c>
      <c r="K9">
        <f>chloroform!E14</f>
        <v>21</v>
      </c>
      <c r="L9">
        <f>Table3[[#This Row],[weight]]*(0.9155*Table2[[#This Row],[J1,2]]-A$9)^2</f>
        <v>1.1670885137712013E-2</v>
      </c>
      <c r="M9">
        <f>Table3[[#This Row],[weight]]*(0.9155*Table2[[#This Row],[J2,3]]-B$9)^2</f>
        <v>2.7544924038352128</v>
      </c>
      <c r="N9">
        <f>Table3[[#This Row],[weight]]*(0.9155*Table2[[#This Row],[J34]]-C$9)^2</f>
        <v>9.3119697058879642E-4</v>
      </c>
      <c r="O9">
        <f>Table3[[#This Row],[weight]]*(0.9155*Table2[[#This Row],[J45]]-D$9)^2</f>
        <v>5.8114689512126869</v>
      </c>
      <c r="P9">
        <f>Table3[[#This Row],[weight]]*(0.9155*Table2[[#This Row],[J56]]-E$9)^2</f>
        <v>8.8549872392468192</v>
      </c>
      <c r="Q9">
        <f>Table3[[#This Row],[weight]]*(0.9155*Table2[[#This Row],[J67]]-F$9)^2</f>
        <v>2.1714196975841986</v>
      </c>
      <c r="R9">
        <f>Table3[[#This Row],[weight]]*(0.9155*Table2[[#This Row],[J67'']]-G$9)^2</f>
        <v>2.1938468815585019</v>
      </c>
      <c r="S9">
        <f>chloroform!J14</f>
        <v>7.7209011344806247E-2</v>
      </c>
      <c r="T9" t="str">
        <f>chloroform!F14</f>
        <v>4H6</v>
      </c>
    </row>
    <row r="10" spans="1:20" x14ac:dyDescent="0.25">
      <c r="K10">
        <f>chloroform!E15</f>
        <v>25</v>
      </c>
      <c r="L10">
        <f>Table3[[#This Row],[weight]]*(0.9155*Table2[[#This Row],[J1,2]]-A$9)^2</f>
        <v>8.4924582564463821E-5</v>
      </c>
      <c r="M10">
        <f>Table3[[#This Row],[weight]]*(0.9155*Table2[[#This Row],[J2,3]]-B$9)^2</f>
        <v>1.6077043884024918E-2</v>
      </c>
      <c r="N10">
        <f>Table3[[#This Row],[weight]]*(0.9155*Table2[[#This Row],[J34]]-C$9)^2</f>
        <v>1.5661452757592537E-4</v>
      </c>
      <c r="O10">
        <f>Table3[[#This Row],[weight]]*(0.9155*Table2[[#This Row],[J45]]-D$9)^2</f>
        <v>3.6708565908292273E-2</v>
      </c>
      <c r="P10">
        <f>Table3[[#This Row],[weight]]*(0.9155*Table2[[#This Row],[J56]]-E$9)^2</f>
        <v>5.9086490026064996E-2</v>
      </c>
      <c r="Q10">
        <f>Table3[[#This Row],[weight]]*(0.9155*Table2[[#This Row],[J67]]-F$9)^2</f>
        <v>1.66050216216099E-2</v>
      </c>
      <c r="R10">
        <f>Table3[[#This Row],[weight]]*(0.9155*Table2[[#This Row],[J67'']]-G$9)^2</f>
        <v>8.8517610513622015E-4</v>
      </c>
      <c r="S10">
        <f>chloroform!J15</f>
        <v>4.7537764035642649E-4</v>
      </c>
      <c r="T10" t="str">
        <f>chloroform!F15</f>
        <v>4H6</v>
      </c>
    </row>
    <row r="11" spans="1:20" x14ac:dyDescent="0.25">
      <c r="A11" t="s">
        <v>61</v>
      </c>
      <c r="K11">
        <f>chloroform!E16</f>
        <v>27</v>
      </c>
      <c r="L11">
        <f>Table3[[#This Row],[weight]]*(0.9155*Table2[[#This Row],[J1,2]]-A$9)^2</f>
        <v>3.1011681886002366E-5</v>
      </c>
      <c r="M11">
        <f>Table3[[#This Row],[weight]]*(0.9155*Table2[[#This Row],[J2,3]]-B$9)^2</f>
        <v>6.1811045269384328E-3</v>
      </c>
      <c r="N11">
        <f>Table3[[#This Row],[weight]]*(0.9155*Table2[[#This Row],[J34]]-C$9)^2</f>
        <v>9.4383857113432794E-5</v>
      </c>
      <c r="O11">
        <f>Table3[[#This Row],[weight]]*(0.9155*Table2[[#This Row],[J45]]-D$9)^2</f>
        <v>1.3866386869756558E-2</v>
      </c>
      <c r="P11">
        <f>Table3[[#This Row],[weight]]*(0.9155*Table2[[#This Row],[J56]]-E$9)^2</f>
        <v>1.8314603408053409E-2</v>
      </c>
      <c r="Q11">
        <f>Table3[[#This Row],[weight]]*(0.9155*Table2[[#This Row],[J67]]-F$9)^2</f>
        <v>1.6985061768990273E-3</v>
      </c>
      <c r="R11">
        <f>Table3[[#This Row],[weight]]*(0.9155*Table2[[#This Row],[J67'']]-G$9)^2</f>
        <v>8.315032063734169E-3</v>
      </c>
      <c r="S11">
        <f>chloroform!J16</f>
        <v>1.781939242583272E-4</v>
      </c>
      <c r="T11" t="str">
        <f>chloroform!F16</f>
        <v>4H6</v>
      </c>
    </row>
    <row r="12" spans="1:20" x14ac:dyDescent="0.25">
      <c r="A12" t="s">
        <v>35</v>
      </c>
      <c r="B12" t="s">
        <v>36</v>
      </c>
      <c r="C12" t="s">
        <v>37</v>
      </c>
      <c r="D12" t="s">
        <v>38</v>
      </c>
      <c r="E12" t="s">
        <v>39</v>
      </c>
      <c r="F12" t="s">
        <v>40</v>
      </c>
      <c r="G12" t="s">
        <v>42</v>
      </c>
      <c r="K12">
        <f>chloroform!E17</f>
        <v>29</v>
      </c>
      <c r="L12">
        <f>Table3[[#This Row],[weight]]*(0.9155*Table2[[#This Row],[J1,2]]-A$9)^2</f>
        <v>1.7380204755439627E-4</v>
      </c>
      <c r="M12">
        <f>Table3[[#This Row],[weight]]*(0.9155*Table2[[#This Row],[J2,3]]-B$9)^2</f>
        <v>0.36008495555671588</v>
      </c>
      <c r="N12">
        <f>Table3[[#This Row],[weight]]*(0.9155*Table2[[#This Row],[J34]]-C$9)^2</f>
        <v>1.9275154509197293E-4</v>
      </c>
      <c r="O12">
        <f>Table3[[#This Row],[weight]]*(0.9155*Table2[[#This Row],[J45]]-D$9)^2</f>
        <v>0.44454711917746897</v>
      </c>
      <c r="P12">
        <f>Table3[[#This Row],[weight]]*(0.9155*Table2[[#This Row],[J56]]-E$9)^2</f>
        <v>0.69330351439293714</v>
      </c>
      <c r="Q12">
        <f>Table3[[#This Row],[weight]]*(0.9155*Table2[[#This Row],[J67]]-F$9)^2</f>
        <v>0.29057360768127299</v>
      </c>
      <c r="R12">
        <f>Table3[[#This Row],[weight]]*(0.9155*Table2[[#This Row],[J67'']]-G$9)^2</f>
        <v>0.13239617448945024</v>
      </c>
      <c r="S12">
        <f>chloroform!J17</f>
        <v>1.0782620989501255E-2</v>
      </c>
      <c r="T12" t="str">
        <f>chloroform!F17</f>
        <v>4H6</v>
      </c>
    </row>
    <row r="13" spans="1:20" x14ac:dyDescent="0.25">
      <c r="A13">
        <f>SQRT(SUMIF($T$2:$T$46,$E$1,L$2:L$46)/(($G$1-1)*$B$1/$G$1))</f>
        <v>0.12198032500860452</v>
      </c>
      <c r="B13">
        <f>SQRT(SUMIF($T$2:$T$46,$E$1,M$2:M$46)/(($G$1-1)*$B$1/$G$1))</f>
        <v>0.15779073805501642</v>
      </c>
      <c r="C13">
        <f>SQRT(SUMIF($T$2:$T$46,$E$1,N$2:N$46)/(($G$1-1)*$B$1/$G$1))</f>
        <v>6.9104364603351245E-2</v>
      </c>
      <c r="D13">
        <f t="shared" ref="D13:F13" si="1">SQRT(SUMIF($T$2:$T$46,$E$1,O$2:O$46)/(($G$1-1)*$B$1/$G$1))</f>
        <v>0.78749947493902717</v>
      </c>
      <c r="E13">
        <f t="shared" si="1"/>
        <v>0.243619419515196</v>
      </c>
      <c r="F13">
        <f t="shared" si="1"/>
        <v>3.2115586955519113</v>
      </c>
      <c r="G13">
        <f>SQRT(SUMIF($T$2:$T$46,$E$1,R$2:R$46)/(($G$1-1)*$B$1/$G$1))</f>
        <v>5.1536114733820737</v>
      </c>
      <c r="K13">
        <f>chloroform!E18</f>
        <v>30</v>
      </c>
      <c r="L13">
        <f>Table3[[#This Row],[weight]]*(0.9155*Table2[[#This Row],[J1,2]]-A$9)^2</f>
        <v>1.8532391476180446E-4</v>
      </c>
      <c r="M13">
        <f>Table3[[#This Row],[weight]]*(0.9155*Table2[[#This Row],[J2,3]]-B$9)^2</f>
        <v>1.1574130146610196E-4</v>
      </c>
      <c r="N13">
        <f>Table3[[#This Row],[weight]]*(0.9155*Table2[[#This Row],[J34]]-C$9)^2</f>
        <v>1.0077958651233443E-4</v>
      </c>
      <c r="O13">
        <f>Table3[[#This Row],[weight]]*(0.9155*Table2[[#This Row],[J45]]-D$9)^2</f>
        <v>1.7713525079459027E-2</v>
      </c>
      <c r="P13">
        <f>Table3[[#This Row],[weight]]*(0.9155*Table2[[#This Row],[J56]]-E$9)^2</f>
        <v>6.4591683481304219E-5</v>
      </c>
      <c r="Q13">
        <f>Table3[[#This Row],[weight]]*(0.9155*Table2[[#This Row],[J67]]-F$9)^2</f>
        <v>5.2503405997592442E-2</v>
      </c>
      <c r="R13">
        <f>Table3[[#This Row],[weight]]*(0.9155*Table2[[#This Row],[J67'']]-G$9)^2</f>
        <v>6.1630063839766561E-2</v>
      </c>
      <c r="S13">
        <f>chloroform!J18</f>
        <v>3.7545223175171893E-3</v>
      </c>
      <c r="T13" t="str">
        <f>chloroform!F18</f>
        <v>6H4</v>
      </c>
    </row>
    <row r="14" spans="1:20" x14ac:dyDescent="0.25">
      <c r="K14">
        <f>chloroform!E19</f>
        <v>32</v>
      </c>
      <c r="L14">
        <f>Table3[[#This Row],[weight]]*(0.9155*Table2[[#This Row],[J1,2]]-A$9)^2</f>
        <v>2.9548876259033306E-5</v>
      </c>
      <c r="M14">
        <f>Table3[[#This Row],[weight]]*(0.9155*Table2[[#This Row],[J2,3]]-B$9)^2</f>
        <v>2.5317452609569996E-2</v>
      </c>
      <c r="N14">
        <f>Table3[[#This Row],[weight]]*(0.9155*Table2[[#This Row],[J34]]-C$9)^2</f>
        <v>1.2014157620187805E-4</v>
      </c>
      <c r="O14">
        <f>Table3[[#This Row],[weight]]*(0.9155*Table2[[#This Row],[J45]]-D$9)^2</f>
        <v>5.736931798925636E-2</v>
      </c>
      <c r="P14">
        <f>Table3[[#This Row],[weight]]*(0.9155*Table2[[#This Row],[J56]]-E$9)^2</f>
        <v>8.8344565044355283E-2</v>
      </c>
      <c r="Q14">
        <f>Table3[[#This Row],[weight]]*(0.9155*Table2[[#This Row],[J67]]-F$9)^2</f>
        <v>1.8452818883503887E-2</v>
      </c>
      <c r="R14">
        <f>Table3[[#This Row],[weight]]*(0.9155*Table2[[#This Row],[J67'']]-G$9)^2</f>
        <v>1.417432870245413E-3</v>
      </c>
      <c r="S14">
        <f>chloroform!J19</f>
        <v>7.3055337798452974E-4</v>
      </c>
      <c r="T14" t="str">
        <f>chloroform!F19</f>
        <v>4H6</v>
      </c>
    </row>
    <row r="15" spans="1:20" x14ac:dyDescent="0.25">
      <c r="K15">
        <f>chloroform!E20</f>
        <v>35</v>
      </c>
      <c r="L15">
        <f>Table3[[#This Row],[weight]]*(0.9155*Table2[[#This Row],[J1,2]]-A$9)^2</f>
        <v>1.5742952248034014E-6</v>
      </c>
      <c r="M15">
        <f>Table3[[#This Row],[weight]]*(0.9155*Table2[[#This Row],[J2,3]]-B$9)^2</f>
        <v>4.4588569363940849E-5</v>
      </c>
      <c r="N15">
        <f>Table3[[#This Row],[weight]]*(0.9155*Table2[[#This Row],[J34]]-C$9)^2</f>
        <v>3.7136128012032935E-6</v>
      </c>
      <c r="O15">
        <f>Table3[[#This Row],[weight]]*(0.9155*Table2[[#This Row],[J45]]-D$9)^2</f>
        <v>1.7005846849706325E-4</v>
      </c>
      <c r="P15">
        <f>Table3[[#This Row],[weight]]*(0.9155*Table2[[#This Row],[J56]]-E$9)^2</f>
        <v>2.1093957255171396E-4</v>
      </c>
      <c r="Q15">
        <f>Table3[[#This Row],[weight]]*(0.9155*Table2[[#This Row],[J67]]-F$9)^2</f>
        <v>3.4049970399256739E-4</v>
      </c>
      <c r="R15">
        <f>Table3[[#This Row],[weight]]*(0.9155*Table2[[#This Row],[J67'']]-G$9)^2</f>
        <v>4.6163694259245018E-3</v>
      </c>
      <c r="S15">
        <f>chloroform!J20</f>
        <v>8.1644225118472793E-5</v>
      </c>
      <c r="T15" t="str">
        <f>chloroform!F20</f>
        <v>6H4</v>
      </c>
    </row>
    <row r="16" spans="1:20" x14ac:dyDescent="0.25">
      <c r="K16">
        <f>chloroform!E21</f>
        <v>36</v>
      </c>
      <c r="L16">
        <f>Table3[[#This Row],[weight]]*(0.9155*Table2[[#This Row],[J1,2]]-A$9)^2</f>
        <v>1.7288740330353191E-4</v>
      </c>
      <c r="M16">
        <f>Table3[[#This Row],[weight]]*(0.9155*Table2[[#This Row],[J2,3]]-B$9)^2</f>
        <v>8.6022844805992718E-2</v>
      </c>
      <c r="N16">
        <f>Table3[[#This Row],[weight]]*(0.9155*Table2[[#This Row],[J34]]-C$9)^2</f>
        <v>2.2186814867101241E-6</v>
      </c>
      <c r="O16">
        <f>Table3[[#This Row],[weight]]*(0.9155*Table2[[#This Row],[J45]]-D$9)^2</f>
        <v>0.18034738753277296</v>
      </c>
      <c r="P16">
        <f>Table3[[#This Row],[weight]]*(0.9155*Table2[[#This Row],[J56]]-E$9)^2</f>
        <v>0.28645596098726228</v>
      </c>
      <c r="Q16">
        <f>Table3[[#This Row],[weight]]*(0.9155*Table2[[#This Row],[J67]]-F$9)^2</f>
        <v>2.3149726479052709E-3</v>
      </c>
      <c r="R16">
        <f>Table3[[#This Row],[weight]]*(0.9155*Table2[[#This Row],[J67'']]-G$9)^2</f>
        <v>0.15514320071056034</v>
      </c>
      <c r="S16">
        <f>chloroform!J21</f>
        <v>2.4245989889296209E-3</v>
      </c>
      <c r="T16" t="str">
        <f>chloroform!F21</f>
        <v>4H6</v>
      </c>
    </row>
    <row r="17" spans="11:20" x14ac:dyDescent="0.25">
      <c r="K17">
        <f>chloroform!E22</f>
        <v>40</v>
      </c>
      <c r="L17">
        <f>Table3[[#This Row],[weight]]*(0.9155*Table2[[#This Row],[J1,2]]-A$9)^2</f>
        <v>1.7556988975123748E-5</v>
      </c>
      <c r="M17">
        <f>Table3[[#This Row],[weight]]*(0.9155*Table2[[#This Row],[J2,3]]-B$9)^2</f>
        <v>6.0876870141611666E-3</v>
      </c>
      <c r="N17">
        <f>Table3[[#This Row],[weight]]*(0.9155*Table2[[#This Row],[J34]]-C$9)^2</f>
        <v>1.3224124709976934E-4</v>
      </c>
      <c r="O17">
        <f>Table3[[#This Row],[weight]]*(0.9155*Table2[[#This Row],[J45]]-D$9)^2</f>
        <v>1.4102117491728888E-2</v>
      </c>
      <c r="P17">
        <f>Table3[[#This Row],[weight]]*(0.9155*Table2[[#This Row],[J56]]-E$9)^2</f>
        <v>2.192654082036068E-2</v>
      </c>
      <c r="Q17">
        <f>Table3[[#This Row],[weight]]*(0.9155*Table2[[#This Row],[J67]]-F$9)^2</f>
        <v>6.1551450104534331E-3</v>
      </c>
      <c r="R17">
        <f>Table3[[#This Row],[weight]]*(0.9155*Table2[[#This Row],[J67'']]-G$9)^2</f>
        <v>3.4980690664003429E-4</v>
      </c>
      <c r="S17">
        <f>chloroform!J22</f>
        <v>1.7632209154101546E-4</v>
      </c>
      <c r="T17" t="str">
        <f>chloroform!F22</f>
        <v>4H6</v>
      </c>
    </row>
    <row r="18" spans="11:20" x14ac:dyDescent="0.25">
      <c r="K18">
        <f>chloroform!E23</f>
        <v>42</v>
      </c>
      <c r="L18">
        <f>Table3[[#This Row],[weight]]*(0.9155*Table2[[#This Row],[J1,2]]-A$9)^2</f>
        <v>0</v>
      </c>
      <c r="M18">
        <f>Table3[[#This Row],[weight]]*(0.9155*Table2[[#This Row],[J2,3]]-B$9)^2</f>
        <v>0</v>
      </c>
      <c r="N18">
        <f>Table3[[#This Row],[weight]]*(0.9155*Table2[[#This Row],[J34]]-C$9)^2</f>
        <v>0</v>
      </c>
      <c r="O18">
        <f>Table3[[#This Row],[weight]]*(0.9155*Table2[[#This Row],[J45]]-D$9)^2</f>
        <v>0</v>
      </c>
      <c r="P18">
        <f>Table3[[#This Row],[weight]]*(0.9155*Table2[[#This Row],[J56]]-E$9)^2</f>
        <v>0</v>
      </c>
      <c r="Q18">
        <f>Table3[[#This Row],[weight]]*(0.9155*Table2[[#This Row],[J67]]-F$9)^2</f>
        <v>0</v>
      </c>
      <c r="R18">
        <f>Table3[[#This Row],[weight]]*(0.9155*Table2[[#This Row],[J67'']]-G$9)^2</f>
        <v>0</v>
      </c>
      <c r="S18">
        <f>chloroform!J23</f>
        <v>0</v>
      </c>
      <c r="T18" t="str">
        <f>chloroform!F23</f>
        <v>6H4</v>
      </c>
    </row>
    <row r="19" spans="11:20" x14ac:dyDescent="0.25">
      <c r="K19">
        <f>chloroform!E24</f>
        <v>43</v>
      </c>
      <c r="L19">
        <f>Table3[[#This Row],[weight]]*(0.9155*Table2[[#This Row],[J1,2]]-A$9)^2</f>
        <v>3.9815685787080525E-4</v>
      </c>
      <c r="M19">
        <f>Table3[[#This Row],[weight]]*(0.9155*Table2[[#This Row],[J2,3]]-B$9)^2</f>
        <v>8.5159848352524145E-2</v>
      </c>
      <c r="N19">
        <f>Table3[[#This Row],[weight]]*(0.9155*Table2[[#This Row],[J34]]-C$9)^2</f>
        <v>9.62024323253972E-4</v>
      </c>
      <c r="O19">
        <f>Table3[[#This Row],[weight]]*(0.9155*Table2[[#This Row],[J45]]-D$9)^2</f>
        <v>6.4932718267573034E-2</v>
      </c>
      <c r="P19">
        <f>Table3[[#This Row],[weight]]*(0.9155*Table2[[#This Row],[J56]]-E$9)^2</f>
        <v>1.1875829048807494E-2</v>
      </c>
      <c r="Q19">
        <f>Table3[[#This Row],[weight]]*(0.9155*Table2[[#This Row],[J67]]-F$9)^2</f>
        <v>0.1220824210399602</v>
      </c>
      <c r="R19">
        <f>Table3[[#This Row],[weight]]*(0.9155*Table2[[#This Row],[J67'']]-G$9)^2</f>
        <v>4.4095117979251308E-2</v>
      </c>
      <c r="S19">
        <f>chloroform!J24</f>
        <v>3.3659406365728149E-3</v>
      </c>
      <c r="T19" t="str">
        <f>chloroform!F24</f>
        <v>12C5</v>
      </c>
    </row>
    <row r="20" spans="11:20" x14ac:dyDescent="0.25">
      <c r="K20">
        <f>chloroform!E25</f>
        <v>44</v>
      </c>
      <c r="L20">
        <f>Table3[[#This Row],[weight]]*(0.9155*Table2[[#This Row],[J1,2]]-A$9)^2</f>
        <v>1.2086872243507662E-2</v>
      </c>
      <c r="M20">
        <f>Table3[[#This Row],[weight]]*(0.9155*Table2[[#This Row],[J2,3]]-B$9)^2</f>
        <v>2.6556407592945455</v>
      </c>
      <c r="N20">
        <f>Table3[[#This Row],[weight]]*(0.9155*Table2[[#This Row],[J34]]-C$9)^2</f>
        <v>1.3137960352117659E-3</v>
      </c>
      <c r="O20">
        <f>Table3[[#This Row],[weight]]*(0.9155*Table2[[#This Row],[J45]]-D$9)^2</f>
        <v>5.6196937515692262</v>
      </c>
      <c r="P20">
        <f>Table3[[#This Row],[weight]]*(0.9155*Table2[[#This Row],[J56]]-E$9)^2</f>
        <v>8.6112292293805019</v>
      </c>
      <c r="Q20">
        <f>Table3[[#This Row],[weight]]*(0.9155*Table2[[#This Row],[J67]]-F$9)^2</f>
        <v>2.0950961575157581</v>
      </c>
      <c r="R20">
        <f>Table3[[#This Row],[weight]]*(0.9155*Table2[[#This Row],[J67'']]-G$9)^2</f>
        <v>2.1022232290857756</v>
      </c>
      <c r="S20">
        <f>chloroform!J25</f>
        <v>7.4598169292350663E-2</v>
      </c>
      <c r="T20" t="str">
        <f>chloroform!F25</f>
        <v>4H6</v>
      </c>
    </row>
    <row r="21" spans="11:20" x14ac:dyDescent="0.25">
      <c r="K21">
        <f>chloroform!E26</f>
        <v>47</v>
      </c>
      <c r="L21">
        <f>Table3[[#This Row],[weight]]*(0.9155*Table2[[#This Row],[J1,2]]-A$9)^2</f>
        <v>0</v>
      </c>
      <c r="M21">
        <f>Table3[[#This Row],[weight]]*(0.9155*Table2[[#This Row],[J2,3]]-B$9)^2</f>
        <v>0</v>
      </c>
      <c r="N21">
        <f>Table3[[#This Row],[weight]]*(0.9155*Table2[[#This Row],[J34]]-C$9)^2</f>
        <v>0</v>
      </c>
      <c r="O21">
        <f>Table3[[#This Row],[weight]]*(0.9155*Table2[[#This Row],[J45]]-D$9)^2</f>
        <v>0</v>
      </c>
      <c r="P21">
        <f>Table3[[#This Row],[weight]]*(0.9155*Table2[[#This Row],[J56]]-E$9)^2</f>
        <v>0</v>
      </c>
      <c r="Q21">
        <f>Table3[[#This Row],[weight]]*(0.9155*Table2[[#This Row],[J67]]-F$9)^2</f>
        <v>0</v>
      </c>
      <c r="R21">
        <f>Table3[[#This Row],[weight]]*(0.9155*Table2[[#This Row],[J67'']]-G$9)^2</f>
        <v>0</v>
      </c>
      <c r="S21">
        <f>chloroform!J26</f>
        <v>0</v>
      </c>
      <c r="T21" t="str">
        <f>chloroform!F26</f>
        <v>6H4</v>
      </c>
    </row>
    <row r="22" spans="11:20" x14ac:dyDescent="0.25">
      <c r="K22">
        <f>chloroform!E27</f>
        <v>51</v>
      </c>
      <c r="L22">
        <f>Table3[[#This Row],[weight]]*(0.9155*Table2[[#This Row],[J1,2]]-A$9)^2</f>
        <v>0</v>
      </c>
      <c r="M22">
        <f>Table3[[#This Row],[weight]]*(0.9155*Table2[[#This Row],[J2,3]]-B$9)^2</f>
        <v>0</v>
      </c>
      <c r="N22">
        <f>Table3[[#This Row],[weight]]*(0.9155*Table2[[#This Row],[J34]]-C$9)^2</f>
        <v>0</v>
      </c>
      <c r="O22">
        <f>Table3[[#This Row],[weight]]*(0.9155*Table2[[#This Row],[J45]]-D$9)^2</f>
        <v>0</v>
      </c>
      <c r="P22">
        <f>Table3[[#This Row],[weight]]*(0.9155*Table2[[#This Row],[J56]]-E$9)^2</f>
        <v>0</v>
      </c>
      <c r="Q22">
        <f>Table3[[#This Row],[weight]]*(0.9155*Table2[[#This Row],[J67]]-F$9)^2</f>
        <v>0</v>
      </c>
      <c r="R22">
        <f>Table3[[#This Row],[weight]]*(0.9155*Table2[[#This Row],[J67'']]-G$9)^2</f>
        <v>0</v>
      </c>
      <c r="S22">
        <f>chloroform!J27</f>
        <v>0</v>
      </c>
      <c r="T22" t="str">
        <f>chloroform!F27</f>
        <v>45E</v>
      </c>
    </row>
    <row r="23" spans="11:20" x14ac:dyDescent="0.25">
      <c r="K23">
        <f>chloroform!E28</f>
        <v>52</v>
      </c>
      <c r="L23">
        <f>Table3[[#This Row],[weight]]*(0.9155*Table2[[#This Row],[J1,2]]-A$9)^2</f>
        <v>1.896353760608076E-3</v>
      </c>
      <c r="M23">
        <f>Table3[[#This Row],[weight]]*(0.9155*Table2[[#This Row],[J2,3]]-B$9)^2</f>
        <v>2.2243725069031233</v>
      </c>
      <c r="N23">
        <f>Table3[[#This Row],[weight]]*(0.9155*Table2[[#This Row],[J34]]-C$9)^2</f>
        <v>8.1012502368982466E-3</v>
      </c>
      <c r="O23">
        <f>Table3[[#This Row],[weight]]*(0.9155*Table2[[#This Row],[J45]]-D$9)^2</f>
        <v>3.6993144002660889</v>
      </c>
      <c r="P23">
        <f>Table3[[#This Row],[weight]]*(0.9155*Table2[[#This Row],[J56]]-E$9)^2</f>
        <v>6.5010074775633777</v>
      </c>
      <c r="Q23">
        <f>Table3[[#This Row],[weight]]*(0.9155*Table2[[#This Row],[J67]]-F$9)^2</f>
        <v>0.86912835946457379</v>
      </c>
      <c r="R23">
        <f>Table3[[#This Row],[weight]]*(0.9155*Table2[[#This Row],[J67'']]-G$9)^2</f>
        <v>3.3628696592416616</v>
      </c>
      <c r="S23">
        <f>chloroform!J28</f>
        <v>6.2888274405505803E-2</v>
      </c>
      <c r="T23" t="str">
        <f>chloroform!F28</f>
        <v>4H6</v>
      </c>
    </row>
    <row r="24" spans="11:20" x14ac:dyDescent="0.25">
      <c r="K24">
        <f>chloroform!E29</f>
        <v>54</v>
      </c>
      <c r="L24">
        <f>Table3[[#This Row],[weight]]*(0.9155*Table2[[#This Row],[J1,2]]-A$9)^2</f>
        <v>3.3244594875917505E-3</v>
      </c>
      <c r="M24">
        <f>Table3[[#This Row],[weight]]*(0.9155*Table2[[#This Row],[J2,3]]-B$9)^2</f>
        <v>3.8863077086734155</v>
      </c>
      <c r="N24">
        <f>Table3[[#This Row],[weight]]*(0.9155*Table2[[#This Row],[J34]]-C$9)^2</f>
        <v>1.8055751080139348E-2</v>
      </c>
      <c r="O24">
        <f>Table3[[#This Row],[weight]]*(0.9155*Table2[[#This Row],[J45]]-D$9)^2</f>
        <v>6.1354944269871945</v>
      </c>
      <c r="P24">
        <f>Table3[[#This Row],[weight]]*(0.9155*Table2[[#This Row],[J56]]-E$9)^2</f>
        <v>12.317736896694447</v>
      </c>
      <c r="Q24">
        <f>Table3[[#This Row],[weight]]*(0.9155*Table2[[#This Row],[J67]]-F$9)^2</f>
        <v>2.6792168826431118</v>
      </c>
      <c r="R24">
        <f>Table3[[#This Row],[weight]]*(0.9155*Table2[[#This Row],[J67'']]-G$9)^2</f>
        <v>0.20943025037217297</v>
      </c>
      <c r="S24">
        <f>chloroform!J29</f>
        <v>0.11024816405490606</v>
      </c>
      <c r="T24" t="str">
        <f>chloroform!F29</f>
        <v>4H6</v>
      </c>
    </row>
    <row r="25" spans="11:20" x14ac:dyDescent="0.25">
      <c r="K25">
        <f>chloroform!E30</f>
        <v>55</v>
      </c>
      <c r="L25">
        <f>Table3[[#This Row],[weight]]*(0.9155*Table2[[#This Row],[J1,2]]-A$9)^2</f>
        <v>5.4980964508373755E-5</v>
      </c>
      <c r="M25">
        <f>Table3[[#This Row],[weight]]*(0.9155*Table2[[#This Row],[J2,3]]-B$9)^2</f>
        <v>3.7535936559190575E-2</v>
      </c>
      <c r="N25">
        <f>Table3[[#This Row],[weight]]*(0.9155*Table2[[#This Row],[J34]]-C$9)^2</f>
        <v>2.3135023448995438E-4</v>
      </c>
      <c r="O25">
        <f>Table3[[#This Row],[weight]]*(0.9155*Table2[[#This Row],[J45]]-D$9)^2</f>
        <v>3.3393904305960211E-2</v>
      </c>
      <c r="P25">
        <f>Table3[[#This Row],[weight]]*(0.9155*Table2[[#This Row],[J56]]-E$9)^2</f>
        <v>3.3935387729689269E-3</v>
      </c>
      <c r="Q25">
        <f>Table3[[#This Row],[weight]]*(0.9155*Table2[[#This Row],[J67]]-F$9)^2</f>
        <v>4.2486715115007984E-2</v>
      </c>
      <c r="R25">
        <f>Table3[[#This Row],[weight]]*(0.9155*Table2[[#This Row],[J67'']]-G$9)^2</f>
        <v>1.5980030922964607E-2</v>
      </c>
      <c r="S25">
        <f>chloroform!J30</f>
        <v>1.5357057864394787E-3</v>
      </c>
      <c r="T25" t="str">
        <f>chloroform!F30</f>
        <v>12C5</v>
      </c>
    </row>
    <row r="26" spans="11:20" x14ac:dyDescent="0.25">
      <c r="K26">
        <f>chloroform!E31</f>
        <v>57</v>
      </c>
      <c r="L26">
        <f>Table3[[#This Row],[weight]]*(0.9155*Table2[[#This Row],[J1,2]]-A$9)^2</f>
        <v>3.3166119517069073E-5</v>
      </c>
      <c r="M26">
        <f>Table3[[#This Row],[weight]]*(0.9155*Table2[[#This Row],[J2,3]]-B$9)^2</f>
        <v>6.8247533709568349E-3</v>
      </c>
      <c r="N26">
        <f>Table3[[#This Row],[weight]]*(0.9155*Table2[[#This Row],[J34]]-C$9)^2</f>
        <v>1.0022307001528817E-4</v>
      </c>
      <c r="O26">
        <f>Table3[[#This Row],[weight]]*(0.9155*Table2[[#This Row],[J45]]-D$9)^2</f>
        <v>1.5305574038571633E-2</v>
      </c>
      <c r="P26">
        <f>Table3[[#This Row],[weight]]*(0.9155*Table2[[#This Row],[J56]]-E$9)^2</f>
        <v>2.0199238530670963E-2</v>
      </c>
      <c r="Q26">
        <f>Table3[[#This Row],[weight]]*(0.9155*Table2[[#This Row],[J67]]-F$9)^2</f>
        <v>1.8603161967385485E-3</v>
      </c>
      <c r="R26">
        <f>Table3[[#This Row],[weight]]*(0.9155*Table2[[#This Row],[J67'']]-G$9)^2</f>
        <v>9.1551318052426126E-3</v>
      </c>
      <c r="S26">
        <f>chloroform!J31</f>
        <v>1.9656618624770586E-4</v>
      </c>
      <c r="T26" t="str">
        <f>chloroform!F31</f>
        <v>4H6</v>
      </c>
    </row>
    <row r="27" spans="11:20" x14ac:dyDescent="0.25">
      <c r="K27">
        <f>chloroform!E32</f>
        <v>58</v>
      </c>
      <c r="L27">
        <f>Table3[[#This Row],[weight]]*(0.9155*Table2[[#This Row],[J1,2]]-A$9)^2</f>
        <v>2.1789498222002497E-5</v>
      </c>
      <c r="M27">
        <f>Table3[[#This Row],[weight]]*(0.9155*Table2[[#This Row],[J2,3]]-B$9)^2</f>
        <v>8.7122074108047561E-3</v>
      </c>
      <c r="N27">
        <f>Table3[[#This Row],[weight]]*(0.9155*Table2[[#This Row],[J34]]-C$9)^2</f>
        <v>2.0257012895532779E-4</v>
      </c>
      <c r="O27">
        <f>Table3[[#This Row],[weight]]*(0.9155*Table2[[#This Row],[J45]]-D$9)^2</f>
        <v>1.958327312845707E-2</v>
      </c>
      <c r="P27">
        <f>Table3[[#This Row],[weight]]*(0.9155*Table2[[#This Row],[J56]]-E$9)^2</f>
        <v>2.8852916708228767E-2</v>
      </c>
      <c r="Q27">
        <f>Table3[[#This Row],[weight]]*(0.9155*Table2[[#This Row],[J67]]-F$9)^2</f>
        <v>5.9399368978710733E-3</v>
      </c>
      <c r="R27">
        <f>Table3[[#This Row],[weight]]*(0.9155*Table2[[#This Row],[J67'']]-G$9)^2</f>
        <v>6.2184455434445747E-4</v>
      </c>
      <c r="S27">
        <f>chloroform!J32</f>
        <v>2.4661833307946558E-4</v>
      </c>
      <c r="T27" t="str">
        <f>chloroform!F32</f>
        <v>4H6</v>
      </c>
    </row>
    <row r="28" spans="11:20" x14ac:dyDescent="0.25">
      <c r="K28">
        <f>chloroform!E33</f>
        <v>60</v>
      </c>
      <c r="L28">
        <f>Table3[[#This Row],[weight]]*(0.9155*Table2[[#This Row],[J1,2]]-A$9)^2</f>
        <v>3.6613400000163747E-4</v>
      </c>
      <c r="M28">
        <f>Table3[[#This Row],[weight]]*(0.9155*Table2[[#This Row],[J2,3]]-B$9)^2</f>
        <v>9.1054047308011574E-2</v>
      </c>
      <c r="N28">
        <f>Table3[[#This Row],[weight]]*(0.9155*Table2[[#This Row],[J34]]-C$9)^2</f>
        <v>1.8479324957212107E-4</v>
      </c>
      <c r="O28">
        <f>Table3[[#This Row],[weight]]*(0.9155*Table2[[#This Row],[J45]]-D$9)^2</f>
        <v>9.7042365397780828E-2</v>
      </c>
      <c r="P28">
        <f>Table3[[#This Row],[weight]]*(0.9155*Table2[[#This Row],[J56]]-E$9)^2</f>
        <v>8.1731430876542197E-3</v>
      </c>
      <c r="Q28">
        <f>Table3[[#This Row],[weight]]*(0.9155*Table2[[#This Row],[J67]]-F$9)^2</f>
        <v>7.6121416544255111E-2</v>
      </c>
      <c r="R28">
        <f>Table3[[#This Row],[weight]]*(0.9155*Table2[[#This Row],[J67'']]-G$9)^2</f>
        <v>2.7714318584948758E-2</v>
      </c>
      <c r="S28">
        <f>chloroform!J33</f>
        <v>4.5952987890748717E-3</v>
      </c>
      <c r="T28" t="str">
        <f>chloroform!F33</f>
        <v>12C5</v>
      </c>
    </row>
    <row r="29" spans="11:20" x14ac:dyDescent="0.25">
      <c r="K29">
        <f>chloroform!E34</f>
        <v>65</v>
      </c>
      <c r="L29">
        <f>Table3[[#This Row],[weight]]*(0.9155*Table2[[#This Row],[J1,2]]-A$9)^2</f>
        <v>1.7818607314027726E-5</v>
      </c>
      <c r="M29">
        <f>Table3[[#This Row],[weight]]*(0.9155*Table2[[#This Row],[J2,3]]-B$9)^2</f>
        <v>0.2346416404116522</v>
      </c>
      <c r="N29">
        <f>Table3[[#This Row],[weight]]*(0.9155*Table2[[#This Row],[J34]]-C$9)^2</f>
        <v>1.8874825606050223E-3</v>
      </c>
      <c r="O29">
        <f>Table3[[#This Row],[weight]]*(0.9155*Table2[[#This Row],[J45]]-D$9)^2</f>
        <v>0.30325537516391843</v>
      </c>
      <c r="P29">
        <f>Table3[[#This Row],[weight]]*(0.9155*Table2[[#This Row],[J56]]-E$9)^2</f>
        <v>0.5344533501156048</v>
      </c>
      <c r="Q29">
        <f>Table3[[#This Row],[weight]]*(0.9155*Table2[[#This Row],[J67]]-F$9)^2</f>
        <v>0.11859466518241159</v>
      </c>
      <c r="R29">
        <f>Table3[[#This Row],[weight]]*(0.9155*Table2[[#This Row],[J67'']]-G$9)^2</f>
        <v>8.6064365439271179E-2</v>
      </c>
      <c r="S29">
        <f>chloroform!J34</f>
        <v>6.8579294735968367E-3</v>
      </c>
      <c r="T29" t="str">
        <f>chloroform!F34</f>
        <v>4H6</v>
      </c>
    </row>
    <row r="30" spans="11:20" x14ac:dyDescent="0.25">
      <c r="K30">
        <f>chloroform!E35</f>
        <v>69</v>
      </c>
      <c r="L30">
        <f>Table3[[#This Row],[weight]]*(0.9155*Table2[[#This Row],[J1,2]]-A$9)^2</f>
        <v>5.3328638337296443E-10</v>
      </c>
      <c r="M30">
        <f>Table3[[#This Row],[weight]]*(0.9155*Table2[[#This Row],[J2,3]]-B$9)^2</f>
        <v>1.1918556675443146E-6</v>
      </c>
      <c r="N30">
        <f>Table3[[#This Row],[weight]]*(0.9155*Table2[[#This Row],[J34]]-C$9)^2</f>
        <v>8.9328954564502974E-7</v>
      </c>
      <c r="O30">
        <f>Table3[[#This Row],[weight]]*(0.9155*Table2[[#This Row],[J45]]-D$9)^2</f>
        <v>1.1480137495928933E-4</v>
      </c>
      <c r="P30">
        <f>Table3[[#This Row],[weight]]*(0.9155*Table2[[#This Row],[J56]]-E$9)^2</f>
        <v>9.1467383854765949E-5</v>
      </c>
      <c r="Q30">
        <f>Table3[[#This Row],[weight]]*(0.9155*Table2[[#This Row],[J67]]-F$9)^2</f>
        <v>6.4742745029749396E-4</v>
      </c>
      <c r="R30">
        <f>Table3[[#This Row],[weight]]*(0.9155*Table2[[#This Row],[J67'']]-G$9)^2</f>
        <v>1.4163549777884952E-3</v>
      </c>
      <c r="S30">
        <f>chloroform!J35</f>
        <v>1.1798925063709552E-4</v>
      </c>
      <c r="T30" t="str">
        <f>chloroform!F35</f>
        <v>6H4</v>
      </c>
    </row>
    <row r="31" spans="11:20" x14ac:dyDescent="0.25">
      <c r="K31">
        <f>chloroform!E36</f>
        <v>70</v>
      </c>
      <c r="L31">
        <f>Table3[[#This Row],[weight]]*(0.9155*Table2[[#This Row],[J1,2]]-A$9)^2</f>
        <v>1.2203717416469804E-2</v>
      </c>
      <c r="M31">
        <f>Table3[[#This Row],[weight]]*(0.9155*Table2[[#This Row],[J2,3]]-B$9)^2</f>
        <v>2.6342410863090229</v>
      </c>
      <c r="N31">
        <f>Table3[[#This Row],[weight]]*(0.9155*Table2[[#This Row],[J34]]-C$9)^2</f>
        <v>1.1746099461561672E-3</v>
      </c>
      <c r="O31">
        <f>Table3[[#This Row],[weight]]*(0.9155*Table2[[#This Row],[J45]]-D$9)^2</f>
        <v>5.5647059717764096</v>
      </c>
      <c r="P31">
        <f>Table3[[#This Row],[weight]]*(0.9155*Table2[[#This Row],[J56]]-E$9)^2</f>
        <v>8.4942578568768479</v>
      </c>
      <c r="Q31">
        <f>Table3[[#This Row],[weight]]*(0.9155*Table2[[#This Row],[J67]]-F$9)^2</f>
        <v>2.0537811470441665</v>
      </c>
      <c r="R31">
        <f>Table3[[#This Row],[weight]]*(0.9155*Table2[[#This Row],[J67'']]-G$9)^2</f>
        <v>2.1059722314152745</v>
      </c>
      <c r="S31">
        <f>chloroform!J36</f>
        <v>7.3635045548761172E-2</v>
      </c>
      <c r="T31" t="str">
        <f>chloroform!F36</f>
        <v>4H6</v>
      </c>
    </row>
    <row r="32" spans="11:20" x14ac:dyDescent="0.25">
      <c r="K32">
        <f>chloroform!E37</f>
        <v>86</v>
      </c>
      <c r="L32">
        <f>Table3[[#This Row],[weight]]*(0.9155*Table2[[#This Row],[J1,2]]-A$9)^2</f>
        <v>5.7497748437785358E-6</v>
      </c>
      <c r="M32">
        <f>Table3[[#This Row],[weight]]*(0.9155*Table2[[#This Row],[J2,3]]-B$9)^2</f>
        <v>6.425704319646966E-3</v>
      </c>
      <c r="N32">
        <f>Table3[[#This Row],[weight]]*(0.9155*Table2[[#This Row],[J34]]-C$9)^2</f>
        <v>1.3330918637182283E-4</v>
      </c>
      <c r="O32">
        <f>Table3[[#This Row],[weight]]*(0.9155*Table2[[#This Row],[J45]]-D$9)^2</f>
        <v>2.4408156956574485E-4</v>
      </c>
      <c r="P32">
        <f>Table3[[#This Row],[weight]]*(0.9155*Table2[[#This Row],[J56]]-E$9)^2</f>
        <v>5.018894940796978E-2</v>
      </c>
      <c r="Q32">
        <f>Table3[[#This Row],[weight]]*(0.9155*Table2[[#This Row],[J67]]-F$9)^2</f>
        <v>1.3757020951467877E-2</v>
      </c>
      <c r="R32">
        <f>Table3[[#This Row],[weight]]*(0.9155*Table2[[#This Row],[J67'']]-G$9)^2</f>
        <v>3.0565125785126768E-2</v>
      </c>
      <c r="S32">
        <f>chloroform!J37</f>
        <v>6.9045805775509283E-4</v>
      </c>
      <c r="T32" t="str">
        <f>chloroform!F37</f>
        <v>56E</v>
      </c>
    </row>
    <row r="33" spans="11:20" x14ac:dyDescent="0.25">
      <c r="K33">
        <f>chloroform!E38</f>
        <v>89</v>
      </c>
      <c r="L33">
        <f>Table3[[#This Row],[weight]]*(0.9155*Table2[[#This Row],[J1,2]]-A$9)^2</f>
        <v>0</v>
      </c>
      <c r="M33">
        <f>Table3[[#This Row],[weight]]*(0.9155*Table2[[#This Row],[J2,3]]-B$9)^2</f>
        <v>0</v>
      </c>
      <c r="N33">
        <f>Table3[[#This Row],[weight]]*(0.9155*Table2[[#This Row],[J34]]-C$9)^2</f>
        <v>0</v>
      </c>
      <c r="O33">
        <f>Table3[[#This Row],[weight]]*(0.9155*Table2[[#This Row],[J45]]-D$9)^2</f>
        <v>0</v>
      </c>
      <c r="P33">
        <f>Table3[[#This Row],[weight]]*(0.9155*Table2[[#This Row],[J56]]-E$9)^2</f>
        <v>0</v>
      </c>
      <c r="Q33">
        <f>Table3[[#This Row],[weight]]*(0.9155*Table2[[#This Row],[J67]]-F$9)^2</f>
        <v>0</v>
      </c>
      <c r="R33">
        <f>Table3[[#This Row],[weight]]*(0.9155*Table2[[#This Row],[J67'']]-G$9)^2</f>
        <v>0</v>
      </c>
      <c r="S33">
        <f>chloroform!J38</f>
        <v>0</v>
      </c>
      <c r="T33" t="str">
        <f>chloroform!F38</f>
        <v>4H6</v>
      </c>
    </row>
    <row r="34" spans="11:20" x14ac:dyDescent="0.25">
      <c r="K34">
        <f>chloroform!E39</f>
        <v>90</v>
      </c>
      <c r="L34">
        <f>Table3[[#This Row],[weight]]*(0.9155*Table2[[#This Row],[J1,2]]-A$9)^2</f>
        <v>0</v>
      </c>
      <c r="M34">
        <f>Table3[[#This Row],[weight]]*(0.9155*Table2[[#This Row],[J2,3]]-B$9)^2</f>
        <v>0</v>
      </c>
      <c r="N34">
        <f>Table3[[#This Row],[weight]]*(0.9155*Table2[[#This Row],[J34]]-C$9)^2</f>
        <v>0</v>
      </c>
      <c r="O34">
        <f>Table3[[#This Row],[weight]]*(0.9155*Table2[[#This Row],[J45]]-D$9)^2</f>
        <v>0</v>
      </c>
      <c r="P34">
        <f>Table3[[#This Row],[weight]]*(0.9155*Table2[[#This Row],[J56]]-E$9)^2</f>
        <v>0</v>
      </c>
      <c r="Q34">
        <f>Table3[[#This Row],[weight]]*(0.9155*Table2[[#This Row],[J67]]-F$9)^2</f>
        <v>0</v>
      </c>
      <c r="R34">
        <f>Table3[[#This Row],[weight]]*(0.9155*Table2[[#This Row],[J67'']]-G$9)^2</f>
        <v>0</v>
      </c>
      <c r="S34">
        <f>chloroform!J39</f>
        <v>0</v>
      </c>
      <c r="T34" t="str">
        <f>chloroform!F39</f>
        <v>4H6</v>
      </c>
    </row>
    <row r="35" spans="11:20" x14ac:dyDescent="0.25">
      <c r="K35">
        <f>chloroform!E40</f>
        <v>92</v>
      </c>
      <c r="L35">
        <f>Table3[[#This Row],[weight]]*(0.9155*Table2[[#This Row],[J1,2]]-A$9)^2</f>
        <v>1.1991794676335413E-2</v>
      </c>
      <c r="M35">
        <f>Table3[[#This Row],[weight]]*(0.9155*Table2[[#This Row],[J2,3]]-B$9)^2</f>
        <v>0.20302013903126814</v>
      </c>
      <c r="N35">
        <f>Table3[[#This Row],[weight]]*(0.9155*Table2[[#This Row],[J34]]-C$9)^2</f>
        <v>0.15770849032174306</v>
      </c>
      <c r="O35">
        <f>Table3[[#This Row],[weight]]*(0.9155*Table2[[#This Row],[J45]]-D$9)^2</f>
        <v>0.30743152409199431</v>
      </c>
      <c r="P35">
        <f>Table3[[#This Row],[weight]]*(0.9155*Table2[[#This Row],[J56]]-E$9)^2</f>
        <v>18.84284871465351</v>
      </c>
      <c r="Q35">
        <f>Table3[[#This Row],[weight]]*(0.9155*Table2[[#This Row],[J67]]-F$9)^2</f>
        <v>4.9398195982633952</v>
      </c>
      <c r="R35">
        <f>Table3[[#This Row],[weight]]*(0.9155*Table2[[#This Row],[J67'']]-G$9)^2</f>
        <v>9.0074835040408274</v>
      </c>
      <c r="S35">
        <f>chloroform!J40</f>
        <v>0.22233231020865696</v>
      </c>
      <c r="T35" t="str">
        <f>chloroform!F40</f>
        <v>5C12</v>
      </c>
    </row>
    <row r="36" spans="11:20" x14ac:dyDescent="0.25">
      <c r="K36">
        <f>chloroform!E41</f>
        <v>93</v>
      </c>
      <c r="L36">
        <f>Table3[[#This Row],[weight]]*(0.9155*Table2[[#This Row],[J1,2]]-A$9)^2</f>
        <v>5.3017822194360112E-5</v>
      </c>
      <c r="M36">
        <f>Table3[[#This Row],[weight]]*(0.9155*Table2[[#This Row],[J2,3]]-B$9)^2</f>
        <v>2.1196528363262013E-2</v>
      </c>
      <c r="N36">
        <f>Table3[[#This Row],[weight]]*(0.9155*Table2[[#This Row],[J34]]-C$9)^2</f>
        <v>2.663413386903773E-4</v>
      </c>
      <c r="O36">
        <f>Table3[[#This Row],[weight]]*(0.9155*Table2[[#This Row],[J45]]-D$9)^2</f>
        <v>1.7359058654201245E-2</v>
      </c>
      <c r="P36">
        <f>Table3[[#This Row],[weight]]*(0.9155*Table2[[#This Row],[J56]]-E$9)^2</f>
        <v>2.6479873026026709E-3</v>
      </c>
      <c r="Q36">
        <f>Table3[[#This Row],[weight]]*(0.9155*Table2[[#This Row],[J67]]-F$9)^2</f>
        <v>2.4144723805469486E-2</v>
      </c>
      <c r="R36">
        <f>Table3[[#This Row],[weight]]*(0.9155*Table2[[#This Row],[J67'']]-G$9)^2</f>
        <v>5.5979119076261024E-3</v>
      </c>
      <c r="S36">
        <f>chloroform!J41</f>
        <v>8.8283694021660543E-4</v>
      </c>
      <c r="T36" t="str">
        <f>chloroform!F41</f>
        <v>12C5</v>
      </c>
    </row>
    <row r="37" spans="11:20" x14ac:dyDescent="0.25">
      <c r="K37">
        <f>chloroform!E42</f>
        <v>95</v>
      </c>
      <c r="L37">
        <f>Table3[[#This Row],[weight]]*(0.9155*Table2[[#This Row],[J1,2]]-A$9)^2</f>
        <v>1.1003530143489959E-7</v>
      </c>
      <c r="M37">
        <f>Table3[[#This Row],[weight]]*(0.9155*Table2[[#This Row],[J2,3]]-B$9)^2</f>
        <v>1.2234785322969338E-6</v>
      </c>
      <c r="N37">
        <f>Table3[[#This Row],[weight]]*(0.9155*Table2[[#This Row],[J34]]-C$9)^2</f>
        <v>5.650340499980577E-7</v>
      </c>
      <c r="O37">
        <f>Table3[[#This Row],[weight]]*(0.9155*Table2[[#This Row],[J45]]-D$9)^2</f>
        <v>9.8243834228074588E-5</v>
      </c>
      <c r="P37">
        <f>Table3[[#This Row],[weight]]*(0.9155*Table2[[#This Row],[J56]]-E$9)^2</f>
        <v>7.3472004989674978E-5</v>
      </c>
      <c r="Q37">
        <f>Table3[[#This Row],[weight]]*(0.9155*Table2[[#This Row],[J67]]-F$9)^2</f>
        <v>8.7159170547923624E-4</v>
      </c>
      <c r="R37">
        <f>Table3[[#This Row],[weight]]*(0.9155*Table2[[#This Row],[J67'']]-G$9)^2</f>
        <v>1.8014151110368715E-3</v>
      </c>
      <c r="S37">
        <f>chloroform!J42</f>
        <v>1.0522518811154306E-4</v>
      </c>
      <c r="T37" t="str">
        <f>chloroform!F42</f>
        <v>6H4</v>
      </c>
    </row>
    <row r="38" spans="11:20" x14ac:dyDescent="0.25">
      <c r="K38">
        <f>chloroform!E43</f>
        <v>100</v>
      </c>
      <c r="L38">
        <f>Table3[[#This Row],[weight]]*(0.9155*Table2[[#This Row],[J1,2]]-A$9)^2</f>
        <v>1.3846358501233939E-3</v>
      </c>
      <c r="M38">
        <f>Table3[[#This Row],[weight]]*(0.9155*Table2[[#This Row],[J2,3]]-B$9)^2</f>
        <v>3.0248919280965292E-2</v>
      </c>
      <c r="N38">
        <f>Table3[[#This Row],[weight]]*(0.9155*Table2[[#This Row],[J34]]-C$9)^2</f>
        <v>1.9886028880759968E-2</v>
      </c>
      <c r="O38">
        <f>Table3[[#This Row],[weight]]*(0.9155*Table2[[#This Row],[J45]]-D$9)^2</f>
        <v>3.4354396957592508E-2</v>
      </c>
      <c r="P38">
        <f>Table3[[#This Row],[weight]]*(0.9155*Table2[[#This Row],[J56]]-E$9)^2</f>
        <v>3.0113410271734988</v>
      </c>
      <c r="Q38">
        <f>Table3[[#This Row],[weight]]*(0.9155*Table2[[#This Row],[J67]]-F$9)^2</f>
        <v>0.53151894987578208</v>
      </c>
      <c r="R38">
        <f>Table3[[#This Row],[weight]]*(0.9155*Table2[[#This Row],[J67'']]-G$9)^2</f>
        <v>0.11415330443907364</v>
      </c>
      <c r="S38">
        <f>chloroform!J43</f>
        <v>3.4033164530765062E-2</v>
      </c>
      <c r="T38" t="str">
        <f>chloroform!F43</f>
        <v>5C12</v>
      </c>
    </row>
    <row r="39" spans="11:20" x14ac:dyDescent="0.25">
      <c r="K39">
        <f>chloroform!E44</f>
        <v>112</v>
      </c>
      <c r="L39">
        <f>Table3[[#This Row],[weight]]*(0.9155*Table2[[#This Row],[J1,2]]-A$9)^2</f>
        <v>0</v>
      </c>
      <c r="M39">
        <f>Table3[[#This Row],[weight]]*(0.9155*Table2[[#This Row],[J2,3]]-B$9)^2</f>
        <v>0</v>
      </c>
      <c r="N39">
        <f>Table3[[#This Row],[weight]]*(0.9155*Table2[[#This Row],[J34]]-C$9)^2</f>
        <v>0</v>
      </c>
      <c r="O39">
        <f>Table3[[#This Row],[weight]]*(0.9155*Table2[[#This Row],[J45]]-D$9)^2</f>
        <v>0</v>
      </c>
      <c r="P39">
        <f>Table3[[#This Row],[weight]]*(0.9155*Table2[[#This Row],[J56]]-E$9)^2</f>
        <v>0</v>
      </c>
      <c r="Q39">
        <f>Table3[[#This Row],[weight]]*(0.9155*Table2[[#This Row],[J67]]-F$9)^2</f>
        <v>0</v>
      </c>
      <c r="R39">
        <f>Table3[[#This Row],[weight]]*(0.9155*Table2[[#This Row],[J67'']]-G$9)^2</f>
        <v>0</v>
      </c>
      <c r="S39">
        <f>chloroform!J44</f>
        <v>0</v>
      </c>
      <c r="T39" t="str">
        <f>chloroform!F44</f>
        <v>4H6</v>
      </c>
    </row>
    <row r="40" spans="11:20" x14ac:dyDescent="0.25">
      <c r="K40">
        <f>chloroform!E45</f>
        <v>115</v>
      </c>
      <c r="L40">
        <f>Table3[[#This Row],[weight]]*(0.9155*Table2[[#This Row],[J1,2]]-A$9)^2</f>
        <v>0</v>
      </c>
      <c r="M40">
        <f>Table3[[#This Row],[weight]]*(0.9155*Table2[[#This Row],[J2,3]]-B$9)^2</f>
        <v>0</v>
      </c>
      <c r="N40">
        <f>Table3[[#This Row],[weight]]*(0.9155*Table2[[#This Row],[J34]]-C$9)^2</f>
        <v>0</v>
      </c>
      <c r="O40">
        <f>Table3[[#This Row],[weight]]*(0.9155*Table2[[#This Row],[J45]]-D$9)^2</f>
        <v>0</v>
      </c>
      <c r="P40">
        <f>Table3[[#This Row],[weight]]*(0.9155*Table2[[#This Row],[J56]]-E$9)^2</f>
        <v>0</v>
      </c>
      <c r="Q40">
        <f>Table3[[#This Row],[weight]]*(0.9155*Table2[[#This Row],[J67]]-F$9)^2</f>
        <v>0</v>
      </c>
      <c r="R40">
        <f>Table3[[#This Row],[weight]]*(0.9155*Table2[[#This Row],[J67'']]-G$9)^2</f>
        <v>0</v>
      </c>
      <c r="S40">
        <f>chloroform!J45</f>
        <v>0</v>
      </c>
      <c r="T40" t="str">
        <f>chloroform!F45</f>
        <v>12C5</v>
      </c>
    </row>
    <row r="41" spans="11:20" x14ac:dyDescent="0.25">
      <c r="K41">
        <f>chloroform!E46</f>
        <v>117</v>
      </c>
      <c r="L41">
        <f>Table3[[#This Row],[weight]]*(0.9155*Table2[[#This Row],[J1,2]]-A$9)^2</f>
        <v>0</v>
      </c>
      <c r="M41">
        <f>Table3[[#This Row],[weight]]*(0.9155*Table2[[#This Row],[J2,3]]-B$9)^2</f>
        <v>0</v>
      </c>
      <c r="N41">
        <f>Table3[[#This Row],[weight]]*(0.9155*Table2[[#This Row],[J34]]-C$9)^2</f>
        <v>0</v>
      </c>
      <c r="O41">
        <f>Table3[[#This Row],[weight]]*(0.9155*Table2[[#This Row],[J45]]-D$9)^2</f>
        <v>0</v>
      </c>
      <c r="P41">
        <f>Table3[[#This Row],[weight]]*(0.9155*Table2[[#This Row],[J56]]-E$9)^2</f>
        <v>0</v>
      </c>
      <c r="Q41">
        <f>Table3[[#This Row],[weight]]*(0.9155*Table2[[#This Row],[J67]]-F$9)^2</f>
        <v>0</v>
      </c>
      <c r="R41">
        <f>Table3[[#This Row],[weight]]*(0.9155*Table2[[#This Row],[J67'']]-G$9)^2</f>
        <v>0</v>
      </c>
      <c r="S41">
        <f>chloroform!J46</f>
        <v>0</v>
      </c>
      <c r="T41" t="str">
        <f>chloroform!F46</f>
        <v>12C5</v>
      </c>
    </row>
    <row r="42" spans="11:20" x14ac:dyDescent="0.25">
      <c r="K42">
        <f>chloroform!E47</f>
        <v>118</v>
      </c>
      <c r="L42">
        <f>Table3[[#This Row],[weight]]*(0.9155*Table2[[#This Row],[J1,2]]-A$9)^2</f>
        <v>3.1809492517472236E-4</v>
      </c>
      <c r="M42">
        <f>Table3[[#This Row],[weight]]*(0.9155*Table2[[#This Row],[J2,3]]-B$9)^2</f>
        <v>2.0128273290809296E-3</v>
      </c>
      <c r="N42">
        <f>Table3[[#This Row],[weight]]*(0.9155*Table2[[#This Row],[J34]]-C$9)^2</f>
        <v>2.2482775713488614E-3</v>
      </c>
      <c r="O42">
        <f>Table3[[#This Row],[weight]]*(0.9155*Table2[[#This Row],[J45]]-D$9)^2</f>
        <v>5.1592989405855778E-3</v>
      </c>
      <c r="P42">
        <f>Table3[[#This Row],[weight]]*(0.9155*Table2[[#This Row],[J56]]-E$9)^2</f>
        <v>0.15959817468656681</v>
      </c>
      <c r="Q42">
        <f>Table3[[#This Row],[weight]]*(0.9155*Table2[[#This Row],[J67]]-F$9)^2</f>
        <v>6.1064728471650585E-2</v>
      </c>
      <c r="R42">
        <f>Table3[[#This Row],[weight]]*(0.9155*Table2[[#This Row],[J67'']]-G$9)^2</f>
        <v>8.6023132982345638E-2</v>
      </c>
      <c r="S42">
        <f>chloroform!J47</f>
        <v>2.4613159009275582E-3</v>
      </c>
      <c r="T42" t="str">
        <f>chloroform!F47</f>
        <v>5C12</v>
      </c>
    </row>
    <row r="43" spans="11:20" x14ac:dyDescent="0.25">
      <c r="K43">
        <f>chloroform!E48</f>
        <v>120</v>
      </c>
      <c r="L43">
        <f>Table3[[#This Row],[weight]]*(0.9155*Table2[[#This Row],[J1,2]]-A$9)^2</f>
        <v>1.0170885027570511E-5</v>
      </c>
      <c r="M43">
        <f>Table3[[#This Row],[weight]]*(0.9155*Table2[[#This Row],[J2,3]]-B$9)^2</f>
        <v>0.26389485594867473</v>
      </c>
      <c r="N43">
        <f>Table3[[#This Row],[weight]]*(0.9155*Table2[[#This Row],[J34]]-C$9)^2</f>
        <v>1.9545903376878525E-3</v>
      </c>
      <c r="O43">
        <f>Table3[[#This Row],[weight]]*(0.9155*Table2[[#This Row],[J45]]-D$9)^2</f>
        <v>0.34404780364751841</v>
      </c>
      <c r="P43">
        <f>Table3[[#This Row],[weight]]*(0.9155*Table2[[#This Row],[J56]]-E$9)^2</f>
        <v>0.61348422484989573</v>
      </c>
      <c r="Q43">
        <f>Table3[[#This Row],[weight]]*(0.9155*Table2[[#This Row],[J67]]-F$9)^2</f>
        <v>0.14019170812061507</v>
      </c>
      <c r="R43">
        <f>Table3[[#This Row],[weight]]*(0.9155*Table2[[#This Row],[J67'']]-G$9)^2</f>
        <v>9.2726170819068698E-2</v>
      </c>
      <c r="S43">
        <f>chloroform!J48</f>
        <v>7.7080940221036127E-3</v>
      </c>
      <c r="T43" t="str">
        <f>chloroform!F48</f>
        <v>4H6</v>
      </c>
    </row>
    <row r="44" spans="11:20" x14ac:dyDescent="0.25">
      <c r="K44">
        <f>chloroform!E49</f>
        <v>122</v>
      </c>
      <c r="L44">
        <f>Table3[[#This Row],[weight]]*(0.9155*Table2[[#This Row],[J1,2]]-A$9)^2</f>
        <v>4.1665748338500048E-3</v>
      </c>
      <c r="M44">
        <f>Table3[[#This Row],[weight]]*(0.9155*Table2[[#This Row],[J2,3]]-B$9)^2</f>
        <v>2.0019850106718775E-2</v>
      </c>
      <c r="N44">
        <f>Table3[[#This Row],[weight]]*(0.9155*Table2[[#This Row],[J34]]-C$9)^2</f>
        <v>2.2157108264111606E-2</v>
      </c>
      <c r="O44">
        <f>Table3[[#This Row],[weight]]*(0.9155*Table2[[#This Row],[J45]]-D$9)^2</f>
        <v>4.6531678886660204E-2</v>
      </c>
      <c r="P44">
        <f>Table3[[#This Row],[weight]]*(0.9155*Table2[[#This Row],[J56]]-E$9)^2</f>
        <v>2.3267688552217001</v>
      </c>
      <c r="Q44">
        <f>Table3[[#This Row],[weight]]*(0.9155*Table2[[#This Row],[J67]]-F$9)^2</f>
        <v>0.57145886113516131</v>
      </c>
      <c r="R44">
        <f>Table3[[#This Row],[weight]]*(0.9155*Table2[[#This Row],[J67'']]-G$9)^2</f>
        <v>1.3144256986514817</v>
      </c>
      <c r="S44">
        <f>chloroform!J49</f>
        <v>2.9049460468950562E-2</v>
      </c>
      <c r="T44" t="str">
        <f>chloroform!F49</f>
        <v>5C12</v>
      </c>
    </row>
    <row r="45" spans="11:20" x14ac:dyDescent="0.25">
      <c r="K45">
        <f>chloroform!E50</f>
        <v>124</v>
      </c>
      <c r="L45">
        <f>Table3[[#This Row],[weight]]*(0.9155*Table2[[#This Row],[J1,2]]-A$9)^2</f>
        <v>0</v>
      </c>
      <c r="M45">
        <f>Table3[[#This Row],[weight]]*(0.9155*Table2[[#This Row],[J2,3]]-B$9)^2</f>
        <v>0</v>
      </c>
      <c r="N45">
        <f>Table3[[#This Row],[weight]]*(0.9155*Table2[[#This Row],[J34]]-C$9)^2</f>
        <v>0</v>
      </c>
      <c r="O45">
        <f>Table3[[#This Row],[weight]]*(0.9155*Table2[[#This Row],[J45]]-D$9)^2</f>
        <v>0</v>
      </c>
      <c r="P45">
        <f>Table3[[#This Row],[weight]]*(0.9155*Table2[[#This Row],[J56]]-E$9)^2</f>
        <v>0</v>
      </c>
      <c r="Q45">
        <f>Table3[[#This Row],[weight]]*(0.9155*Table2[[#This Row],[J67]]-F$9)^2</f>
        <v>0</v>
      </c>
      <c r="R45">
        <f>Table3[[#This Row],[weight]]*(0.9155*Table2[[#This Row],[J67'']]-G$9)^2</f>
        <v>0</v>
      </c>
      <c r="S45">
        <f>chloroform!J50</f>
        <v>0</v>
      </c>
      <c r="T45" t="str">
        <f>chloroform!F50</f>
        <v>12C5</v>
      </c>
    </row>
    <row r="46" spans="11:20" x14ac:dyDescent="0.25">
      <c r="K46">
        <f>chloroform!E51</f>
        <v>125</v>
      </c>
      <c r="L46">
        <f>Table3[[#This Row],[weight]]*(0.9155*Table2[[#This Row],[J1,2]]-A$9)^2</f>
        <v>0</v>
      </c>
      <c r="M46">
        <f>Table3[[#This Row],[weight]]*(0.9155*Table2[[#This Row],[J2,3]]-B$9)^2</f>
        <v>0</v>
      </c>
      <c r="N46">
        <f>Table3[[#This Row],[weight]]*(0.9155*Table2[[#This Row],[J34]]-C$9)^2</f>
        <v>0</v>
      </c>
      <c r="O46">
        <f>Table3[[#This Row],[weight]]*(0.9155*Table2[[#This Row],[J45]]-D$9)^2</f>
        <v>0</v>
      </c>
      <c r="P46">
        <f>Table3[[#This Row],[weight]]*(0.9155*Table2[[#This Row],[J56]]-E$9)^2</f>
        <v>0</v>
      </c>
      <c r="Q46">
        <f>Table3[[#This Row],[weight]]*(0.9155*Table2[[#This Row],[J67]]-F$9)^2</f>
        <v>0</v>
      </c>
      <c r="R46">
        <f>Table3[[#This Row],[weight]]*(0.9155*Table2[[#This Row],[J67'']]-G$9)^2</f>
        <v>0</v>
      </c>
      <c r="S46">
        <f>chloroform!J51</f>
        <v>0</v>
      </c>
      <c r="T46" t="str">
        <f>chloroform!F51</f>
        <v>12C5</v>
      </c>
    </row>
    <row r="47" spans="11:20" x14ac:dyDescent="0.25">
      <c r="K47">
        <f>chloroform!E52</f>
        <v>126</v>
      </c>
      <c r="L47">
        <f>Table3[[#This Row],[weight]]*(0.9155*Table2[[#This Row],[J1,2]]-A$9)^2</f>
        <v>0</v>
      </c>
      <c r="M47">
        <f>Table3[[#This Row],[weight]]*(0.9155*Table2[[#This Row],[J2,3]]-B$9)^2</f>
        <v>0</v>
      </c>
      <c r="N47">
        <f>Table3[[#This Row],[weight]]*(0.9155*Table2[[#This Row],[J34]]-C$9)^2</f>
        <v>0</v>
      </c>
      <c r="O47">
        <f>Table3[[#This Row],[weight]]*(0.9155*Table2[[#This Row],[J45]]-D$9)^2</f>
        <v>0</v>
      </c>
      <c r="P47">
        <f>Table3[[#This Row],[weight]]*(0.9155*Table2[[#This Row],[J56]]-E$9)^2</f>
        <v>0</v>
      </c>
      <c r="Q47">
        <f>Table3[[#This Row],[weight]]*(0.9155*Table2[[#This Row],[J67]]-F$9)^2</f>
        <v>0</v>
      </c>
      <c r="R47">
        <f>Table3[[#This Row],[weight]]*(0.9155*Table2[[#This Row],[J67'']]-G$9)^2</f>
        <v>0</v>
      </c>
      <c r="S47">
        <f>chloroform!J52</f>
        <v>0</v>
      </c>
      <c r="T47" t="str">
        <f>chloroform!F52</f>
        <v>5C12</v>
      </c>
    </row>
    <row r="48" spans="11:20" x14ac:dyDescent="0.25">
      <c r="K48">
        <f>chloroform!E53</f>
        <v>129</v>
      </c>
      <c r="L48">
        <f>Table3[[#This Row],[weight]]*(0.9155*Table2[[#This Row],[J1,2]]-A$9)^2</f>
        <v>2.1424349203340881E-4</v>
      </c>
      <c r="M48">
        <f>Table3[[#This Row],[weight]]*(0.9155*Table2[[#This Row],[J2,3]]-B$9)^2</f>
        <v>5.9381878207135034E-3</v>
      </c>
      <c r="N48">
        <f>Table3[[#This Row],[weight]]*(0.9155*Table2[[#This Row],[J34]]-C$9)^2</f>
        <v>5.8356622139004678E-3</v>
      </c>
      <c r="O48">
        <f>Table3[[#This Row],[weight]]*(0.9155*Table2[[#This Row],[J45]]-D$9)^2</f>
        <v>1.1403934969578975E-2</v>
      </c>
      <c r="P48">
        <f>Table3[[#This Row],[weight]]*(0.9155*Table2[[#This Row],[J56]]-E$9)^2</f>
        <v>0.60789312369278692</v>
      </c>
      <c r="Q48">
        <f>Table3[[#This Row],[weight]]*(0.9155*Table2[[#This Row],[J67]]-F$9)^2</f>
        <v>7.393538684109946E-2</v>
      </c>
      <c r="R48">
        <f>Table3[[#This Row],[weight]]*(0.9155*Table2[[#This Row],[J67'']]-G$9)^2</f>
        <v>0.29647307261253281</v>
      </c>
      <c r="S48">
        <f>chloroform!J53</f>
        <v>6.8395488899470691E-3</v>
      </c>
      <c r="T48" t="str">
        <f>chloroform!F53</f>
        <v>5C12</v>
      </c>
    </row>
    <row r="49" spans="11:20" x14ac:dyDescent="0.25">
      <c r="K49">
        <f>chloroform!E54</f>
        <v>144</v>
      </c>
      <c r="L49">
        <f>Table3[[#This Row],[weight]]*(0.9155*Table2[[#This Row],[J1,2]]-A$9)^2</f>
        <v>5.2051137392091458E-5</v>
      </c>
      <c r="M49">
        <f>Table3[[#This Row],[weight]]*(0.9155*Table2[[#This Row],[J2,3]]-B$9)^2</f>
        <v>1.870226704585774E-4</v>
      </c>
      <c r="N49">
        <f>Table3[[#This Row],[weight]]*(0.9155*Table2[[#This Row],[J34]]-C$9)^2</f>
        <v>7.1275359829891209E-5</v>
      </c>
      <c r="O49">
        <f>Table3[[#This Row],[weight]]*(0.9155*Table2[[#This Row],[J45]]-D$9)^2</f>
        <v>2.5485316723717586E-4</v>
      </c>
      <c r="P49">
        <f>Table3[[#This Row],[weight]]*(0.9155*Table2[[#This Row],[J56]]-E$9)^2</f>
        <v>2.1800553396537949E-2</v>
      </c>
      <c r="Q49">
        <f>Table3[[#This Row],[weight]]*(0.9155*Table2[[#This Row],[J67]]-F$9)^2</f>
        <v>7.398858022457616E-3</v>
      </c>
      <c r="R49">
        <f>Table3[[#This Row],[weight]]*(0.9155*Table2[[#This Row],[J67'']]-G$9)^2</f>
        <v>6.493200032556979E-4</v>
      </c>
      <c r="S49">
        <f>chloroform!J54</f>
        <v>2.0960489617706171E-4</v>
      </c>
      <c r="T49" t="str">
        <f>chloroform!F54</f>
        <v>5C12</v>
      </c>
    </row>
    <row r="50" spans="11:20" x14ac:dyDescent="0.25">
      <c r="K50">
        <f>chloroform!E55</f>
        <v>155</v>
      </c>
      <c r="L50">
        <f>Table3[[#This Row],[weight]]*(0.9155*Table2[[#This Row],[J1,2]]-A$9)^2</f>
        <v>4.7876722688923196E-4</v>
      </c>
      <c r="M50">
        <f>Table3[[#This Row],[weight]]*(0.9155*Table2[[#This Row],[J2,3]]-B$9)^2</f>
        <v>3.3881366801195273E-2</v>
      </c>
      <c r="N50">
        <f>Table3[[#This Row],[weight]]*(0.9155*Table2[[#This Row],[J34]]-C$9)^2</f>
        <v>2.4579396177893176E-2</v>
      </c>
      <c r="O50">
        <f>Table3[[#This Row],[weight]]*(0.9155*Table2[[#This Row],[J45]]-D$9)^2</f>
        <v>3.6681803197654343E-2</v>
      </c>
      <c r="P50">
        <f>Table3[[#This Row],[weight]]*(0.9155*Table2[[#This Row],[J56]]-E$9)^2</f>
        <v>3.5991854328057915</v>
      </c>
      <c r="Q50">
        <f>Table3[[#This Row],[weight]]*(0.9155*Table2[[#This Row],[J67]]-F$9)^2</f>
        <v>0.79642972554962399</v>
      </c>
      <c r="R50">
        <f>Table3[[#This Row],[weight]]*(0.9155*Table2[[#This Row],[J67'']]-G$9)^2</f>
        <v>0.18184776671301933</v>
      </c>
      <c r="S50">
        <f>chloroform!J55</f>
        <v>4.0120392345484514E-2</v>
      </c>
      <c r="T50" t="str">
        <f>chloroform!F55</f>
        <v>5C12</v>
      </c>
    </row>
    <row r="51" spans="11:20" x14ac:dyDescent="0.25">
      <c r="K51">
        <f>chloroform!E56</f>
        <v>159</v>
      </c>
      <c r="L51">
        <f>Table3[[#This Row],[weight]]*(0.9155*Table2[[#This Row],[J1,2]]-A$9)^2</f>
        <v>2.9050666293217192E-7</v>
      </c>
      <c r="M51">
        <f>Table3[[#This Row],[weight]]*(0.9155*Table2[[#This Row],[J2,3]]-B$9)^2</f>
        <v>3.552474916062937E-4</v>
      </c>
      <c r="N51">
        <f>Table3[[#This Row],[weight]]*(0.9155*Table2[[#This Row],[J34]]-C$9)^2</f>
        <v>2.3685043466571535E-4</v>
      </c>
      <c r="O51">
        <f>Table3[[#This Row],[weight]]*(0.9155*Table2[[#This Row],[J45]]-D$9)^2</f>
        <v>5.6795039819464372E-4</v>
      </c>
      <c r="P51">
        <f>Table3[[#This Row],[weight]]*(0.9155*Table2[[#This Row],[J56]]-E$9)^2</f>
        <v>2.7575952886727269E-2</v>
      </c>
      <c r="Q51">
        <f>Table3[[#This Row],[weight]]*(0.9155*Table2[[#This Row],[J67]]-F$9)^2</f>
        <v>3.890835032058219E-3</v>
      </c>
      <c r="R51">
        <f>Table3[[#This Row],[weight]]*(0.9155*Table2[[#This Row],[J67'']]-G$9)^2</f>
        <v>1.6837193858241728E-2</v>
      </c>
      <c r="S51">
        <f>chloroform!J56</f>
        <v>3.6829102602058171E-4</v>
      </c>
      <c r="T51" t="str">
        <f>chloroform!F56</f>
        <v>5C12</v>
      </c>
    </row>
    <row r="52" spans="11:20" x14ac:dyDescent="0.25">
      <c r="K52">
        <f>chloroform!E57</f>
        <v>164</v>
      </c>
      <c r="L52">
        <f>Table3[[#This Row],[weight]]*(0.9155*Table2[[#This Row],[J1,2]]-A$9)^2</f>
        <v>3.8706627047095777E-5</v>
      </c>
      <c r="M52">
        <f>Table3[[#This Row],[weight]]*(0.9155*Table2[[#This Row],[J2,3]]-B$9)^2</f>
        <v>7.3678561157416176E-4</v>
      </c>
      <c r="N52">
        <f>Table3[[#This Row],[weight]]*(0.9155*Table2[[#This Row],[J34]]-C$9)^2</f>
        <v>5.0397683191237379E-4</v>
      </c>
      <c r="O52">
        <f>Table3[[#This Row],[weight]]*(0.9155*Table2[[#This Row],[J45]]-D$9)^2</f>
        <v>1.3099654331148924E-3</v>
      </c>
      <c r="P52">
        <f>Table3[[#This Row],[weight]]*(0.9155*Table2[[#This Row],[J56]]-E$9)^2</f>
        <v>6.3221527876641037E-2</v>
      </c>
      <c r="Q52">
        <f>Table3[[#This Row],[weight]]*(0.9155*Table2[[#This Row],[J67]]-F$9)^2</f>
        <v>1.7674579689011153E-2</v>
      </c>
      <c r="R52">
        <f>Table3[[#This Row],[weight]]*(0.9155*Table2[[#This Row],[J67'']]-G$9)^2</f>
        <v>3.0038675083371596E-3</v>
      </c>
      <c r="S52">
        <f>chloroform!J57</f>
        <v>8.1309185658397579E-4</v>
      </c>
      <c r="T52" t="str">
        <f>chloroform!F57</f>
        <v>5C12</v>
      </c>
    </row>
    <row r="53" spans="11:20" x14ac:dyDescent="0.25">
      <c r="K53">
        <f>chloroform!E58</f>
        <v>170</v>
      </c>
      <c r="L53">
        <f>Table3[[#This Row],[weight]]*(0.9155*Table2[[#This Row],[J1,2]]-A$9)^2</f>
        <v>3.7701137058475435E-6</v>
      </c>
      <c r="M53">
        <f>Table3[[#This Row],[weight]]*(0.9155*Table2[[#This Row],[J2,3]]-B$9)^2</f>
        <v>5.1124557348717617E-4</v>
      </c>
      <c r="N53">
        <f>Table3[[#This Row],[weight]]*(0.9155*Table2[[#This Row],[J34]]-C$9)^2</f>
        <v>3.3156761543032633E-5</v>
      </c>
      <c r="O53">
        <f>Table3[[#This Row],[weight]]*(0.9155*Table2[[#This Row],[J45]]-D$9)^2</f>
        <v>1.8677840230895857E-5</v>
      </c>
      <c r="P53">
        <f>Table3[[#This Row],[weight]]*(0.9155*Table2[[#This Row],[J56]]-E$9)^2</f>
        <v>4.3728794903551572E-3</v>
      </c>
      <c r="Q53">
        <f>Table3[[#This Row],[weight]]*(0.9155*Table2[[#This Row],[J67]]-F$9)^2</f>
        <v>7.9186421386001193E-4</v>
      </c>
      <c r="R53">
        <f>Table3[[#This Row],[weight]]*(0.9155*Table2[[#This Row],[J67'']]-G$9)^2</f>
        <v>2.652040186309686E-3</v>
      </c>
      <c r="S53">
        <f>chloroform!J58</f>
        <v>5.2511957077470057E-5</v>
      </c>
      <c r="T53" t="str">
        <f>chloroform!F58</f>
        <v>56E</v>
      </c>
    </row>
    <row r="54" spans="11:20" x14ac:dyDescent="0.25">
      <c r="K54">
        <f>chloroform!E59</f>
        <v>184</v>
      </c>
      <c r="L54">
        <f>Table3[[#This Row],[weight]]*(0.9155*Table2[[#This Row],[J1,2]]-A$9)^2</f>
        <v>2.4779921255481396E-4</v>
      </c>
      <c r="M54">
        <f>Table3[[#This Row],[weight]]*(0.9155*Table2[[#This Row],[J2,3]]-B$9)^2</f>
        <v>0.35878453886632117</v>
      </c>
      <c r="N54">
        <f>Table3[[#This Row],[weight]]*(0.9155*Table2[[#This Row],[J34]]-C$9)^2</f>
        <v>1.0343832981290108E-4</v>
      </c>
      <c r="O54">
        <f>Table3[[#This Row],[weight]]*(0.9155*Table2[[#This Row],[J45]]-D$9)^2</f>
        <v>0.45054822295092117</v>
      </c>
      <c r="P54">
        <f>Table3[[#This Row],[weight]]*(0.9155*Table2[[#This Row],[J56]]-E$9)^2</f>
        <v>0.70446535818250033</v>
      </c>
      <c r="Q54">
        <f>Table3[[#This Row],[weight]]*(0.9155*Table2[[#This Row],[J67]]-F$9)^2</f>
        <v>0.28944104887794503</v>
      </c>
      <c r="R54">
        <f>Table3[[#This Row],[weight]]*(0.9155*Table2[[#This Row],[J67'']]-G$9)^2</f>
        <v>0.13461310978070873</v>
      </c>
      <c r="S54">
        <f>chloroform!J59</f>
        <v>1.0770965039707274E-2</v>
      </c>
      <c r="T54" t="str">
        <f>chloroform!F59</f>
        <v>4H6</v>
      </c>
    </row>
    <row r="55" spans="11:20" x14ac:dyDescent="0.25">
      <c r="K55">
        <f>chloroform!E60</f>
        <v>189</v>
      </c>
      <c r="L55">
        <f>Table3[[#This Row],[weight]]*(0.9155*Table2[[#This Row],[J1,2]]-A$9)^2</f>
        <v>1.8567973007936047E-5</v>
      </c>
      <c r="M55">
        <f>Table3[[#This Row],[weight]]*(0.9155*Table2[[#This Row],[J2,3]]-B$9)^2</f>
        <v>9.3564399050387694E-4</v>
      </c>
      <c r="N55">
        <f>Table3[[#This Row],[weight]]*(0.9155*Table2[[#This Row],[J34]]-C$9)^2</f>
        <v>7.5265275373764319E-4</v>
      </c>
      <c r="O55">
        <f>Table3[[#This Row],[weight]]*(0.9155*Table2[[#This Row],[J45]]-D$9)^2</f>
        <v>1.6137967458734511E-3</v>
      </c>
      <c r="P55">
        <f>Table3[[#This Row],[weight]]*(0.9155*Table2[[#This Row],[J56]]-E$9)^2</f>
        <v>8.7180139944317031E-2</v>
      </c>
      <c r="Q55">
        <f>Table3[[#This Row],[weight]]*(0.9155*Table2[[#This Row],[J67]]-F$9)^2</f>
        <v>1.1318557425160799E-2</v>
      </c>
      <c r="R55">
        <f>Table3[[#This Row],[weight]]*(0.9155*Table2[[#This Row],[J67'']]-G$9)^2</f>
        <v>4.8682838327056624E-2</v>
      </c>
      <c r="S55">
        <f>chloroform!J60</f>
        <v>1.0207311634556158E-3</v>
      </c>
      <c r="T55" t="str">
        <f>chloroform!F60</f>
        <v>5C12</v>
      </c>
    </row>
    <row r="56" spans="11:20" x14ac:dyDescent="0.25">
      <c r="K56">
        <f>chloroform!E61</f>
        <v>190</v>
      </c>
      <c r="L56">
        <f>Table3[[#This Row],[weight]]*(0.9155*Table2[[#This Row],[J1,2]]-A$9)^2</f>
        <v>2.322743604402371E-4</v>
      </c>
      <c r="M56">
        <f>Table3[[#This Row],[weight]]*(0.9155*Table2[[#This Row],[J2,3]]-B$9)^2</f>
        <v>8.3473858764014405E-2</v>
      </c>
      <c r="N56">
        <f>Table3[[#This Row],[weight]]*(0.9155*Table2[[#This Row],[J34]]-C$9)^2</f>
        <v>7.1723973271081312E-7</v>
      </c>
      <c r="O56">
        <f>Table3[[#This Row],[weight]]*(0.9155*Table2[[#This Row],[J45]]-D$9)^2</f>
        <v>0.17587819607697872</v>
      </c>
      <c r="P56">
        <f>Table3[[#This Row],[weight]]*(0.9155*Table2[[#This Row],[J56]]-E$9)^2</f>
        <v>0.28127201207834862</v>
      </c>
      <c r="Q56">
        <f>Table3[[#This Row],[weight]]*(0.9155*Table2[[#This Row],[J67]]-F$9)^2</f>
        <v>2.0310589350550951E-3</v>
      </c>
      <c r="R56">
        <f>Table3[[#This Row],[weight]]*(0.9155*Table2[[#This Row],[J67'']]-G$9)^2</f>
        <v>0.15180598110192309</v>
      </c>
      <c r="S56">
        <f>chloroform!J61</f>
        <v>2.3600035153043737E-3</v>
      </c>
      <c r="T56" t="str">
        <f>chloroform!F61</f>
        <v>4H6</v>
      </c>
    </row>
    <row r="57" spans="11:20" x14ac:dyDescent="0.25">
      <c r="K57">
        <f>chloroform!E62</f>
        <v>199</v>
      </c>
      <c r="L57">
        <f>Table3[[#This Row],[weight]]*(0.9155*Table2[[#This Row],[J1,2]]-A$9)^2</f>
        <v>0</v>
      </c>
      <c r="M57">
        <f>Table3[[#This Row],[weight]]*(0.9155*Table2[[#This Row],[J2,3]]-B$9)^2</f>
        <v>0</v>
      </c>
      <c r="N57">
        <f>Table3[[#This Row],[weight]]*(0.9155*Table2[[#This Row],[J34]]-C$9)^2</f>
        <v>0</v>
      </c>
      <c r="O57">
        <f>Table3[[#This Row],[weight]]*(0.9155*Table2[[#This Row],[J45]]-D$9)^2</f>
        <v>0</v>
      </c>
      <c r="P57">
        <f>Table3[[#This Row],[weight]]*(0.9155*Table2[[#This Row],[J56]]-E$9)^2</f>
        <v>0</v>
      </c>
      <c r="Q57">
        <f>Table3[[#This Row],[weight]]*(0.9155*Table2[[#This Row],[J67]]-F$9)^2</f>
        <v>0</v>
      </c>
      <c r="R57">
        <f>Table3[[#This Row],[weight]]*(0.9155*Table2[[#This Row],[J67'']]-G$9)^2</f>
        <v>0</v>
      </c>
      <c r="S57">
        <f>chloroform!J62</f>
        <v>0</v>
      </c>
      <c r="T57" t="str">
        <f>chloroform!F62</f>
        <v>4H6</v>
      </c>
    </row>
    <row r="58" spans="11:20" x14ac:dyDescent="0.25">
      <c r="K58">
        <f>chloroform!E63</f>
        <v>201</v>
      </c>
      <c r="L58">
        <f>Table3[[#This Row],[weight]]*(0.9155*Table2[[#This Row],[J1,2]]-A$9)^2</f>
        <v>0</v>
      </c>
      <c r="M58">
        <f>Table3[[#This Row],[weight]]*(0.9155*Table2[[#This Row],[J2,3]]-B$9)^2</f>
        <v>0</v>
      </c>
      <c r="N58">
        <f>Table3[[#This Row],[weight]]*(0.9155*Table2[[#This Row],[J34]]-C$9)^2</f>
        <v>0</v>
      </c>
      <c r="O58">
        <f>Table3[[#This Row],[weight]]*(0.9155*Table2[[#This Row],[J45]]-D$9)^2</f>
        <v>0</v>
      </c>
      <c r="P58">
        <f>Table3[[#This Row],[weight]]*(0.9155*Table2[[#This Row],[J56]]-E$9)^2</f>
        <v>0</v>
      </c>
      <c r="Q58">
        <f>Table3[[#This Row],[weight]]*(0.9155*Table2[[#This Row],[J67]]-F$9)^2</f>
        <v>0</v>
      </c>
      <c r="R58">
        <f>Table3[[#This Row],[weight]]*(0.9155*Table2[[#This Row],[J67'']]-G$9)^2</f>
        <v>0</v>
      </c>
      <c r="S58">
        <f>chloroform!J63</f>
        <v>0</v>
      </c>
      <c r="T58" t="str">
        <f>chloroform!F63</f>
        <v>4H6</v>
      </c>
    </row>
    <row r="59" spans="11:20" x14ac:dyDescent="0.25">
      <c r="K59">
        <f>chloroform!E64</f>
        <v>205</v>
      </c>
      <c r="L59">
        <f>Table3[[#This Row],[weight]]*(0.9155*Table2[[#This Row],[J1,2]]-A$9)^2</f>
        <v>7.0158823675225343E-7</v>
      </c>
      <c r="M59">
        <f>Table3[[#This Row],[weight]]*(0.9155*Table2[[#This Row],[J2,3]]-B$9)^2</f>
        <v>1.3105155783194836E-4</v>
      </c>
      <c r="N59">
        <f>Table3[[#This Row],[weight]]*(0.9155*Table2[[#This Row],[J34]]-C$9)^2</f>
        <v>4.8806496102010885E-5</v>
      </c>
      <c r="O59">
        <f>Table3[[#This Row],[weight]]*(0.9155*Table2[[#This Row],[J45]]-D$9)^2</f>
        <v>1.7941449621136659E-4</v>
      </c>
      <c r="P59">
        <f>Table3[[#This Row],[weight]]*(0.9155*Table2[[#This Row],[J56]]-E$9)^2</f>
        <v>9.4764615699807417E-3</v>
      </c>
      <c r="Q59">
        <f>Table3[[#This Row],[weight]]*(0.9155*Table2[[#This Row],[J67]]-F$9)^2</f>
        <v>1.3340375928549682E-3</v>
      </c>
      <c r="R59">
        <f>Table3[[#This Row],[weight]]*(0.9155*Table2[[#This Row],[J67'']]-G$9)^2</f>
        <v>6.1837779213593617E-3</v>
      </c>
      <c r="S59">
        <f>chloroform!J64</f>
        <v>1.2057133954501917E-4</v>
      </c>
      <c r="T59" t="str">
        <f>chloroform!F64</f>
        <v>5C12</v>
      </c>
    </row>
    <row r="60" spans="11:20" x14ac:dyDescent="0.25">
      <c r="K60">
        <f>chloroform!E65</f>
        <v>217</v>
      </c>
      <c r="L60">
        <f>Table3[[#This Row],[weight]]*(0.9155*Table2[[#This Row],[J1,2]]-A$9)^2</f>
        <v>0</v>
      </c>
      <c r="M60">
        <f>Table3[[#This Row],[weight]]*(0.9155*Table2[[#This Row],[J2,3]]-B$9)^2</f>
        <v>0</v>
      </c>
      <c r="N60">
        <f>Table3[[#This Row],[weight]]*(0.9155*Table2[[#This Row],[J34]]-C$9)^2</f>
        <v>0</v>
      </c>
      <c r="O60">
        <f>Table3[[#This Row],[weight]]*(0.9155*Table2[[#This Row],[J45]]-D$9)^2</f>
        <v>0</v>
      </c>
      <c r="P60">
        <f>Table3[[#This Row],[weight]]*(0.9155*Table2[[#This Row],[J56]]-E$9)^2</f>
        <v>0</v>
      </c>
      <c r="Q60">
        <f>Table3[[#This Row],[weight]]*(0.9155*Table2[[#This Row],[J67]]-F$9)^2</f>
        <v>0</v>
      </c>
      <c r="R60">
        <f>Table3[[#This Row],[weight]]*(0.9155*Table2[[#This Row],[J67'']]-G$9)^2</f>
        <v>0</v>
      </c>
      <c r="S60">
        <f>chloroform!J65</f>
        <v>0</v>
      </c>
      <c r="T60" t="str">
        <f>chloroform!F65</f>
        <v>E45</v>
      </c>
    </row>
    <row r="61" spans="11:20" x14ac:dyDescent="0.25">
      <c r="K61">
        <f>chloroform!E66</f>
        <v>225</v>
      </c>
      <c r="L61">
        <f>Table3[[#This Row],[weight]]*(0.9155*Table2[[#This Row],[J1,2]]-A$9)^2</f>
        <v>0</v>
      </c>
      <c r="M61">
        <f>Table3[[#This Row],[weight]]*(0.9155*Table2[[#This Row],[J2,3]]-B$9)^2</f>
        <v>0</v>
      </c>
      <c r="N61">
        <f>Table3[[#This Row],[weight]]*(0.9155*Table2[[#This Row],[J34]]-C$9)^2</f>
        <v>0</v>
      </c>
      <c r="O61">
        <f>Table3[[#This Row],[weight]]*(0.9155*Table2[[#This Row],[J45]]-D$9)^2</f>
        <v>0</v>
      </c>
      <c r="P61">
        <f>Table3[[#This Row],[weight]]*(0.9155*Table2[[#This Row],[J56]]-E$9)^2</f>
        <v>0</v>
      </c>
      <c r="Q61">
        <f>Table3[[#This Row],[weight]]*(0.9155*Table2[[#This Row],[J67]]-F$9)^2</f>
        <v>0</v>
      </c>
      <c r="R61">
        <f>Table3[[#This Row],[weight]]*(0.9155*Table2[[#This Row],[J67'']]-G$9)^2</f>
        <v>0</v>
      </c>
      <c r="S61">
        <f>chloroform!J66</f>
        <v>0</v>
      </c>
      <c r="T61" t="str">
        <f>chloroform!F66</f>
        <v>E45</v>
      </c>
    </row>
    <row r="62" spans="11:20" x14ac:dyDescent="0.25">
      <c r="K62">
        <f>chloroform!E67</f>
        <v>247</v>
      </c>
      <c r="L62">
        <f>Table3[[#This Row],[weight]]*(0.9155*Table2[[#This Row],[J1,2]]-A$9)^2</f>
        <v>3.490701202661394E-5</v>
      </c>
      <c r="M62">
        <f>Table3[[#This Row],[weight]]*(0.9155*Table2[[#This Row],[J2,3]]-B$9)^2</f>
        <v>2.0722182000417286E-5</v>
      </c>
      <c r="N62">
        <f>Table3[[#This Row],[weight]]*(0.9155*Table2[[#This Row],[J34]]-C$9)^2</f>
        <v>1.3886285380091123E-3</v>
      </c>
      <c r="O62">
        <f>Table3[[#This Row],[weight]]*(0.9155*Table2[[#This Row],[J45]]-D$9)^2</f>
        <v>4.6085908856772539E-5</v>
      </c>
      <c r="P62">
        <f>Table3[[#This Row],[weight]]*(0.9155*Table2[[#This Row],[J56]]-E$9)^2</f>
        <v>5.3717477162406862E-3</v>
      </c>
      <c r="Q62">
        <f>Table3[[#This Row],[weight]]*(0.9155*Table2[[#This Row],[J67]]-F$9)^2</f>
        <v>1.3671918416585775E-3</v>
      </c>
      <c r="R62">
        <f>Table3[[#This Row],[weight]]*(0.9155*Table2[[#This Row],[J67'']]-G$9)^2</f>
        <v>2.6025992754172057E-3</v>
      </c>
      <c r="S62">
        <f>chloroform!J67</f>
        <v>6.4481041042882236E-5</v>
      </c>
      <c r="T62" t="str">
        <f>chloroform!F67</f>
        <v>5C12</v>
      </c>
    </row>
    <row r="63" spans="11:20" x14ac:dyDescent="0.25">
      <c r="K63">
        <f>chloroform!E68</f>
        <v>376</v>
      </c>
      <c r="L63">
        <f>Table3[[#This Row],[weight]]*(0.9155*Table2[[#This Row],[J1,2]]-A$9)^2</f>
        <v>0</v>
      </c>
      <c r="M63">
        <f>Table3[[#This Row],[weight]]*(0.9155*Table2[[#This Row],[J2,3]]-B$9)^2</f>
        <v>0</v>
      </c>
      <c r="N63">
        <f>Table3[[#This Row],[weight]]*(0.9155*Table2[[#This Row],[J34]]-C$9)^2</f>
        <v>0</v>
      </c>
      <c r="O63">
        <f>Table3[[#This Row],[weight]]*(0.9155*Table2[[#This Row],[J45]]-D$9)^2</f>
        <v>0</v>
      </c>
      <c r="P63">
        <f>Table3[[#This Row],[weight]]*(0.9155*Table2[[#This Row],[J56]]-E$9)^2</f>
        <v>0</v>
      </c>
      <c r="Q63">
        <f>Table3[[#This Row],[weight]]*(0.9155*Table2[[#This Row],[J67]]-F$9)^2</f>
        <v>0</v>
      </c>
      <c r="R63">
        <f>Table3[[#This Row],[weight]]*(0.9155*Table2[[#This Row],[J67'']]-G$9)^2</f>
        <v>0</v>
      </c>
      <c r="S63">
        <f>chloroform!J68</f>
        <v>0</v>
      </c>
      <c r="T63" t="str">
        <f>chloroform!F68</f>
        <v>4H6</v>
      </c>
    </row>
    <row r="64" spans="11:20" x14ac:dyDescent="0.25">
      <c r="K64">
        <f>chloroform!E69</f>
        <v>387</v>
      </c>
      <c r="L64">
        <f>Table3[[#This Row],[weight]]*(0.9155*Table2[[#This Row],[J1,2]]-A$9)^2</f>
        <v>2.4631832928257939E-3</v>
      </c>
      <c r="M64">
        <f>Table3[[#This Row],[weight]]*(0.9155*Table2[[#This Row],[J2,3]]-B$9)^2</f>
        <v>0.25250178692332548</v>
      </c>
      <c r="N64">
        <f>Table3[[#This Row],[weight]]*(0.9155*Table2[[#This Row],[J34]]-C$9)^2</f>
        <v>2.908968860522419E-3</v>
      </c>
      <c r="O64">
        <f>Table3[[#This Row],[weight]]*(0.9155*Table2[[#This Row],[J45]]-D$9)^2</f>
        <v>0.17036012849124393</v>
      </c>
      <c r="P64">
        <f>Table3[[#This Row],[weight]]*(0.9155*Table2[[#This Row],[J56]]-E$9)^2</f>
        <v>3.6120494334585147E-2</v>
      </c>
      <c r="Q64">
        <f>Table3[[#This Row],[weight]]*(0.9155*Table2[[#This Row],[J67]]-F$9)^2</f>
        <v>0.22824674399337938</v>
      </c>
      <c r="R64">
        <f>Table3[[#This Row],[weight]]*(0.9155*Table2[[#This Row],[J67'']]-G$9)^2</f>
        <v>1.4994607894814249E-2</v>
      </c>
      <c r="S64">
        <f>chloroform!J69</f>
        <v>9.4835783659327801E-3</v>
      </c>
      <c r="T64" t="str">
        <f>chloroform!F69</f>
        <v>12C5</v>
      </c>
    </row>
  </sheetData>
  <conditionalFormatting sqref="T1:T1048576">
    <cfRule type="cellIs" dxfId="7" priority="1" operator="equal">
      <formula>$E$1</formula>
    </cfRule>
  </conditionalFormatting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73AAF-50B6-41FA-9681-242F5669750F}">
  <dimension ref="A5:N22"/>
  <sheetViews>
    <sheetView workbookViewId="0">
      <selection activeCell="C8" sqref="C8:D11"/>
    </sheetView>
  </sheetViews>
  <sheetFormatPr defaultRowHeight="15" x14ac:dyDescent="0.25"/>
  <sheetData>
    <row r="5" spans="1:14" x14ac:dyDescent="0.25">
      <c r="H5">
        <v>8.8838102302465298</v>
      </c>
      <c r="I5">
        <v>3.0039517567231768</v>
      </c>
      <c r="J5">
        <v>10.380233435697541</v>
      </c>
      <c r="K5">
        <v>9.6877655363424058</v>
      </c>
    </row>
    <row r="7" spans="1:14" x14ac:dyDescent="0.25">
      <c r="B7" t="s">
        <v>17</v>
      </c>
      <c r="C7" t="s">
        <v>16</v>
      </c>
      <c r="D7" t="s">
        <v>19</v>
      </c>
    </row>
    <row r="8" spans="1:14" x14ac:dyDescent="0.25">
      <c r="A8" t="s">
        <v>62</v>
      </c>
      <c r="B8">
        <f>'6H4'!B5</f>
        <v>7.8734993187763012</v>
      </c>
      <c r="C8">
        <f>halfchair!B5</f>
        <v>1.9315522276559915</v>
      </c>
      <c r="D8">
        <f>chair!B5</f>
        <v>8.8115401358519971</v>
      </c>
      <c r="F8" t="s">
        <v>62</v>
      </c>
    </row>
    <row r="9" spans="1:14" x14ac:dyDescent="0.25">
      <c r="A9" t="s">
        <v>37</v>
      </c>
      <c r="B9">
        <f>'6H4'!C5</f>
        <v>2.061744649121354</v>
      </c>
      <c r="C9">
        <f>halfchair!C5</f>
        <v>1.9212831940502062</v>
      </c>
      <c r="D9">
        <f>chair!$C5</f>
        <v>2.8945661609765168</v>
      </c>
      <c r="F9" t="s">
        <v>37</v>
      </c>
      <c r="M9" t="s">
        <v>16</v>
      </c>
      <c r="N9" s="7">
        <v>0.65210000000000001</v>
      </c>
    </row>
    <row r="10" spans="1:14" x14ac:dyDescent="0.25">
      <c r="A10" t="s">
        <v>38</v>
      </c>
      <c r="B10">
        <f>'6H4'!D5</f>
        <v>9.337695181290389</v>
      </c>
      <c r="C10">
        <f>halfchair!D5</f>
        <v>1.4011232025251446</v>
      </c>
      <c r="D10">
        <f>chair!$D5</f>
        <v>10.482706442913452</v>
      </c>
      <c r="F10" t="s">
        <v>38</v>
      </c>
      <c r="M10" t="s">
        <v>19</v>
      </c>
      <c r="N10" s="8">
        <v>0.34789999999999999</v>
      </c>
    </row>
    <row r="11" spans="1:14" x14ac:dyDescent="0.25">
      <c r="A11" t="s">
        <v>39</v>
      </c>
      <c r="B11">
        <f>'6H4'!E5</f>
        <v>0.42595388385355909</v>
      </c>
      <c r="C11">
        <f>halfchair!E5</f>
        <v>10.769147160640836</v>
      </c>
      <c r="D11">
        <f>chair!$E5</f>
        <v>9.6568214473071396</v>
      </c>
      <c r="F11" t="s">
        <v>39</v>
      </c>
      <c r="N11" s="7"/>
    </row>
    <row r="14" spans="1:14" x14ac:dyDescent="0.25">
      <c r="A14" t="s">
        <v>63</v>
      </c>
    </row>
    <row r="15" spans="1:14" x14ac:dyDescent="0.25">
      <c r="B15" t="s">
        <v>17</v>
      </c>
      <c r="C15" t="s">
        <v>16</v>
      </c>
      <c r="D15" t="s">
        <v>19</v>
      </c>
    </row>
    <row r="16" spans="1:14" x14ac:dyDescent="0.25">
      <c r="A16" t="s">
        <v>62</v>
      </c>
      <c r="B16">
        <f>'6H4'!B13</f>
        <v>0.15779073805501642</v>
      </c>
      <c r="C16">
        <f>halfchair!B13</f>
        <v>4.0205101333781509E-2</v>
      </c>
      <c r="D16">
        <f>chair!B13</f>
        <v>3.628389377292731E-2</v>
      </c>
      <c r="G16">
        <f t="shared" ref="G16:I19" si="0">(B16/B8)^2</f>
        <v>4.0163118500236142E-4</v>
      </c>
      <c r="H16">
        <f t="shared" si="0"/>
        <v>4.332608135538046E-4</v>
      </c>
      <c r="I16">
        <f t="shared" si="0"/>
        <v>1.6956028041701466E-5</v>
      </c>
    </row>
    <row r="17" spans="1:9" x14ac:dyDescent="0.25">
      <c r="A17" t="s">
        <v>37</v>
      </c>
      <c r="B17">
        <f>'6H4'!C13</f>
        <v>6.9104364603351245E-2</v>
      </c>
      <c r="C17">
        <f>halfchair!C13</f>
        <v>0.24508206781222097</v>
      </c>
      <c r="D17">
        <f>chair!$C13</f>
        <v>2.9105132645573562E-2</v>
      </c>
      <c r="G17">
        <f t="shared" si="0"/>
        <v>1.1234175496459182E-3</v>
      </c>
      <c r="H17">
        <f t="shared" si="0"/>
        <v>1.6271976338301814E-2</v>
      </c>
      <c r="I17">
        <f t="shared" si="0"/>
        <v>1.0110490011793574E-4</v>
      </c>
    </row>
    <row r="18" spans="1:9" x14ac:dyDescent="0.25">
      <c r="A18" t="s">
        <v>38</v>
      </c>
      <c r="B18">
        <f>'6H4'!D13</f>
        <v>0.78749947493902717</v>
      </c>
      <c r="C18">
        <f>halfchair!D13</f>
        <v>0.63790596250045506</v>
      </c>
      <c r="D18">
        <f>chair!$D13</f>
        <v>0.10045140749522366</v>
      </c>
      <c r="G18">
        <f t="shared" si="0"/>
        <v>7.1124816717977393E-3</v>
      </c>
      <c r="H18">
        <f t="shared" si="0"/>
        <v>0.20728156214454141</v>
      </c>
      <c r="I18">
        <f t="shared" si="0"/>
        <v>9.1825902329494458E-5</v>
      </c>
    </row>
    <row r="19" spans="1:9" x14ac:dyDescent="0.25">
      <c r="A19" t="s">
        <v>39</v>
      </c>
      <c r="B19">
        <f>'6H4'!E13</f>
        <v>0.243619419515196</v>
      </c>
      <c r="C19">
        <f>halfchair!E13</f>
        <v>0.50651418159209871</v>
      </c>
      <c r="D19">
        <f>chair!$E13</f>
        <v>0.14885647491798518</v>
      </c>
      <c r="G19">
        <f t="shared" si="0"/>
        <v>0.32711363197789783</v>
      </c>
      <c r="H19">
        <f t="shared" si="0"/>
        <v>2.2121806822447626E-3</v>
      </c>
      <c r="I19">
        <f t="shared" si="0"/>
        <v>2.3761128200637432E-4</v>
      </c>
    </row>
    <row r="22" spans="1:9" x14ac:dyDescent="0.25">
      <c r="H22">
        <f>SQRT(SUM(G16:I19))</f>
        <v>0.74993175721226868</v>
      </c>
    </row>
  </sheetData>
  <sortState xmlns:xlrd2="http://schemas.microsoft.com/office/spreadsheetml/2017/richdata2" ref="M9:N11">
    <sortCondition descending="1" ref="N9:N11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chloroform</vt:lpstr>
      <vt:lpstr>js-chloroform</vt:lpstr>
      <vt:lpstr>chair</vt:lpstr>
      <vt:lpstr>halfchair</vt:lpstr>
      <vt:lpstr>6H4</vt:lpstr>
      <vt:lpstr>Sheet6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Caleb Griesbach</dc:creator>
  <cp:lastModifiedBy>Caleb Griesbach</cp:lastModifiedBy>
  <dcterms:created xsi:type="dcterms:W3CDTF">2020-06-17T13:36:29Z</dcterms:created>
  <dcterms:modified xsi:type="dcterms:W3CDTF">2021-09-23T12:27:10Z</dcterms:modified>
</cp:coreProperties>
</file>