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glcox\"/>
    </mc:Choice>
  </mc:AlternateContent>
  <xr:revisionPtr revIDLastSave="0" documentId="13_ncr:1_{0368E989-817E-4D83-8AA4-944D8A9E6DE9}" xr6:coauthVersionLast="47" xr6:coauthVersionMax="47" xr10:uidLastSave="{00000000-0000-0000-0000-000000000000}"/>
  <bookViews>
    <workbookView xWindow="-120" yWindow="-120" windowWidth="29040" windowHeight="15840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45TH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70" i="5" l="1"/>
  <c r="S70" i="5"/>
  <c r="K70" i="5"/>
  <c r="T69" i="5"/>
  <c r="S69" i="5"/>
  <c r="K69" i="5"/>
  <c r="T68" i="5"/>
  <c r="S68" i="5"/>
  <c r="K68" i="5"/>
  <c r="T67" i="5"/>
  <c r="S67" i="5"/>
  <c r="K67" i="5"/>
  <c r="T66" i="5"/>
  <c r="S66" i="5"/>
  <c r="K66" i="5"/>
  <c r="T65" i="5"/>
  <c r="S65" i="5"/>
  <c r="K65" i="5"/>
  <c r="T64" i="5"/>
  <c r="S64" i="5"/>
  <c r="K64" i="5"/>
  <c r="T63" i="5"/>
  <c r="S63" i="5"/>
  <c r="K63" i="5"/>
  <c r="T62" i="5"/>
  <c r="S62" i="5"/>
  <c r="K62" i="5"/>
  <c r="T61" i="5"/>
  <c r="S61" i="5"/>
  <c r="K61" i="5"/>
  <c r="T60" i="5"/>
  <c r="S60" i="5"/>
  <c r="K60" i="5"/>
  <c r="T59" i="5"/>
  <c r="S59" i="5"/>
  <c r="K59" i="5"/>
  <c r="T58" i="5"/>
  <c r="S58" i="5"/>
  <c r="K58" i="5"/>
  <c r="T57" i="5"/>
  <c r="S57" i="5"/>
  <c r="K57" i="5"/>
  <c r="T56" i="5"/>
  <c r="S56" i="5"/>
  <c r="K56" i="5"/>
  <c r="T55" i="5"/>
  <c r="S55" i="5"/>
  <c r="K55" i="5"/>
  <c r="T54" i="5"/>
  <c r="S54" i="5"/>
  <c r="K54" i="5"/>
  <c r="T53" i="5"/>
  <c r="S53" i="5"/>
  <c r="K53" i="5"/>
  <c r="T52" i="5"/>
  <c r="S52" i="5"/>
  <c r="K52" i="5"/>
  <c r="T51" i="5"/>
  <c r="S51" i="5"/>
  <c r="K51" i="5"/>
  <c r="T50" i="5"/>
  <c r="S50" i="5"/>
  <c r="K50" i="5"/>
  <c r="T49" i="5"/>
  <c r="S49" i="5"/>
  <c r="K49" i="5"/>
  <c r="T48" i="5"/>
  <c r="S48" i="5"/>
  <c r="K48" i="5"/>
  <c r="T47" i="5"/>
  <c r="S47" i="5"/>
  <c r="K47" i="5"/>
  <c r="T46" i="5"/>
  <c r="S46" i="5"/>
  <c r="K46" i="5"/>
  <c r="T45" i="5"/>
  <c r="S45" i="5"/>
  <c r="K45" i="5"/>
  <c r="T44" i="5"/>
  <c r="S44" i="5"/>
  <c r="K44" i="5"/>
  <c r="T43" i="5"/>
  <c r="S43" i="5"/>
  <c r="K43" i="5"/>
  <c r="T42" i="5"/>
  <c r="S42" i="5"/>
  <c r="K42" i="5"/>
  <c r="T41" i="5"/>
  <c r="S41" i="5"/>
  <c r="K41" i="5"/>
  <c r="T40" i="5"/>
  <c r="S40" i="5"/>
  <c r="K40" i="5"/>
  <c r="T39" i="5"/>
  <c r="S39" i="5"/>
  <c r="K39" i="5"/>
  <c r="T38" i="5"/>
  <c r="S38" i="5"/>
  <c r="K38" i="5"/>
  <c r="T37" i="5"/>
  <c r="S37" i="5"/>
  <c r="K37" i="5"/>
  <c r="T36" i="5"/>
  <c r="S36" i="5"/>
  <c r="K36" i="5"/>
  <c r="T35" i="5"/>
  <c r="S35" i="5"/>
  <c r="K35" i="5"/>
  <c r="T34" i="5"/>
  <c r="S34" i="5"/>
  <c r="K34" i="5"/>
  <c r="T33" i="5"/>
  <c r="S33" i="5"/>
  <c r="K33" i="5"/>
  <c r="T32" i="5"/>
  <c r="S32" i="5"/>
  <c r="K32" i="5"/>
  <c r="T31" i="5"/>
  <c r="S31" i="5"/>
  <c r="K31" i="5"/>
  <c r="T30" i="5"/>
  <c r="S30" i="5"/>
  <c r="K30" i="5"/>
  <c r="T29" i="5"/>
  <c r="S29" i="5"/>
  <c r="K29" i="5"/>
  <c r="T28" i="5"/>
  <c r="S28" i="5"/>
  <c r="K28" i="5"/>
  <c r="T27" i="5"/>
  <c r="S27" i="5"/>
  <c r="K27" i="5"/>
  <c r="T26" i="5"/>
  <c r="S26" i="5"/>
  <c r="K26" i="5"/>
  <c r="T25" i="5"/>
  <c r="S25" i="5"/>
  <c r="K25" i="5"/>
  <c r="T24" i="5"/>
  <c r="S24" i="5"/>
  <c r="K24" i="5"/>
  <c r="T23" i="5"/>
  <c r="S23" i="5"/>
  <c r="K23" i="5"/>
  <c r="T22" i="5"/>
  <c r="S22" i="5"/>
  <c r="K22" i="5"/>
  <c r="T21" i="5"/>
  <c r="S21" i="5"/>
  <c r="K21" i="5"/>
  <c r="T20" i="5"/>
  <c r="S20" i="5"/>
  <c r="K20" i="5"/>
  <c r="T19" i="5"/>
  <c r="S19" i="5"/>
  <c r="K19" i="5"/>
  <c r="T18" i="5"/>
  <c r="S18" i="5"/>
  <c r="K18" i="5"/>
  <c r="T17" i="5"/>
  <c r="S17" i="5"/>
  <c r="K17" i="5"/>
  <c r="T16" i="5"/>
  <c r="S16" i="5"/>
  <c r="K16" i="5"/>
  <c r="T15" i="5"/>
  <c r="S15" i="5"/>
  <c r="K15" i="5"/>
  <c r="T14" i="5"/>
  <c r="S14" i="5"/>
  <c r="K14" i="5"/>
  <c r="T13" i="5"/>
  <c r="S13" i="5"/>
  <c r="K13" i="5"/>
  <c r="T12" i="5"/>
  <c r="S12" i="5"/>
  <c r="K12" i="5"/>
  <c r="T11" i="5"/>
  <c r="S11" i="5"/>
  <c r="K11" i="5"/>
  <c r="T10" i="5"/>
  <c r="S10" i="5"/>
  <c r="K10" i="5"/>
  <c r="T9" i="5"/>
  <c r="S9" i="5"/>
  <c r="K9" i="5"/>
  <c r="T8" i="5"/>
  <c r="S8" i="5"/>
  <c r="K8" i="5"/>
  <c r="T7" i="5"/>
  <c r="S7" i="5"/>
  <c r="K7" i="5"/>
  <c r="T6" i="5"/>
  <c r="S6" i="5"/>
  <c r="K6" i="5"/>
  <c r="T5" i="5"/>
  <c r="S5" i="5"/>
  <c r="K5" i="5"/>
  <c r="T4" i="5"/>
  <c r="S4" i="5"/>
  <c r="K4" i="5"/>
  <c r="T3" i="5"/>
  <c r="S3" i="5"/>
  <c r="K3" i="5"/>
  <c r="T2" i="5"/>
  <c r="S2" i="5"/>
  <c r="K2" i="5"/>
  <c r="T70" i="4"/>
  <c r="S70" i="4"/>
  <c r="K70" i="4"/>
  <c r="T69" i="4"/>
  <c r="S69" i="4"/>
  <c r="K69" i="4"/>
  <c r="T68" i="4"/>
  <c r="S68" i="4"/>
  <c r="K68" i="4"/>
  <c r="T67" i="4"/>
  <c r="S67" i="4"/>
  <c r="K67" i="4"/>
  <c r="T66" i="4"/>
  <c r="S66" i="4"/>
  <c r="K66" i="4"/>
  <c r="T65" i="4"/>
  <c r="S65" i="4"/>
  <c r="K65" i="4"/>
  <c r="T64" i="4"/>
  <c r="S64" i="4"/>
  <c r="K64" i="4"/>
  <c r="T63" i="4"/>
  <c r="S63" i="4"/>
  <c r="K63" i="4"/>
  <c r="T62" i="4"/>
  <c r="S62" i="4"/>
  <c r="K62" i="4"/>
  <c r="T61" i="4"/>
  <c r="S61" i="4"/>
  <c r="K61" i="4"/>
  <c r="T60" i="4"/>
  <c r="S60" i="4"/>
  <c r="K60" i="4"/>
  <c r="T59" i="4"/>
  <c r="S59" i="4"/>
  <c r="K59" i="4"/>
  <c r="T58" i="4"/>
  <c r="S58" i="4"/>
  <c r="K58" i="4"/>
  <c r="T57" i="4"/>
  <c r="S57" i="4"/>
  <c r="K57" i="4"/>
  <c r="T56" i="4"/>
  <c r="S56" i="4"/>
  <c r="K56" i="4"/>
  <c r="T55" i="4"/>
  <c r="S55" i="4"/>
  <c r="K55" i="4"/>
  <c r="T54" i="4"/>
  <c r="S54" i="4"/>
  <c r="K54" i="4"/>
  <c r="T53" i="4"/>
  <c r="S53" i="4"/>
  <c r="K53" i="4"/>
  <c r="T52" i="4"/>
  <c r="S52" i="4"/>
  <c r="K52" i="4"/>
  <c r="T51" i="4"/>
  <c r="S51" i="4"/>
  <c r="K51" i="4"/>
  <c r="T50" i="4"/>
  <c r="S50" i="4"/>
  <c r="K50" i="4"/>
  <c r="T49" i="4"/>
  <c r="S49" i="4"/>
  <c r="K49" i="4"/>
  <c r="T48" i="4"/>
  <c r="S48" i="4"/>
  <c r="K48" i="4"/>
  <c r="T47" i="4"/>
  <c r="S47" i="4"/>
  <c r="K47" i="4"/>
  <c r="T46" i="4"/>
  <c r="S46" i="4"/>
  <c r="K46" i="4"/>
  <c r="T45" i="4"/>
  <c r="S45" i="4"/>
  <c r="K45" i="4"/>
  <c r="T44" i="4"/>
  <c r="S44" i="4"/>
  <c r="K44" i="4"/>
  <c r="T43" i="4"/>
  <c r="S43" i="4"/>
  <c r="K43" i="4"/>
  <c r="T42" i="4"/>
  <c r="S42" i="4"/>
  <c r="K42" i="4"/>
  <c r="T41" i="4"/>
  <c r="S41" i="4"/>
  <c r="K41" i="4"/>
  <c r="T40" i="4"/>
  <c r="S40" i="4"/>
  <c r="K40" i="4"/>
  <c r="T39" i="4"/>
  <c r="S39" i="4"/>
  <c r="K39" i="4"/>
  <c r="T38" i="4"/>
  <c r="S38" i="4"/>
  <c r="K38" i="4"/>
  <c r="T37" i="4"/>
  <c r="S37" i="4"/>
  <c r="K37" i="4"/>
  <c r="T36" i="4"/>
  <c r="S36" i="4"/>
  <c r="K36" i="4"/>
  <c r="T35" i="4"/>
  <c r="S35" i="4"/>
  <c r="K35" i="4"/>
  <c r="T34" i="4"/>
  <c r="S34" i="4"/>
  <c r="K34" i="4"/>
  <c r="T33" i="4"/>
  <c r="S33" i="4"/>
  <c r="K33" i="4"/>
  <c r="T32" i="4"/>
  <c r="S32" i="4"/>
  <c r="K32" i="4"/>
  <c r="T31" i="4"/>
  <c r="S31" i="4"/>
  <c r="K31" i="4"/>
  <c r="T30" i="4"/>
  <c r="S30" i="4"/>
  <c r="K30" i="4"/>
  <c r="T29" i="4"/>
  <c r="S29" i="4"/>
  <c r="K29" i="4"/>
  <c r="T28" i="4"/>
  <c r="S28" i="4"/>
  <c r="K28" i="4"/>
  <c r="T27" i="4"/>
  <c r="S27" i="4"/>
  <c r="K27" i="4"/>
  <c r="T26" i="4"/>
  <c r="S26" i="4"/>
  <c r="K26" i="4"/>
  <c r="T25" i="4"/>
  <c r="S25" i="4"/>
  <c r="K25" i="4"/>
  <c r="T24" i="4"/>
  <c r="S24" i="4"/>
  <c r="K24" i="4"/>
  <c r="T23" i="4"/>
  <c r="S23" i="4"/>
  <c r="K23" i="4"/>
  <c r="T22" i="4"/>
  <c r="S22" i="4"/>
  <c r="K22" i="4"/>
  <c r="T21" i="4"/>
  <c r="S21" i="4"/>
  <c r="K21" i="4"/>
  <c r="T20" i="4"/>
  <c r="S20" i="4"/>
  <c r="K20" i="4"/>
  <c r="T19" i="4"/>
  <c r="S19" i="4"/>
  <c r="K19" i="4"/>
  <c r="T18" i="4"/>
  <c r="S18" i="4"/>
  <c r="K18" i="4"/>
  <c r="T17" i="4"/>
  <c r="S17" i="4"/>
  <c r="K17" i="4"/>
  <c r="T16" i="4"/>
  <c r="S16" i="4"/>
  <c r="K16" i="4"/>
  <c r="T15" i="4"/>
  <c r="S15" i="4"/>
  <c r="K15" i="4"/>
  <c r="T14" i="4"/>
  <c r="S14" i="4"/>
  <c r="K14" i="4"/>
  <c r="T13" i="4"/>
  <c r="S13" i="4"/>
  <c r="K13" i="4"/>
  <c r="T12" i="4"/>
  <c r="S12" i="4"/>
  <c r="K12" i="4"/>
  <c r="T11" i="4"/>
  <c r="S11" i="4"/>
  <c r="K11" i="4"/>
  <c r="T10" i="4"/>
  <c r="S10" i="4"/>
  <c r="K10" i="4"/>
  <c r="T9" i="4"/>
  <c r="S9" i="4"/>
  <c r="K9" i="4"/>
  <c r="T8" i="4"/>
  <c r="S8" i="4"/>
  <c r="K8" i="4"/>
  <c r="T7" i="4"/>
  <c r="S7" i="4"/>
  <c r="K7" i="4"/>
  <c r="T6" i="4"/>
  <c r="S6" i="4"/>
  <c r="K6" i="4"/>
  <c r="T5" i="4"/>
  <c r="S5" i="4"/>
  <c r="K5" i="4"/>
  <c r="T4" i="4"/>
  <c r="S4" i="4"/>
  <c r="K4" i="4"/>
  <c r="T3" i="4"/>
  <c r="S3" i="4"/>
  <c r="K3" i="4"/>
  <c r="T2" i="4"/>
  <c r="S2" i="4"/>
  <c r="K2" i="4"/>
  <c r="S3" i="3"/>
  <c r="T3" i="3"/>
  <c r="S4" i="3"/>
  <c r="T4" i="3"/>
  <c r="S5" i="3"/>
  <c r="T5" i="3"/>
  <c r="S6" i="3"/>
  <c r="T6" i="3"/>
  <c r="S7" i="3"/>
  <c r="T7" i="3"/>
  <c r="S8" i="3"/>
  <c r="T8" i="3"/>
  <c r="S9" i="3"/>
  <c r="T9" i="3"/>
  <c r="S10" i="3"/>
  <c r="T10" i="3"/>
  <c r="S11" i="3"/>
  <c r="T11" i="3"/>
  <c r="S12" i="3"/>
  <c r="T12" i="3"/>
  <c r="S13" i="3"/>
  <c r="T13" i="3"/>
  <c r="S14" i="3"/>
  <c r="T14" i="3"/>
  <c r="S15" i="3"/>
  <c r="T15" i="3"/>
  <c r="S16" i="3"/>
  <c r="T16" i="3"/>
  <c r="S17" i="3"/>
  <c r="T17" i="3"/>
  <c r="S18" i="3"/>
  <c r="T18" i="3"/>
  <c r="S19" i="3"/>
  <c r="T19" i="3"/>
  <c r="S20" i="3"/>
  <c r="T20" i="3"/>
  <c r="S21" i="3"/>
  <c r="T21" i="3"/>
  <c r="S22" i="3"/>
  <c r="T22" i="3"/>
  <c r="S23" i="3"/>
  <c r="T23" i="3"/>
  <c r="S24" i="3"/>
  <c r="T24" i="3"/>
  <c r="S25" i="3"/>
  <c r="T25" i="3"/>
  <c r="S26" i="3"/>
  <c r="T26" i="3"/>
  <c r="S27" i="3"/>
  <c r="T27" i="3"/>
  <c r="S28" i="3"/>
  <c r="T28" i="3"/>
  <c r="S29" i="3"/>
  <c r="T29" i="3"/>
  <c r="S30" i="3"/>
  <c r="T30" i="3"/>
  <c r="S31" i="3"/>
  <c r="T31" i="3"/>
  <c r="S32" i="3"/>
  <c r="T32" i="3"/>
  <c r="S33" i="3"/>
  <c r="T33" i="3"/>
  <c r="S34" i="3"/>
  <c r="T34" i="3"/>
  <c r="S35" i="3"/>
  <c r="T35" i="3"/>
  <c r="S36" i="3"/>
  <c r="T36" i="3"/>
  <c r="S37" i="3"/>
  <c r="T37" i="3"/>
  <c r="S38" i="3"/>
  <c r="T38" i="3"/>
  <c r="S39" i="3"/>
  <c r="T39" i="3"/>
  <c r="S40" i="3"/>
  <c r="T40" i="3"/>
  <c r="S41" i="3"/>
  <c r="T41" i="3"/>
  <c r="S42" i="3"/>
  <c r="T42" i="3"/>
  <c r="S43" i="3"/>
  <c r="T43" i="3"/>
  <c r="S44" i="3"/>
  <c r="T44" i="3"/>
  <c r="S45" i="3"/>
  <c r="T45" i="3"/>
  <c r="S46" i="3"/>
  <c r="T46" i="3"/>
  <c r="S47" i="3"/>
  <c r="T47" i="3"/>
  <c r="S48" i="3"/>
  <c r="T48" i="3"/>
  <c r="S49" i="3"/>
  <c r="T49" i="3"/>
  <c r="S50" i="3"/>
  <c r="T50" i="3"/>
  <c r="S51" i="3"/>
  <c r="T51" i="3"/>
  <c r="S52" i="3"/>
  <c r="T52" i="3"/>
  <c r="S53" i="3"/>
  <c r="T53" i="3"/>
  <c r="S54" i="3"/>
  <c r="T54" i="3"/>
  <c r="S55" i="3"/>
  <c r="T55" i="3"/>
  <c r="S56" i="3"/>
  <c r="T56" i="3"/>
  <c r="S57" i="3"/>
  <c r="T57" i="3"/>
  <c r="S58" i="3"/>
  <c r="T58" i="3"/>
  <c r="S59" i="3"/>
  <c r="T59" i="3"/>
  <c r="S60" i="3"/>
  <c r="T60" i="3"/>
  <c r="S61" i="3"/>
  <c r="T61" i="3"/>
  <c r="S62" i="3"/>
  <c r="T62" i="3"/>
  <c r="S63" i="3"/>
  <c r="T63" i="3"/>
  <c r="S64" i="3"/>
  <c r="T64" i="3"/>
  <c r="S65" i="3"/>
  <c r="T65" i="3"/>
  <c r="S66" i="3"/>
  <c r="T66" i="3"/>
  <c r="S67" i="3"/>
  <c r="T67" i="3"/>
  <c r="S68" i="3"/>
  <c r="T68" i="3"/>
  <c r="S69" i="3"/>
  <c r="T69" i="3"/>
  <c r="S70" i="3"/>
  <c r="T70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T2" i="3"/>
  <c r="S2" i="3"/>
  <c r="K2" i="3"/>
  <c r="N71" i="2"/>
  <c r="O71" i="2"/>
  <c r="P71" i="2"/>
  <c r="Q71" i="2"/>
  <c r="R71" i="2"/>
  <c r="S71" i="2"/>
  <c r="T71" i="2"/>
  <c r="M71" i="2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R70" i="2" s="1"/>
  <c r="K68" i="2"/>
  <c r="K69" i="2"/>
  <c r="K70" i="2"/>
  <c r="M68" i="2"/>
  <c r="M69" i="2"/>
  <c r="N68" i="2"/>
  <c r="N69" i="2"/>
  <c r="O68" i="2"/>
  <c r="O69" i="2"/>
  <c r="O70" i="2"/>
  <c r="P68" i="2"/>
  <c r="P69" i="2"/>
  <c r="Q68" i="2"/>
  <c r="Q69" i="2"/>
  <c r="R68" i="2"/>
  <c r="R69" i="2"/>
  <c r="S68" i="2"/>
  <c r="S69" i="2"/>
  <c r="S70" i="2"/>
  <c r="T68" i="2"/>
  <c r="T69" i="2"/>
  <c r="T70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B7" i="1"/>
  <c r="B8" i="1"/>
  <c r="B9" i="1"/>
  <c r="B10" i="1"/>
  <c r="B15" i="1"/>
  <c r="B16" i="1"/>
  <c r="C16" i="1" s="1"/>
  <c r="H16" i="1" s="1"/>
  <c r="B17" i="1"/>
  <c r="B18" i="1"/>
  <c r="B23" i="1"/>
  <c r="B24" i="1"/>
  <c r="B25" i="1"/>
  <c r="B26" i="1"/>
  <c r="B31" i="1"/>
  <c r="B32" i="1"/>
  <c r="C32" i="1" s="1"/>
  <c r="H32" i="1" s="1"/>
  <c r="B33" i="1"/>
  <c r="B34" i="1"/>
  <c r="B39" i="1"/>
  <c r="B40" i="1"/>
  <c r="B41" i="1"/>
  <c r="B42" i="1"/>
  <c r="B47" i="1"/>
  <c r="B48" i="1"/>
  <c r="C48" i="1" s="1"/>
  <c r="H48" i="1" s="1"/>
  <c r="B49" i="1"/>
  <c r="B50" i="1"/>
  <c r="B55" i="1"/>
  <c r="B56" i="1"/>
  <c r="B57" i="1"/>
  <c r="B58" i="1"/>
  <c r="B63" i="1"/>
  <c r="B64" i="1"/>
  <c r="C64" i="1" s="1"/>
  <c r="H64" i="1" s="1"/>
  <c r="B65" i="1"/>
  <c r="B66" i="1"/>
  <c r="B71" i="1"/>
  <c r="B72" i="1"/>
  <c r="B73" i="1"/>
  <c r="B74" i="1"/>
  <c r="A7" i="1"/>
  <c r="A8" i="1"/>
  <c r="A9" i="1"/>
  <c r="A10" i="1"/>
  <c r="A11" i="1"/>
  <c r="B11" i="1" s="1"/>
  <c r="A12" i="1"/>
  <c r="B12" i="1" s="1"/>
  <c r="A13" i="1"/>
  <c r="B13" i="1" s="1"/>
  <c r="A14" i="1"/>
  <c r="B14" i="1" s="1"/>
  <c r="A15" i="1"/>
  <c r="A16" i="1"/>
  <c r="A17" i="1"/>
  <c r="A18" i="1"/>
  <c r="A19" i="1"/>
  <c r="B19" i="1" s="1"/>
  <c r="A20" i="1"/>
  <c r="B20" i="1" s="1"/>
  <c r="A21" i="1"/>
  <c r="B21" i="1" s="1"/>
  <c r="A22" i="1"/>
  <c r="B22" i="1" s="1"/>
  <c r="A23" i="1"/>
  <c r="A24" i="1"/>
  <c r="A25" i="1"/>
  <c r="A26" i="1"/>
  <c r="A27" i="1"/>
  <c r="B27" i="1" s="1"/>
  <c r="A28" i="1"/>
  <c r="B28" i="1" s="1"/>
  <c r="A29" i="1"/>
  <c r="B29" i="1" s="1"/>
  <c r="A30" i="1"/>
  <c r="B30" i="1" s="1"/>
  <c r="A31" i="1"/>
  <c r="A32" i="1"/>
  <c r="A33" i="1"/>
  <c r="A34" i="1"/>
  <c r="A35" i="1"/>
  <c r="B35" i="1" s="1"/>
  <c r="A36" i="1"/>
  <c r="B36" i="1" s="1"/>
  <c r="A37" i="1"/>
  <c r="B37" i="1" s="1"/>
  <c r="A38" i="1"/>
  <c r="B38" i="1" s="1"/>
  <c r="A39" i="1"/>
  <c r="A40" i="1"/>
  <c r="A41" i="1"/>
  <c r="A42" i="1"/>
  <c r="A43" i="1"/>
  <c r="B43" i="1" s="1"/>
  <c r="A44" i="1"/>
  <c r="B44" i="1" s="1"/>
  <c r="A45" i="1"/>
  <c r="B45" i="1" s="1"/>
  <c r="A46" i="1"/>
  <c r="B46" i="1" s="1"/>
  <c r="A47" i="1"/>
  <c r="A48" i="1"/>
  <c r="A49" i="1"/>
  <c r="A50" i="1"/>
  <c r="A51" i="1"/>
  <c r="B51" i="1" s="1"/>
  <c r="A52" i="1"/>
  <c r="B52" i="1" s="1"/>
  <c r="A53" i="1"/>
  <c r="B53" i="1" s="1"/>
  <c r="A54" i="1"/>
  <c r="B54" i="1" s="1"/>
  <c r="A55" i="1"/>
  <c r="A56" i="1"/>
  <c r="A57" i="1"/>
  <c r="A58" i="1"/>
  <c r="A59" i="1"/>
  <c r="B59" i="1" s="1"/>
  <c r="A60" i="1"/>
  <c r="B60" i="1" s="1"/>
  <c r="A61" i="1"/>
  <c r="B61" i="1" s="1"/>
  <c r="C61" i="1" s="1"/>
  <c r="H61" i="1" s="1"/>
  <c r="A62" i="1"/>
  <c r="B62" i="1" s="1"/>
  <c r="A63" i="1"/>
  <c r="A64" i="1"/>
  <c r="A65" i="1"/>
  <c r="A66" i="1"/>
  <c r="A67" i="1"/>
  <c r="B67" i="1" s="1"/>
  <c r="A68" i="1"/>
  <c r="B68" i="1" s="1"/>
  <c r="A69" i="1"/>
  <c r="B69" i="1" s="1"/>
  <c r="C69" i="1" s="1"/>
  <c r="H69" i="1" s="1"/>
  <c r="A70" i="1"/>
  <c r="B70" i="1" s="1"/>
  <c r="C70" i="1" s="1"/>
  <c r="H70" i="1" s="1"/>
  <c r="A71" i="1"/>
  <c r="A72" i="1"/>
  <c r="A73" i="1"/>
  <c r="A74" i="1"/>
  <c r="A75" i="1"/>
  <c r="B75" i="1" s="1"/>
  <c r="Q70" i="2" l="1"/>
  <c r="N70" i="2"/>
  <c r="P70" i="2"/>
  <c r="M70" i="2"/>
  <c r="I16" i="1"/>
  <c r="I61" i="1"/>
  <c r="J61" i="1"/>
  <c r="C66" i="1"/>
  <c r="H66" i="1" s="1"/>
  <c r="C50" i="1"/>
  <c r="H50" i="1" s="1"/>
  <c r="C34" i="1"/>
  <c r="H34" i="1" s="1"/>
  <c r="C18" i="1"/>
  <c r="H18" i="1" s="1"/>
  <c r="C65" i="1"/>
  <c r="H65" i="1" s="1"/>
  <c r="C49" i="1"/>
  <c r="H49" i="1" s="1"/>
  <c r="C33" i="1"/>
  <c r="H33" i="1" s="1"/>
  <c r="C17" i="1"/>
  <c r="H17" i="1" s="1"/>
  <c r="J70" i="1"/>
  <c r="I70" i="1"/>
  <c r="C62" i="1"/>
  <c r="H62" i="1" s="1"/>
  <c r="C54" i="1"/>
  <c r="H54" i="1" s="1"/>
  <c r="C46" i="1"/>
  <c r="H46" i="1" s="1"/>
  <c r="C38" i="1"/>
  <c r="H38" i="1" s="1"/>
  <c r="C30" i="1"/>
  <c r="H30" i="1" s="1"/>
  <c r="C22" i="1"/>
  <c r="H22" i="1" s="1"/>
  <c r="C14" i="1"/>
  <c r="H14" i="1" s="1"/>
  <c r="C74" i="1"/>
  <c r="H74" i="1" s="1"/>
  <c r="C58" i="1"/>
  <c r="H58" i="1" s="1"/>
  <c r="C42" i="1"/>
  <c r="H42" i="1" s="1"/>
  <c r="C26" i="1"/>
  <c r="H26" i="1" s="1"/>
  <c r="C39" i="1"/>
  <c r="H39" i="1" s="1"/>
  <c r="J32" i="1"/>
  <c r="I32" i="1"/>
  <c r="C53" i="1"/>
  <c r="H53" i="1" s="1"/>
  <c r="C45" i="1"/>
  <c r="H45" i="1" s="1"/>
  <c r="C37" i="1"/>
  <c r="H37" i="1" s="1"/>
  <c r="C29" i="1"/>
  <c r="H29" i="1" s="1"/>
  <c r="C21" i="1"/>
  <c r="H21" i="1" s="1"/>
  <c r="C13" i="1"/>
  <c r="H13" i="1" s="1"/>
  <c r="C73" i="1"/>
  <c r="H73" i="1" s="1"/>
  <c r="C57" i="1"/>
  <c r="H57" i="1" s="1"/>
  <c r="C41" i="1"/>
  <c r="H41" i="1" s="1"/>
  <c r="C25" i="1"/>
  <c r="H25" i="1" s="1"/>
  <c r="C9" i="1"/>
  <c r="H9" i="1" s="1"/>
  <c r="I64" i="1"/>
  <c r="C68" i="1"/>
  <c r="H68" i="1" s="1"/>
  <c r="C60" i="1"/>
  <c r="H60" i="1" s="1"/>
  <c r="C52" i="1"/>
  <c r="H52" i="1" s="1"/>
  <c r="C44" i="1"/>
  <c r="H44" i="1" s="1"/>
  <c r="C36" i="1"/>
  <c r="H36" i="1" s="1"/>
  <c r="C28" i="1"/>
  <c r="H28" i="1" s="1"/>
  <c r="C20" i="1"/>
  <c r="H20" i="1" s="1"/>
  <c r="C12" i="1"/>
  <c r="H12" i="1" s="1"/>
  <c r="C72" i="1"/>
  <c r="H72" i="1" s="1"/>
  <c r="C56" i="1"/>
  <c r="H56" i="1" s="1"/>
  <c r="C40" i="1"/>
  <c r="H40" i="1" s="1"/>
  <c r="C24" i="1"/>
  <c r="H24" i="1" s="1"/>
  <c r="C8" i="1"/>
  <c r="H8" i="1" s="1"/>
  <c r="I48" i="1"/>
  <c r="I69" i="1"/>
  <c r="C75" i="1"/>
  <c r="H75" i="1" s="1"/>
  <c r="C67" i="1"/>
  <c r="H67" i="1" s="1"/>
  <c r="C59" i="1"/>
  <c r="H59" i="1" s="1"/>
  <c r="C51" i="1"/>
  <c r="H51" i="1" s="1"/>
  <c r="C43" i="1"/>
  <c r="H43" i="1" s="1"/>
  <c r="C35" i="1"/>
  <c r="H35" i="1" s="1"/>
  <c r="C27" i="1"/>
  <c r="H27" i="1" s="1"/>
  <c r="C19" i="1"/>
  <c r="H19" i="1" s="1"/>
  <c r="C71" i="1"/>
  <c r="H71" i="1" s="1"/>
  <c r="C11" i="1"/>
  <c r="H11" i="1" s="1"/>
  <c r="C63" i="1"/>
  <c r="H63" i="1" s="1"/>
  <c r="C47" i="1"/>
  <c r="H47" i="1" s="1"/>
  <c r="C31" i="1"/>
  <c r="H31" i="1" s="1"/>
  <c r="C7" i="1"/>
  <c r="H7" i="1" s="1"/>
  <c r="C23" i="1"/>
  <c r="H23" i="1" s="1"/>
  <c r="C55" i="1"/>
  <c r="H55" i="1" s="1"/>
  <c r="C15" i="1"/>
  <c r="H15" i="1" s="1"/>
  <c r="C10" i="1"/>
  <c r="H10" i="1" s="1"/>
  <c r="I36" i="1" l="1"/>
  <c r="I25" i="1"/>
  <c r="I45" i="1"/>
  <c r="J45" i="1"/>
  <c r="I74" i="1"/>
  <c r="I50" i="1"/>
  <c r="I35" i="1"/>
  <c r="I42" i="1"/>
  <c r="J42" i="1"/>
  <c r="I43" i="1"/>
  <c r="I37" i="1"/>
  <c r="I47" i="1"/>
  <c r="I59" i="1"/>
  <c r="I24" i="1"/>
  <c r="I44" i="1"/>
  <c r="J44" i="1"/>
  <c r="J41" i="1"/>
  <c r="I41" i="1"/>
  <c r="I53" i="1"/>
  <c r="J14" i="1"/>
  <c r="I14" i="1"/>
  <c r="I66" i="1"/>
  <c r="J66" i="1"/>
  <c r="I54" i="1"/>
  <c r="I58" i="1"/>
  <c r="I51" i="1"/>
  <c r="I10" i="1"/>
  <c r="I11" i="1"/>
  <c r="I67" i="1"/>
  <c r="I40" i="1"/>
  <c r="I52" i="1"/>
  <c r="I57" i="1"/>
  <c r="I22" i="1"/>
  <c r="J22" i="1"/>
  <c r="I17" i="1"/>
  <c r="I7" i="1"/>
  <c r="I29" i="1"/>
  <c r="I31" i="1"/>
  <c r="I9" i="1"/>
  <c r="I34" i="1"/>
  <c r="I63" i="1"/>
  <c r="I15" i="1"/>
  <c r="I71" i="1"/>
  <c r="I75" i="1"/>
  <c r="J75" i="1"/>
  <c r="I56" i="1"/>
  <c r="I60" i="1"/>
  <c r="J73" i="1"/>
  <c r="I73" i="1"/>
  <c r="I30" i="1"/>
  <c r="I33" i="1"/>
  <c r="I55" i="1"/>
  <c r="I19" i="1"/>
  <c r="J72" i="1"/>
  <c r="I72" i="1"/>
  <c r="I68" i="1"/>
  <c r="I13" i="1"/>
  <c r="I39" i="1"/>
  <c r="I38" i="1"/>
  <c r="J49" i="1"/>
  <c r="I49" i="1"/>
  <c r="I20" i="1"/>
  <c r="J20" i="1"/>
  <c r="I18" i="1"/>
  <c r="I28" i="1"/>
  <c r="I62" i="1"/>
  <c r="I8" i="1"/>
  <c r="I23" i="1"/>
  <c r="I27" i="1"/>
  <c r="I12" i="1"/>
  <c r="I21" i="1"/>
  <c r="I26" i="1"/>
  <c r="J46" i="1"/>
  <c r="I46" i="1"/>
  <c r="I65" i="1"/>
  <c r="M12" i="1" l="1"/>
  <c r="M13" i="1"/>
  <c r="G1" i="5" l="1"/>
  <c r="G1" i="4"/>
  <c r="G1" i="3"/>
  <c r="M8" i="1" l="1"/>
  <c r="M9" i="1"/>
  <c r="M10" i="1"/>
  <c r="M11" i="1"/>
  <c r="M7" i="1"/>
  <c r="K2" i="2" l="1"/>
  <c r="AB15" i="2" l="1"/>
  <c r="AB14" i="2" l="1"/>
  <c r="AA8" i="2"/>
  <c r="AA9" i="2"/>
  <c r="AA10" i="2"/>
  <c r="AA11" i="2"/>
  <c r="AA12" i="2"/>
  <c r="AA13" i="2"/>
  <c r="AA7" i="2"/>
  <c r="AA15" i="2" l="1"/>
  <c r="AA14" i="2"/>
  <c r="P13" i="1" l="1"/>
  <c r="P11" i="1"/>
  <c r="P10" i="1"/>
  <c r="P8" i="1" l="1"/>
  <c r="P9" i="1"/>
  <c r="P12" i="1"/>
  <c r="P7" i="1"/>
  <c r="N67" i="2" l="1"/>
  <c r="Q67" i="2"/>
  <c r="S67" i="2"/>
  <c r="R67" i="2"/>
  <c r="P67" i="2"/>
  <c r="M67" i="2"/>
  <c r="O67" i="2"/>
  <c r="T67" i="2"/>
  <c r="S61" i="2"/>
  <c r="M61" i="2"/>
  <c r="Q61" i="2"/>
  <c r="N61" i="2"/>
  <c r="T61" i="2"/>
  <c r="R61" i="2"/>
  <c r="P61" i="2"/>
  <c r="O61" i="2"/>
  <c r="Q27" i="2" l="1"/>
  <c r="M27" i="2"/>
  <c r="T27" i="2"/>
  <c r="O27" i="2"/>
  <c r="N27" i="2"/>
  <c r="P27" i="2"/>
  <c r="S27" i="2"/>
  <c r="R27" i="2"/>
  <c r="M37" i="2" l="1"/>
  <c r="S37" i="2"/>
  <c r="O37" i="2"/>
  <c r="P37" i="2"/>
  <c r="T37" i="2"/>
  <c r="N37" i="2"/>
  <c r="Q37" i="2"/>
  <c r="R37" i="2"/>
  <c r="N41" i="2" l="1"/>
  <c r="M41" i="2"/>
  <c r="R41" i="2"/>
  <c r="O41" i="2"/>
  <c r="Q41" i="2"/>
  <c r="P41" i="2"/>
  <c r="T41" i="2"/>
  <c r="S41" i="2"/>
  <c r="R39" i="2" l="1"/>
  <c r="P39" i="2"/>
  <c r="Q39" i="2"/>
  <c r="N39" i="2"/>
  <c r="O39" i="2"/>
  <c r="M39" i="2"/>
  <c r="T39" i="2"/>
  <c r="S39" i="2"/>
  <c r="O36" i="2"/>
  <c r="S36" i="2"/>
  <c r="M36" i="2"/>
  <c r="R36" i="2"/>
  <c r="T36" i="2"/>
  <c r="N36" i="2"/>
  <c r="P36" i="2"/>
  <c r="Q36" i="2"/>
  <c r="T9" i="2" l="1"/>
  <c r="O9" i="2"/>
  <c r="R9" i="2"/>
  <c r="S9" i="2"/>
  <c r="Q9" i="2"/>
  <c r="P9" i="2"/>
  <c r="M9" i="2"/>
  <c r="N9" i="2"/>
  <c r="N44" i="2"/>
  <c r="O44" i="2"/>
  <c r="R44" i="2"/>
  <c r="Q44" i="2"/>
  <c r="S44" i="2"/>
  <c r="M44" i="2"/>
  <c r="T44" i="2"/>
  <c r="P44" i="2"/>
  <c r="O17" i="2" l="1"/>
  <c r="P17" i="2"/>
  <c r="Q17" i="2"/>
  <c r="R17" i="2"/>
  <c r="N17" i="2"/>
  <c r="S17" i="2"/>
  <c r="T17" i="2"/>
  <c r="M17" i="2"/>
  <c r="Q40" i="2"/>
  <c r="M40" i="2"/>
  <c r="N40" i="2"/>
  <c r="R40" i="2"/>
  <c r="P40" i="2"/>
  <c r="O40" i="2"/>
  <c r="S40" i="2"/>
  <c r="T40" i="2"/>
  <c r="S56" i="2" l="1"/>
  <c r="N56" i="2"/>
  <c r="O56" i="2"/>
  <c r="M56" i="2"/>
  <c r="Q56" i="2"/>
  <c r="T56" i="2"/>
  <c r="P56" i="2"/>
  <c r="R56" i="2"/>
  <c r="F2" i="1" l="1"/>
  <c r="J69" i="1" l="1"/>
  <c r="J64" i="1"/>
  <c r="J48" i="1"/>
  <c r="J26" i="1"/>
  <c r="J29" i="1"/>
  <c r="J16" i="1"/>
  <c r="J74" i="1"/>
  <c r="J43" i="1"/>
  <c r="J51" i="1"/>
  <c r="J19" i="1"/>
  <c r="J18" i="1"/>
  <c r="J57" i="1"/>
  <c r="J68" i="1"/>
  <c r="J12" i="1"/>
  <c r="J35" i="1"/>
  <c r="J62" i="1"/>
  <c r="M57" i="2" s="1"/>
  <c r="J13" i="1"/>
  <c r="J21" i="1"/>
  <c r="J50" i="1"/>
  <c r="J37" i="1"/>
  <c r="J10" i="1"/>
  <c r="J52" i="1"/>
  <c r="J34" i="1"/>
  <c r="J30" i="1"/>
  <c r="J27" i="1"/>
  <c r="J11" i="1"/>
  <c r="J59" i="1"/>
  <c r="J53" i="1"/>
  <c r="J58" i="1"/>
  <c r="J67" i="1"/>
  <c r="J56" i="1"/>
  <c r="J47" i="1"/>
  <c r="J24" i="1"/>
  <c r="J8" i="1"/>
  <c r="J33" i="1"/>
  <c r="J71" i="1"/>
  <c r="J28" i="1"/>
  <c r="J7" i="1"/>
  <c r="J54" i="1"/>
  <c r="J65" i="1"/>
  <c r="J39" i="1"/>
  <c r="J23" i="1"/>
  <c r="J60" i="1"/>
  <c r="J38" i="1"/>
  <c r="J17" i="1"/>
  <c r="J40" i="1"/>
  <c r="J9" i="1"/>
  <c r="J63" i="1"/>
  <c r="J31" i="1"/>
  <c r="J36" i="1"/>
  <c r="J55" i="1"/>
  <c r="J15" i="1"/>
  <c r="J25" i="1"/>
  <c r="P57" i="2" l="1"/>
  <c r="Q57" i="2"/>
  <c r="N57" i="2"/>
  <c r="R57" i="2"/>
  <c r="S57" i="2"/>
  <c r="T57" i="2"/>
  <c r="O57" i="2"/>
  <c r="P60" i="2"/>
  <c r="S60" i="2"/>
  <c r="M60" i="2"/>
  <c r="T60" i="2"/>
  <c r="N60" i="2"/>
  <c r="O60" i="2"/>
  <c r="Q60" i="2"/>
  <c r="R60" i="2"/>
  <c r="M65" i="2"/>
  <c r="N65" i="2"/>
  <c r="Q65" i="2"/>
  <c r="R65" i="2"/>
  <c r="T65" i="2"/>
  <c r="P65" i="2"/>
  <c r="O65" i="2"/>
  <c r="S65" i="2"/>
  <c r="N52" i="2"/>
  <c r="S52" i="2"/>
  <c r="M52" i="2"/>
  <c r="O52" i="2"/>
  <c r="R52" i="2"/>
  <c r="P52" i="2"/>
  <c r="Q52" i="2"/>
  <c r="T52" i="2"/>
  <c r="M51" i="2"/>
  <c r="O51" i="2"/>
  <c r="T51" i="2"/>
  <c r="Q51" i="2"/>
  <c r="S51" i="2"/>
  <c r="N51" i="2"/>
  <c r="R51" i="2"/>
  <c r="P51" i="2"/>
  <c r="O13" i="1"/>
  <c r="S31" i="2"/>
  <c r="P31" i="2"/>
  <c r="R31" i="2"/>
  <c r="T31" i="2"/>
  <c r="Q31" i="2"/>
  <c r="M31" i="2"/>
  <c r="N31" i="2"/>
  <c r="O31" i="2"/>
  <c r="R10" i="2"/>
  <c r="Q10" i="2"/>
  <c r="S10" i="2"/>
  <c r="P10" i="2"/>
  <c r="N10" i="2"/>
  <c r="M10" i="2"/>
  <c r="T10" i="2"/>
  <c r="O10" i="2"/>
  <c r="S30" i="2"/>
  <c r="P30" i="2"/>
  <c r="M30" i="2"/>
  <c r="N30" i="2"/>
  <c r="O30" i="2"/>
  <c r="Q30" i="2"/>
  <c r="T30" i="2"/>
  <c r="R30" i="2"/>
  <c r="T63" i="2"/>
  <c r="P63" i="2"/>
  <c r="M63" i="2"/>
  <c r="N63" i="2"/>
  <c r="S63" i="2"/>
  <c r="O63" i="2"/>
  <c r="Q63" i="2"/>
  <c r="R63" i="2"/>
  <c r="T48" i="2"/>
  <c r="O48" i="2"/>
  <c r="S48" i="2"/>
  <c r="Q48" i="2"/>
  <c r="M48" i="2"/>
  <c r="P48" i="2"/>
  <c r="R48" i="2"/>
  <c r="N48" i="2"/>
  <c r="N8" i="2"/>
  <c r="M8" i="2"/>
  <c r="T8" i="2"/>
  <c r="P8" i="2"/>
  <c r="Q8" i="2"/>
  <c r="S8" i="2"/>
  <c r="O8" i="2"/>
  <c r="R8" i="2"/>
  <c r="O5" i="2"/>
  <c r="N5" i="2"/>
  <c r="S5" i="2"/>
  <c r="T5" i="2"/>
  <c r="R5" i="2"/>
  <c r="Q5" i="2"/>
  <c r="M5" i="2"/>
  <c r="P5" i="2"/>
  <c r="R11" i="2"/>
  <c r="N11" i="2"/>
  <c r="S11" i="2"/>
  <c r="P11" i="2"/>
  <c r="T11" i="2"/>
  <c r="M11" i="2"/>
  <c r="Q11" i="2"/>
  <c r="O11" i="2"/>
  <c r="S16" i="2"/>
  <c r="N16" i="2"/>
  <c r="M16" i="2"/>
  <c r="T16" i="2"/>
  <c r="Q16" i="2"/>
  <c r="O16" i="2"/>
  <c r="P16" i="2"/>
  <c r="R16" i="2"/>
  <c r="G2" i="1"/>
  <c r="O7" i="1"/>
  <c r="B1" i="4"/>
  <c r="N50" i="2"/>
  <c r="O50" i="2"/>
  <c r="R50" i="2"/>
  <c r="Q50" i="2"/>
  <c r="T50" i="2"/>
  <c r="P50" i="2"/>
  <c r="M50" i="2"/>
  <c r="S50" i="2"/>
  <c r="Q38" i="2"/>
  <c r="P38" i="2"/>
  <c r="O38" i="2"/>
  <c r="R38" i="2"/>
  <c r="T38" i="2"/>
  <c r="N38" i="2"/>
  <c r="S38" i="2"/>
  <c r="M38" i="2"/>
  <c r="Q43" i="2"/>
  <c r="M43" i="2"/>
  <c r="P43" i="2"/>
  <c r="O43" i="2"/>
  <c r="T43" i="2"/>
  <c r="N43" i="2"/>
  <c r="R43" i="2"/>
  <c r="S43" i="2"/>
  <c r="O8" i="1"/>
  <c r="Q7" i="2"/>
  <c r="O7" i="2"/>
  <c r="R7" i="2"/>
  <c r="T7" i="2"/>
  <c r="N7" i="2"/>
  <c r="M7" i="2"/>
  <c r="P7" i="2"/>
  <c r="S7" i="2"/>
  <c r="R62" i="2"/>
  <c r="M62" i="2"/>
  <c r="O62" i="2"/>
  <c r="N62" i="2"/>
  <c r="Q62" i="2"/>
  <c r="S62" i="2"/>
  <c r="T62" i="2"/>
  <c r="P62" i="2"/>
  <c r="M29" i="2"/>
  <c r="O29" i="2"/>
  <c r="Q29" i="2"/>
  <c r="N29" i="2"/>
  <c r="R29" i="2"/>
  <c r="S29" i="2"/>
  <c r="P29" i="2"/>
  <c r="T29" i="2"/>
  <c r="O12" i="2"/>
  <c r="P12" i="2"/>
  <c r="N12" i="2"/>
  <c r="T12" i="2"/>
  <c r="Q12" i="2"/>
  <c r="R12" i="2"/>
  <c r="S12" i="2"/>
  <c r="M12" i="2"/>
  <c r="O25" i="2"/>
  <c r="M25" i="2"/>
  <c r="Q25" i="2"/>
  <c r="N25" i="2"/>
  <c r="T25" i="2"/>
  <c r="R25" i="2"/>
  <c r="P25" i="2"/>
  <c r="S25" i="2"/>
  <c r="M33" i="2"/>
  <c r="R33" i="2"/>
  <c r="T33" i="2"/>
  <c r="N33" i="2"/>
  <c r="P33" i="2"/>
  <c r="S33" i="2"/>
  <c r="O33" i="2"/>
  <c r="Q33" i="2"/>
  <c r="R26" i="2"/>
  <c r="P26" i="2"/>
  <c r="Q26" i="2"/>
  <c r="T26" i="2"/>
  <c r="O26" i="2"/>
  <c r="N26" i="2"/>
  <c r="S26" i="2"/>
  <c r="M26" i="2"/>
  <c r="M58" i="2"/>
  <c r="N58" i="2"/>
  <c r="R58" i="2"/>
  <c r="P58" i="2"/>
  <c r="S58" i="2"/>
  <c r="T58" i="2"/>
  <c r="O58" i="2"/>
  <c r="Q58" i="2"/>
  <c r="Q53" i="2"/>
  <c r="R53" i="2"/>
  <c r="S53" i="2"/>
  <c r="N53" i="2"/>
  <c r="O53" i="2"/>
  <c r="P53" i="2"/>
  <c r="T53" i="2"/>
  <c r="M53" i="2"/>
  <c r="T45" i="2"/>
  <c r="Q45" i="2"/>
  <c r="M45" i="2"/>
  <c r="N45" i="2"/>
  <c r="S45" i="2"/>
  <c r="R45" i="2"/>
  <c r="O45" i="2"/>
  <c r="P45" i="2"/>
  <c r="O11" i="1"/>
  <c r="N20" i="2"/>
  <c r="R20" i="2"/>
  <c r="P20" i="2"/>
  <c r="T20" i="2"/>
  <c r="Q20" i="2"/>
  <c r="S20" i="2"/>
  <c r="M20" i="2"/>
  <c r="O20" i="2"/>
  <c r="B1" i="3"/>
  <c r="O9" i="1"/>
  <c r="O19" i="2"/>
  <c r="N19" i="2"/>
  <c r="T19" i="2"/>
  <c r="Q19" i="2"/>
  <c r="S19" i="2"/>
  <c r="R19" i="2"/>
  <c r="M19" i="2"/>
  <c r="P19" i="2"/>
  <c r="M54" i="2"/>
  <c r="S54" i="2"/>
  <c r="Q54" i="2"/>
  <c r="R54" i="2"/>
  <c r="T54" i="2"/>
  <c r="O54" i="2"/>
  <c r="N54" i="2"/>
  <c r="P54" i="2"/>
  <c r="P21" i="2"/>
  <c r="Q21" i="2"/>
  <c r="R21" i="2"/>
  <c r="S21" i="2"/>
  <c r="T21" i="2"/>
  <c r="N21" i="2"/>
  <c r="M21" i="2"/>
  <c r="O21" i="2"/>
  <c r="S14" i="2"/>
  <c r="N14" i="2"/>
  <c r="T14" i="2"/>
  <c r="P14" i="2"/>
  <c r="Q14" i="2"/>
  <c r="M14" i="2"/>
  <c r="O14" i="2"/>
  <c r="R14" i="2"/>
  <c r="O34" i="2"/>
  <c r="Q34" i="2"/>
  <c r="P34" i="2"/>
  <c r="T34" i="2"/>
  <c r="M34" i="2"/>
  <c r="S34" i="2"/>
  <c r="N34" i="2"/>
  <c r="R34" i="2"/>
  <c r="T4" i="2"/>
  <c r="O4" i="2"/>
  <c r="P4" i="2"/>
  <c r="R4" i="2"/>
  <c r="N4" i="2"/>
  <c r="S4" i="2"/>
  <c r="Q4" i="2"/>
  <c r="M4" i="2"/>
  <c r="O3" i="2"/>
  <c r="Q3" i="2"/>
  <c r="P3" i="2"/>
  <c r="R3" i="2"/>
  <c r="S3" i="2"/>
  <c r="T3" i="2"/>
  <c r="N3" i="2"/>
  <c r="M3" i="2"/>
  <c r="Q47" i="2"/>
  <c r="O47" i="2"/>
  <c r="P47" i="2"/>
  <c r="T47" i="2"/>
  <c r="R47" i="2"/>
  <c r="N47" i="2"/>
  <c r="S47" i="2"/>
  <c r="M47" i="2"/>
  <c r="O12" i="1"/>
  <c r="B1" i="5"/>
  <c r="O42" i="2"/>
  <c r="P42" i="2"/>
  <c r="M42" i="2"/>
  <c r="Q42" i="2"/>
  <c r="N42" i="2"/>
  <c r="S42" i="2"/>
  <c r="T42" i="2"/>
  <c r="R42" i="2"/>
  <c r="T23" i="2"/>
  <c r="M23" i="2"/>
  <c r="P23" i="2"/>
  <c r="R23" i="2"/>
  <c r="S23" i="2"/>
  <c r="O23" i="2"/>
  <c r="N23" i="2"/>
  <c r="Q23" i="2"/>
  <c r="N18" i="2"/>
  <c r="P18" i="2"/>
  <c r="Q18" i="2"/>
  <c r="T18" i="2"/>
  <c r="S18" i="2"/>
  <c r="M18" i="2"/>
  <c r="R18" i="2"/>
  <c r="O18" i="2"/>
  <c r="P66" i="2"/>
  <c r="S66" i="2"/>
  <c r="N66" i="2"/>
  <c r="R66" i="2"/>
  <c r="Q66" i="2"/>
  <c r="T66" i="2"/>
  <c r="M66" i="2"/>
  <c r="O66" i="2"/>
  <c r="P59" i="2"/>
  <c r="N59" i="2"/>
  <c r="Q59" i="2"/>
  <c r="O59" i="2"/>
  <c r="M59" i="2"/>
  <c r="S59" i="2"/>
  <c r="T59" i="2"/>
  <c r="R59" i="2"/>
  <c r="R49" i="2"/>
  <c r="P49" i="2"/>
  <c r="Q49" i="2"/>
  <c r="S49" i="2"/>
  <c r="O49" i="2"/>
  <c r="M49" i="2"/>
  <c r="N49" i="2"/>
  <c r="T49" i="2"/>
  <c r="S22" i="2"/>
  <c r="M22" i="2"/>
  <c r="N22" i="2"/>
  <c r="T22" i="2"/>
  <c r="P22" i="2"/>
  <c r="Q22" i="2"/>
  <c r="R22" i="2"/>
  <c r="O22" i="2"/>
  <c r="O10" i="1"/>
  <c r="P46" i="2"/>
  <c r="R46" i="2"/>
  <c r="O46" i="2"/>
  <c r="Q46" i="2"/>
  <c r="S46" i="2"/>
  <c r="N46" i="2"/>
  <c r="T46" i="2"/>
  <c r="M46" i="2"/>
  <c r="N24" i="2"/>
  <c r="R24" i="2"/>
  <c r="T24" i="2"/>
  <c r="P24" i="2"/>
  <c r="M24" i="2"/>
  <c r="Q24" i="2"/>
  <c r="O24" i="2"/>
  <c r="S24" i="2"/>
  <c r="N64" i="2"/>
  <c r="P64" i="2"/>
  <c r="R64" i="2"/>
  <c r="Q64" i="2"/>
  <c r="S64" i="2"/>
  <c r="T64" i="2"/>
  <c r="O64" i="2"/>
  <c r="M64" i="2"/>
  <c r="S55" i="2"/>
  <c r="O55" i="2"/>
  <c r="R55" i="2"/>
  <c r="P55" i="2"/>
  <c r="M55" i="2"/>
  <c r="T55" i="2"/>
  <c r="Q55" i="2"/>
  <c r="N55" i="2"/>
  <c r="Q28" i="2" l="1"/>
  <c r="M28" i="2"/>
  <c r="P28" i="2"/>
  <c r="R28" i="2"/>
  <c r="N28" i="2"/>
  <c r="S28" i="2"/>
  <c r="T28" i="2"/>
  <c r="O28" i="2"/>
  <c r="N13" i="2"/>
  <c r="B5" i="5" s="1"/>
  <c r="P13" i="2"/>
  <c r="D5" i="5" s="1"/>
  <c r="R13" i="2"/>
  <c r="F5" i="5" s="1"/>
  <c r="F9" i="5" s="1"/>
  <c r="Q13" i="2"/>
  <c r="E5" i="5" s="1"/>
  <c r="O13" i="2"/>
  <c r="C5" i="5" s="1"/>
  <c r="T13" i="2"/>
  <c r="M13" i="2"/>
  <c r="A5" i="5" s="1"/>
  <c r="A9" i="5" s="1"/>
  <c r="S13" i="2"/>
  <c r="G5" i="5" s="1"/>
  <c r="G9" i="5" s="1"/>
  <c r="S2" i="2"/>
  <c r="O2" i="2"/>
  <c r="T2" i="2"/>
  <c r="N2" i="2"/>
  <c r="P2" i="2"/>
  <c r="Q2" i="2"/>
  <c r="R2" i="2"/>
  <c r="M2" i="2"/>
  <c r="O17" i="1"/>
  <c r="O14" i="1"/>
  <c r="Q32" i="2"/>
  <c r="S32" i="2"/>
  <c r="G5" i="3" s="1"/>
  <c r="G9" i="3" s="1"/>
  <c r="N32" i="2"/>
  <c r="B5" i="3" s="1"/>
  <c r="R32" i="2"/>
  <c r="F5" i="3" s="1"/>
  <c r="F9" i="3" s="1"/>
  <c r="P32" i="2"/>
  <c r="D5" i="3" s="1"/>
  <c r="M32" i="2"/>
  <c r="A5" i="3" s="1"/>
  <c r="A9" i="3" s="1"/>
  <c r="T32" i="2"/>
  <c r="O32" i="2"/>
  <c r="C5" i="3" s="1"/>
  <c r="T15" i="2"/>
  <c r="Q15" i="2"/>
  <c r="P15" i="2"/>
  <c r="S15" i="2"/>
  <c r="N15" i="2"/>
  <c r="O15" i="2"/>
  <c r="M15" i="2"/>
  <c r="R15" i="2"/>
  <c r="N35" i="2"/>
  <c r="T35" i="2"/>
  <c r="Q35" i="2"/>
  <c r="E5" i="3" s="1"/>
  <c r="O35" i="2"/>
  <c r="P35" i="2"/>
  <c r="R35" i="2"/>
  <c r="M35" i="2"/>
  <c r="S35" i="2"/>
  <c r="R6" i="2"/>
  <c r="Q6" i="2"/>
  <c r="M6" i="2"/>
  <c r="N6" i="2"/>
  <c r="P6" i="2"/>
  <c r="T6" i="2"/>
  <c r="O6" i="2"/>
  <c r="S6" i="2"/>
  <c r="L58" i="3" l="1"/>
  <c r="L67" i="3"/>
  <c r="L50" i="3"/>
  <c r="L59" i="3"/>
  <c r="L68" i="3"/>
  <c r="L51" i="3"/>
  <c r="L60" i="3"/>
  <c r="L70" i="3"/>
  <c r="L52" i="3"/>
  <c r="L62" i="3"/>
  <c r="L54" i="3"/>
  <c r="L63" i="3"/>
  <c r="L55" i="3"/>
  <c r="L64" i="3"/>
  <c r="L57" i="3"/>
  <c r="L65" i="3"/>
  <c r="L66" i="3"/>
  <c r="L47" i="3"/>
  <c r="L48" i="3"/>
  <c r="L56" i="3"/>
  <c r="L49" i="3"/>
  <c r="L53" i="3"/>
  <c r="L69" i="3"/>
  <c r="L61" i="3"/>
  <c r="Q50" i="3"/>
  <c r="Q61" i="3"/>
  <c r="Q54" i="3"/>
  <c r="Q52" i="3"/>
  <c r="Q65" i="3"/>
  <c r="Q49" i="3"/>
  <c r="Q53" i="3"/>
  <c r="Q66" i="3"/>
  <c r="Q56" i="3"/>
  <c r="Q68" i="3"/>
  <c r="Q57" i="3"/>
  <c r="Q69" i="3"/>
  <c r="Q62" i="3"/>
  <c r="Q58" i="3"/>
  <c r="Q70" i="3"/>
  <c r="Q60" i="3"/>
  <c r="Q64" i="3"/>
  <c r="Q48" i="3"/>
  <c r="Q47" i="3"/>
  <c r="Q59" i="3"/>
  <c r="Q51" i="3"/>
  <c r="Q67" i="3"/>
  <c r="Q63" i="3"/>
  <c r="Q55" i="3"/>
  <c r="R50" i="3"/>
  <c r="R54" i="3"/>
  <c r="R64" i="3"/>
  <c r="R56" i="3"/>
  <c r="R65" i="3"/>
  <c r="R48" i="3"/>
  <c r="R61" i="3"/>
  <c r="R57" i="3"/>
  <c r="R66" i="3"/>
  <c r="R49" i="3"/>
  <c r="R58" i="3"/>
  <c r="R67" i="3"/>
  <c r="R59" i="3"/>
  <c r="R68" i="3"/>
  <c r="R70" i="3"/>
  <c r="R51" i="3"/>
  <c r="R60" i="3"/>
  <c r="R69" i="3"/>
  <c r="R53" i="3"/>
  <c r="R62" i="3"/>
  <c r="R52" i="3"/>
  <c r="R55" i="3"/>
  <c r="R47" i="3"/>
  <c r="R63" i="3"/>
  <c r="R67" i="5"/>
  <c r="R63" i="5"/>
  <c r="R59" i="5"/>
  <c r="R55" i="5"/>
  <c r="R51" i="5"/>
  <c r="R47" i="5"/>
  <c r="R43" i="5"/>
  <c r="R39" i="5"/>
  <c r="R35" i="5"/>
  <c r="R31" i="5"/>
  <c r="R27" i="5"/>
  <c r="R23" i="5"/>
  <c r="R19" i="5"/>
  <c r="R7" i="5"/>
  <c r="R70" i="5"/>
  <c r="R66" i="5"/>
  <c r="R62" i="5"/>
  <c r="R58" i="5"/>
  <c r="R54" i="5"/>
  <c r="R50" i="5"/>
  <c r="R46" i="5"/>
  <c r="R42" i="5"/>
  <c r="R38" i="5"/>
  <c r="R34" i="5"/>
  <c r="R30" i="5"/>
  <c r="R26" i="5"/>
  <c r="R22" i="5"/>
  <c r="R18" i="5"/>
  <c r="R14" i="5"/>
  <c r="R10" i="5"/>
  <c r="R6" i="5"/>
  <c r="R2" i="5"/>
  <c r="R13" i="5"/>
  <c r="R5" i="5"/>
  <c r="R69" i="5"/>
  <c r="R65" i="5"/>
  <c r="R61" i="5"/>
  <c r="R57" i="5"/>
  <c r="R53" i="5"/>
  <c r="R49" i="5"/>
  <c r="R45" i="5"/>
  <c r="R41" i="5"/>
  <c r="R37" i="5"/>
  <c r="R33" i="5"/>
  <c r="R29" i="5"/>
  <c r="R25" i="5"/>
  <c r="R21" i="5"/>
  <c r="R17" i="5"/>
  <c r="R9" i="5"/>
  <c r="R68" i="5"/>
  <c r="R64" i="5"/>
  <c r="R60" i="5"/>
  <c r="R56" i="5"/>
  <c r="R52" i="5"/>
  <c r="R48" i="5"/>
  <c r="R44" i="5"/>
  <c r="R40" i="5"/>
  <c r="R36" i="5"/>
  <c r="R32" i="5"/>
  <c r="R28" i="5"/>
  <c r="R24" i="5"/>
  <c r="R20" i="5"/>
  <c r="R16" i="5"/>
  <c r="R12" i="5"/>
  <c r="R8" i="5"/>
  <c r="R4" i="5"/>
  <c r="R3" i="5"/>
  <c r="R15" i="5"/>
  <c r="R11" i="5"/>
  <c r="L70" i="5"/>
  <c r="L66" i="5"/>
  <c r="L62" i="5"/>
  <c r="L58" i="5"/>
  <c r="L54" i="5"/>
  <c r="L50" i="5"/>
  <c r="L46" i="5"/>
  <c r="L42" i="5"/>
  <c r="L38" i="5"/>
  <c r="L34" i="5"/>
  <c r="L30" i="5"/>
  <c r="L26" i="5"/>
  <c r="L22" i="5"/>
  <c r="L18" i="5"/>
  <c r="L10" i="5"/>
  <c r="L69" i="5"/>
  <c r="L65" i="5"/>
  <c r="L61" i="5"/>
  <c r="L57" i="5"/>
  <c r="L53" i="5"/>
  <c r="L49" i="5"/>
  <c r="L45" i="5"/>
  <c r="L41" i="5"/>
  <c r="L37" i="5"/>
  <c r="L33" i="5"/>
  <c r="L29" i="5"/>
  <c r="L25" i="5"/>
  <c r="L21" i="5"/>
  <c r="L17" i="5"/>
  <c r="L13" i="5"/>
  <c r="L9" i="5"/>
  <c r="L5" i="5"/>
  <c r="L4" i="5"/>
  <c r="L16" i="5"/>
  <c r="L8" i="5"/>
  <c r="L68" i="5"/>
  <c r="L64" i="5"/>
  <c r="L60" i="5"/>
  <c r="L56" i="5"/>
  <c r="L52" i="5"/>
  <c r="L48" i="5"/>
  <c r="L44" i="5"/>
  <c r="L40" i="5"/>
  <c r="L36" i="5"/>
  <c r="L32" i="5"/>
  <c r="L28" i="5"/>
  <c r="L24" i="5"/>
  <c r="L20" i="5"/>
  <c r="L12" i="5"/>
  <c r="L67" i="5"/>
  <c r="L63" i="5"/>
  <c r="L59" i="5"/>
  <c r="L55" i="5"/>
  <c r="L51" i="5"/>
  <c r="L47" i="5"/>
  <c r="L43" i="5"/>
  <c r="L39" i="5"/>
  <c r="L35" i="5"/>
  <c r="L31" i="5"/>
  <c r="L27" i="5"/>
  <c r="L23" i="5"/>
  <c r="L19" i="5"/>
  <c r="L15" i="5"/>
  <c r="L11" i="5"/>
  <c r="L7" i="5"/>
  <c r="L3" i="5"/>
  <c r="L14" i="5"/>
  <c r="L6" i="5"/>
  <c r="L2" i="5"/>
  <c r="Q67" i="5"/>
  <c r="Q63" i="5"/>
  <c r="Q59" i="5"/>
  <c r="Q55" i="5"/>
  <c r="Q51" i="5"/>
  <c r="Q47" i="5"/>
  <c r="Q43" i="5"/>
  <c r="Q39" i="5"/>
  <c r="Q35" i="5"/>
  <c r="Q31" i="5"/>
  <c r="Q27" i="5"/>
  <c r="Q23" i="5"/>
  <c r="Q19" i="5"/>
  <c r="Q15" i="5"/>
  <c r="Q11" i="5"/>
  <c r="Q7" i="5"/>
  <c r="Q3" i="5"/>
  <c r="Q70" i="5"/>
  <c r="Q66" i="5"/>
  <c r="Q62" i="5"/>
  <c r="Q58" i="5"/>
  <c r="Q54" i="5"/>
  <c r="Q50" i="5"/>
  <c r="Q46" i="5"/>
  <c r="Q42" i="5"/>
  <c r="Q38" i="5"/>
  <c r="Q34" i="5"/>
  <c r="Q30" i="5"/>
  <c r="Q26" i="5"/>
  <c r="Q22" i="5"/>
  <c r="Q18" i="5"/>
  <c r="Q14" i="5"/>
  <c r="Q10" i="5"/>
  <c r="Q6" i="5"/>
  <c r="Q2" i="5"/>
  <c r="Q69" i="5"/>
  <c r="Q65" i="5"/>
  <c r="Q61" i="5"/>
  <c r="Q57" i="5"/>
  <c r="Q53" i="5"/>
  <c r="Q49" i="5"/>
  <c r="Q45" i="5"/>
  <c r="Q41" i="5"/>
  <c r="Q37" i="5"/>
  <c r="Q33" i="5"/>
  <c r="Q29" i="5"/>
  <c r="Q25" i="5"/>
  <c r="Q21" i="5"/>
  <c r="Q17" i="5"/>
  <c r="Q13" i="5"/>
  <c r="Q9" i="5"/>
  <c r="Q5" i="5"/>
  <c r="Q68" i="5"/>
  <c r="Q64" i="5"/>
  <c r="Q60" i="5"/>
  <c r="Q56" i="5"/>
  <c r="Q52" i="5"/>
  <c r="Q48" i="5"/>
  <c r="Q44" i="5"/>
  <c r="Q40" i="5"/>
  <c r="Q36" i="5"/>
  <c r="Q32" i="5"/>
  <c r="Q28" i="5"/>
  <c r="Q24" i="5"/>
  <c r="Q20" i="5"/>
  <c r="Q16" i="5"/>
  <c r="Q12" i="5"/>
  <c r="Q8" i="5"/>
  <c r="Q4" i="5"/>
  <c r="L41" i="3"/>
  <c r="L9" i="3"/>
  <c r="L5" i="3"/>
  <c r="L44" i="3"/>
  <c r="L35" i="3"/>
  <c r="L25" i="3"/>
  <c r="L33" i="3"/>
  <c r="L15" i="3"/>
  <c r="L20" i="3"/>
  <c r="L14" i="3"/>
  <c r="L3" i="3"/>
  <c r="L42" i="3"/>
  <c r="L46" i="3"/>
  <c r="L38" i="3"/>
  <c r="L30" i="3"/>
  <c r="L27" i="3"/>
  <c r="L13" i="3"/>
  <c r="L22" i="3"/>
  <c r="L28" i="3"/>
  <c r="L45" i="3"/>
  <c r="L31" i="3"/>
  <c r="L10" i="3"/>
  <c r="L2" i="3"/>
  <c r="L32" i="3"/>
  <c r="L34" i="3"/>
  <c r="L19" i="3"/>
  <c r="L40" i="3"/>
  <c r="L39" i="3"/>
  <c r="L37" i="3"/>
  <c r="L11" i="3"/>
  <c r="L29" i="3"/>
  <c r="L36" i="3"/>
  <c r="L16" i="3"/>
  <c r="L26" i="3"/>
  <c r="L17" i="3"/>
  <c r="L6" i="3"/>
  <c r="L7" i="3"/>
  <c r="L18" i="3"/>
  <c r="L23" i="3"/>
  <c r="L21" i="3"/>
  <c r="L4" i="3"/>
  <c r="L24" i="3"/>
  <c r="L43" i="3"/>
  <c r="L12" i="3"/>
  <c r="L8" i="3"/>
  <c r="D5" i="4"/>
  <c r="C9" i="5"/>
  <c r="B9" i="6"/>
  <c r="D9" i="3"/>
  <c r="D10" i="6"/>
  <c r="B5" i="4"/>
  <c r="E9" i="5"/>
  <c r="B11" i="6"/>
  <c r="Q33" i="3"/>
  <c r="Q7" i="3"/>
  <c r="Q46" i="3"/>
  <c r="Q31" i="3"/>
  <c r="Q19" i="3"/>
  <c r="Q12" i="3"/>
  <c r="Q22" i="3"/>
  <c r="Q3" i="3"/>
  <c r="Q23" i="3"/>
  <c r="Q35" i="3"/>
  <c r="Q37" i="3"/>
  <c r="Q28" i="3"/>
  <c r="Q34" i="3"/>
  <c r="Q32" i="3"/>
  <c r="Q42" i="3"/>
  <c r="Q44" i="3"/>
  <c r="Q45" i="3"/>
  <c r="Q27" i="3"/>
  <c r="Q14" i="3"/>
  <c r="Q30" i="3"/>
  <c r="Q21" i="3"/>
  <c r="Q36" i="3"/>
  <c r="Q25" i="3"/>
  <c r="Q5" i="3"/>
  <c r="Q15" i="3"/>
  <c r="Q8" i="3"/>
  <c r="Q9" i="3"/>
  <c r="Q17" i="3"/>
  <c r="Q38" i="3"/>
  <c r="Q4" i="3"/>
  <c r="Q10" i="3"/>
  <c r="Q26" i="3"/>
  <c r="Q20" i="3"/>
  <c r="Q41" i="3"/>
  <c r="Q40" i="3"/>
  <c r="Q2" i="3"/>
  <c r="Q6" i="3"/>
  <c r="Q39" i="3"/>
  <c r="Q13" i="3"/>
  <c r="Q24" i="3"/>
  <c r="Q11" i="3"/>
  <c r="Q18" i="3"/>
  <c r="Q29" i="3"/>
  <c r="Q16" i="3"/>
  <c r="Q43" i="3"/>
  <c r="D11" i="6"/>
  <c r="E9" i="3"/>
  <c r="B9" i="3"/>
  <c r="D8" i="6"/>
  <c r="C5" i="4"/>
  <c r="B10" i="6"/>
  <c r="D9" i="5"/>
  <c r="R34" i="3"/>
  <c r="R42" i="3"/>
  <c r="R19" i="3"/>
  <c r="R2" i="3"/>
  <c r="R35" i="3"/>
  <c r="R29" i="3"/>
  <c r="R16" i="3"/>
  <c r="R40" i="3"/>
  <c r="R12" i="3"/>
  <c r="R4" i="3"/>
  <c r="R44" i="3"/>
  <c r="R39" i="3"/>
  <c r="R28" i="3"/>
  <c r="R23" i="3"/>
  <c r="R17" i="3"/>
  <c r="R36" i="3"/>
  <c r="R5" i="3"/>
  <c r="R24" i="3"/>
  <c r="R13" i="3"/>
  <c r="R32" i="3"/>
  <c r="R25" i="3"/>
  <c r="R7" i="3"/>
  <c r="R21" i="3"/>
  <c r="R15" i="3"/>
  <c r="R46" i="3"/>
  <c r="R41" i="3"/>
  <c r="R14" i="3"/>
  <c r="R38" i="3"/>
  <c r="R22" i="3"/>
  <c r="R31" i="3"/>
  <c r="R9" i="3"/>
  <c r="R18" i="3"/>
  <c r="R11" i="3"/>
  <c r="R43" i="3"/>
  <c r="R20" i="3"/>
  <c r="R37" i="3"/>
  <c r="R33" i="3"/>
  <c r="R10" i="3"/>
  <c r="R27" i="3"/>
  <c r="R45" i="3"/>
  <c r="R26" i="3"/>
  <c r="R30" i="3"/>
  <c r="R3" i="3"/>
  <c r="R6" i="3"/>
  <c r="R8" i="3"/>
  <c r="B8" i="6"/>
  <c r="B9" i="5"/>
  <c r="A5" i="4"/>
  <c r="A9" i="4" s="1"/>
  <c r="C9" i="3"/>
  <c r="D9" i="6"/>
  <c r="F5" i="4"/>
  <c r="F9" i="4" s="1"/>
  <c r="E5" i="4"/>
  <c r="L69" i="4" l="1"/>
  <c r="L65" i="4"/>
  <c r="L61" i="4"/>
  <c r="L57" i="4"/>
  <c r="L53" i="4"/>
  <c r="L49" i="4"/>
  <c r="L45" i="4"/>
  <c r="L41" i="4"/>
  <c r="L37" i="4"/>
  <c r="L33" i="4"/>
  <c r="L29" i="4"/>
  <c r="L25" i="4"/>
  <c r="L21" i="4"/>
  <c r="L17" i="4"/>
  <c r="L13" i="4"/>
  <c r="L9" i="4"/>
  <c r="L5" i="4"/>
  <c r="L68" i="4"/>
  <c r="L64" i="4"/>
  <c r="L60" i="4"/>
  <c r="L56" i="4"/>
  <c r="L52" i="4"/>
  <c r="L48" i="4"/>
  <c r="L44" i="4"/>
  <c r="L40" i="4"/>
  <c r="L36" i="4"/>
  <c r="L32" i="4"/>
  <c r="L28" i="4"/>
  <c r="L24" i="4"/>
  <c r="L20" i="4"/>
  <c r="L16" i="4"/>
  <c r="L12" i="4"/>
  <c r="L8" i="4"/>
  <c r="L4" i="4"/>
  <c r="L67" i="4"/>
  <c r="L63" i="4"/>
  <c r="L59" i="4"/>
  <c r="L55" i="4"/>
  <c r="L51" i="4"/>
  <c r="L47" i="4"/>
  <c r="L43" i="4"/>
  <c r="L39" i="4"/>
  <c r="L35" i="4"/>
  <c r="L31" i="4"/>
  <c r="L27" i="4"/>
  <c r="L23" i="4"/>
  <c r="L19" i="4"/>
  <c r="L15" i="4"/>
  <c r="L11" i="4"/>
  <c r="L7" i="4"/>
  <c r="L3" i="4"/>
  <c r="L62" i="4"/>
  <c r="L30" i="4"/>
  <c r="L54" i="4"/>
  <c r="L50" i="4"/>
  <c r="L18" i="4"/>
  <c r="L22" i="4"/>
  <c r="L70" i="4"/>
  <c r="L38" i="4"/>
  <c r="L6" i="4"/>
  <c r="L58" i="4"/>
  <c r="L26" i="4"/>
  <c r="L46" i="4"/>
  <c r="L14" i="4"/>
  <c r="L66" i="4"/>
  <c r="L34" i="4"/>
  <c r="L2" i="4"/>
  <c r="L42" i="4"/>
  <c r="L10" i="4"/>
  <c r="O54" i="3"/>
  <c r="O64" i="3"/>
  <c r="O55" i="3"/>
  <c r="O66" i="3"/>
  <c r="O56" i="3"/>
  <c r="O67" i="3"/>
  <c r="O58" i="3"/>
  <c r="O68" i="3"/>
  <c r="O59" i="3"/>
  <c r="O70" i="3"/>
  <c r="O50" i="3"/>
  <c r="O60" i="3"/>
  <c r="O47" i="3"/>
  <c r="O63" i="3"/>
  <c r="O51" i="3"/>
  <c r="O48" i="3"/>
  <c r="O52" i="3"/>
  <c r="O62" i="3"/>
  <c r="O69" i="3"/>
  <c r="O65" i="3"/>
  <c r="O57" i="3"/>
  <c r="O49" i="3"/>
  <c r="O61" i="3"/>
  <c r="O53" i="3"/>
  <c r="M57" i="3"/>
  <c r="M68" i="3"/>
  <c r="M58" i="3"/>
  <c r="M69" i="3"/>
  <c r="M60" i="3"/>
  <c r="M70" i="3"/>
  <c r="M50" i="3"/>
  <c r="M61" i="3"/>
  <c r="M52" i="3"/>
  <c r="M62" i="3"/>
  <c r="M53" i="3"/>
  <c r="M64" i="3"/>
  <c r="M54" i="3"/>
  <c r="M48" i="3"/>
  <c r="M56" i="3"/>
  <c r="M65" i="3"/>
  <c r="M66" i="3"/>
  <c r="M49" i="3"/>
  <c r="M47" i="3"/>
  <c r="M55" i="3"/>
  <c r="M67" i="3"/>
  <c r="M59" i="3"/>
  <c r="M51" i="3"/>
  <c r="M63" i="3"/>
  <c r="Q67" i="4"/>
  <c r="Q63" i="4"/>
  <c r="Q59" i="4"/>
  <c r="Q55" i="4"/>
  <c r="Q51" i="4"/>
  <c r="Q47" i="4"/>
  <c r="Q43" i="4"/>
  <c r="Q39" i="4"/>
  <c r="Q35" i="4"/>
  <c r="Q31" i="4"/>
  <c r="Q27" i="4"/>
  <c r="Q23" i="4"/>
  <c r="Q19" i="4"/>
  <c r="Q15" i="4"/>
  <c r="Q11" i="4"/>
  <c r="Q7" i="4"/>
  <c r="Q3" i="4"/>
  <c r="Q70" i="4"/>
  <c r="Q66" i="4"/>
  <c r="Q62" i="4"/>
  <c r="Q58" i="4"/>
  <c r="Q54" i="4"/>
  <c r="Q50" i="4"/>
  <c r="Q46" i="4"/>
  <c r="Q42" i="4"/>
  <c r="Q38" i="4"/>
  <c r="Q34" i="4"/>
  <c r="Q30" i="4"/>
  <c r="Q26" i="4"/>
  <c r="Q22" i="4"/>
  <c r="Q18" i="4"/>
  <c r="Q14" i="4"/>
  <c r="Q10" i="4"/>
  <c r="Q6" i="4"/>
  <c r="Q2" i="4"/>
  <c r="Q69" i="4"/>
  <c r="Q65" i="4"/>
  <c r="Q61" i="4"/>
  <c r="Q57" i="4"/>
  <c r="Q53" i="4"/>
  <c r="Q49" i="4"/>
  <c r="Q45" i="4"/>
  <c r="Q41" i="4"/>
  <c r="Q37" i="4"/>
  <c r="Q33" i="4"/>
  <c r="Q29" i="4"/>
  <c r="Q25" i="4"/>
  <c r="Q21" i="4"/>
  <c r="Q17" i="4"/>
  <c r="Q13" i="4"/>
  <c r="Q9" i="4"/>
  <c r="Q5" i="4"/>
  <c r="Q40" i="4"/>
  <c r="Q8" i="4"/>
  <c r="Q60" i="4"/>
  <c r="Q28" i="4"/>
  <c r="Q48" i="4"/>
  <c r="Q16" i="4"/>
  <c r="Q68" i="4"/>
  <c r="Q36" i="4"/>
  <c r="Q4" i="4"/>
  <c r="Q56" i="4"/>
  <c r="Q24" i="4"/>
  <c r="Q32" i="4"/>
  <c r="Q44" i="4"/>
  <c r="Q12" i="4"/>
  <c r="Q52" i="4"/>
  <c r="Q20" i="4"/>
  <c r="Q64" i="4"/>
  <c r="P53" i="3"/>
  <c r="P62" i="3"/>
  <c r="P55" i="3"/>
  <c r="P64" i="3"/>
  <c r="P56" i="3"/>
  <c r="P66" i="3"/>
  <c r="P58" i="3"/>
  <c r="P67" i="3"/>
  <c r="P50" i="3"/>
  <c r="P59" i="3"/>
  <c r="P52" i="3"/>
  <c r="P69" i="3"/>
  <c r="P54" i="3"/>
  <c r="P60" i="3"/>
  <c r="P61" i="3"/>
  <c r="P63" i="3"/>
  <c r="P47" i="3"/>
  <c r="P68" i="3"/>
  <c r="P48" i="3"/>
  <c r="P51" i="3"/>
  <c r="P70" i="3"/>
  <c r="P65" i="3"/>
  <c r="P57" i="3"/>
  <c r="P49" i="3"/>
  <c r="N56" i="3"/>
  <c r="N65" i="3"/>
  <c r="N57" i="3"/>
  <c r="N66" i="3"/>
  <c r="N58" i="3"/>
  <c r="N68" i="3"/>
  <c r="N50" i="3"/>
  <c r="N60" i="3"/>
  <c r="N69" i="3"/>
  <c r="N52" i="3"/>
  <c r="N61" i="3"/>
  <c r="N70" i="3"/>
  <c r="N53" i="3"/>
  <c r="N62" i="3"/>
  <c r="N55" i="3"/>
  <c r="N48" i="3"/>
  <c r="N63" i="3"/>
  <c r="N49" i="3"/>
  <c r="N64" i="3"/>
  <c r="N54" i="3"/>
  <c r="N67" i="3"/>
  <c r="N59" i="3"/>
  <c r="N51" i="3"/>
  <c r="N47" i="3"/>
  <c r="M69" i="5"/>
  <c r="M65" i="5"/>
  <c r="M61" i="5"/>
  <c r="M57" i="5"/>
  <c r="M53" i="5"/>
  <c r="M49" i="5"/>
  <c r="M45" i="5"/>
  <c r="M41" i="5"/>
  <c r="M37" i="5"/>
  <c r="M33" i="5"/>
  <c r="M29" i="5"/>
  <c r="M25" i="5"/>
  <c r="M21" i="5"/>
  <c r="M17" i="5"/>
  <c r="M13" i="5"/>
  <c r="M9" i="5"/>
  <c r="M5" i="5"/>
  <c r="M68" i="5"/>
  <c r="M64" i="5"/>
  <c r="M60" i="5"/>
  <c r="M56" i="5"/>
  <c r="M52" i="5"/>
  <c r="M48" i="5"/>
  <c r="M44" i="5"/>
  <c r="M40" i="5"/>
  <c r="M36" i="5"/>
  <c r="M32" i="5"/>
  <c r="M28" i="5"/>
  <c r="M24" i="5"/>
  <c r="M20" i="5"/>
  <c r="M16" i="5"/>
  <c r="M12" i="5"/>
  <c r="M8" i="5"/>
  <c r="M4" i="5"/>
  <c r="M67" i="5"/>
  <c r="M63" i="5"/>
  <c r="M59" i="5"/>
  <c r="M55" i="5"/>
  <c r="M51" i="5"/>
  <c r="M47" i="5"/>
  <c r="M43" i="5"/>
  <c r="M39" i="5"/>
  <c r="M35" i="5"/>
  <c r="M31" i="5"/>
  <c r="M27" i="5"/>
  <c r="M23" i="5"/>
  <c r="M19" i="5"/>
  <c r="M15" i="5"/>
  <c r="M11" i="5"/>
  <c r="M7" i="5"/>
  <c r="M3" i="5"/>
  <c r="M70" i="5"/>
  <c r="M66" i="5"/>
  <c r="M62" i="5"/>
  <c r="M58" i="5"/>
  <c r="M54" i="5"/>
  <c r="M50" i="5"/>
  <c r="M46" i="5"/>
  <c r="M42" i="5"/>
  <c r="M38" i="5"/>
  <c r="M34" i="5"/>
  <c r="M30" i="5"/>
  <c r="M26" i="5"/>
  <c r="M22" i="5"/>
  <c r="M18" i="5"/>
  <c r="M14" i="5"/>
  <c r="M10" i="5"/>
  <c r="M6" i="5"/>
  <c r="M2" i="5"/>
  <c r="P68" i="5"/>
  <c r="P64" i="5"/>
  <c r="P60" i="5"/>
  <c r="P56" i="5"/>
  <c r="P52" i="5"/>
  <c r="P48" i="5"/>
  <c r="P44" i="5"/>
  <c r="P40" i="5"/>
  <c r="P36" i="5"/>
  <c r="P32" i="5"/>
  <c r="P24" i="5"/>
  <c r="P20" i="5"/>
  <c r="P16" i="5"/>
  <c r="P4" i="5"/>
  <c r="P67" i="5"/>
  <c r="P63" i="5"/>
  <c r="P59" i="5"/>
  <c r="P55" i="5"/>
  <c r="P51" i="5"/>
  <c r="P47" i="5"/>
  <c r="P43" i="5"/>
  <c r="P39" i="5"/>
  <c r="P35" i="5"/>
  <c r="P31" i="5"/>
  <c r="P27" i="5"/>
  <c r="P23" i="5"/>
  <c r="P19" i="5"/>
  <c r="P15" i="5"/>
  <c r="P11" i="5"/>
  <c r="P7" i="5"/>
  <c r="P3" i="5"/>
  <c r="P26" i="5"/>
  <c r="P10" i="5"/>
  <c r="P2" i="5"/>
  <c r="P70" i="5"/>
  <c r="P66" i="5"/>
  <c r="P62" i="5"/>
  <c r="P58" i="5"/>
  <c r="P54" i="5"/>
  <c r="P50" i="5"/>
  <c r="P46" i="5"/>
  <c r="P42" i="5"/>
  <c r="P38" i="5"/>
  <c r="P34" i="5"/>
  <c r="P30" i="5"/>
  <c r="P22" i="5"/>
  <c r="P18" i="5"/>
  <c r="P14" i="5"/>
  <c r="P6" i="5"/>
  <c r="P69" i="5"/>
  <c r="P65" i="5"/>
  <c r="P61" i="5"/>
  <c r="P57" i="5"/>
  <c r="P53" i="5"/>
  <c r="P49" i="5"/>
  <c r="P45" i="5"/>
  <c r="P41" i="5"/>
  <c r="P37" i="5"/>
  <c r="P33" i="5"/>
  <c r="P29" i="5"/>
  <c r="P25" i="5"/>
  <c r="P21" i="5"/>
  <c r="P17" i="5"/>
  <c r="P13" i="5"/>
  <c r="P9" i="5"/>
  <c r="P5" i="5"/>
  <c r="P12" i="5"/>
  <c r="P28" i="5"/>
  <c r="P8" i="5"/>
  <c r="O68" i="5"/>
  <c r="O64" i="5"/>
  <c r="O60" i="5"/>
  <c r="O56" i="5"/>
  <c r="O52" i="5"/>
  <c r="O48" i="5"/>
  <c r="O44" i="5"/>
  <c r="O40" i="5"/>
  <c r="O36" i="5"/>
  <c r="O32" i="5"/>
  <c r="O28" i="5"/>
  <c r="O24" i="5"/>
  <c r="O20" i="5"/>
  <c r="O16" i="5"/>
  <c r="O12" i="5"/>
  <c r="O8" i="5"/>
  <c r="O4" i="5"/>
  <c r="O67" i="5"/>
  <c r="O63" i="5"/>
  <c r="O59" i="5"/>
  <c r="O55" i="5"/>
  <c r="O51" i="5"/>
  <c r="O47" i="5"/>
  <c r="O43" i="5"/>
  <c r="O39" i="5"/>
  <c r="O35" i="5"/>
  <c r="O31" i="5"/>
  <c r="O27" i="5"/>
  <c r="O23" i="5"/>
  <c r="O19" i="5"/>
  <c r="O15" i="5"/>
  <c r="O11" i="5"/>
  <c r="O7" i="5"/>
  <c r="O3" i="5"/>
  <c r="O70" i="5"/>
  <c r="O66" i="5"/>
  <c r="O62" i="5"/>
  <c r="O58" i="5"/>
  <c r="O54" i="5"/>
  <c r="O50" i="5"/>
  <c r="O46" i="5"/>
  <c r="O42" i="5"/>
  <c r="O38" i="5"/>
  <c r="O34" i="5"/>
  <c r="O30" i="5"/>
  <c r="O26" i="5"/>
  <c r="O22" i="5"/>
  <c r="O18" i="5"/>
  <c r="O14" i="5"/>
  <c r="O10" i="5"/>
  <c r="O6" i="5"/>
  <c r="O2" i="5"/>
  <c r="O69" i="5"/>
  <c r="O65" i="5"/>
  <c r="O61" i="5"/>
  <c r="O57" i="5"/>
  <c r="O53" i="5"/>
  <c r="O49" i="5"/>
  <c r="O45" i="5"/>
  <c r="O41" i="5"/>
  <c r="O37" i="5"/>
  <c r="O33" i="5"/>
  <c r="O29" i="5"/>
  <c r="O25" i="5"/>
  <c r="O21" i="5"/>
  <c r="O17" i="5"/>
  <c r="O13" i="5"/>
  <c r="O9" i="5"/>
  <c r="O5" i="5"/>
  <c r="N69" i="5"/>
  <c r="N65" i="5"/>
  <c r="N61" i="5"/>
  <c r="N57" i="5"/>
  <c r="N53" i="5"/>
  <c r="N49" i="5"/>
  <c r="N45" i="5"/>
  <c r="N41" i="5"/>
  <c r="N37" i="5"/>
  <c r="N33" i="5"/>
  <c r="N29" i="5"/>
  <c r="N25" i="5"/>
  <c r="N21" i="5"/>
  <c r="N13" i="5"/>
  <c r="N68" i="5"/>
  <c r="N64" i="5"/>
  <c r="N60" i="5"/>
  <c r="N56" i="5"/>
  <c r="N52" i="5"/>
  <c r="N48" i="5"/>
  <c r="N44" i="5"/>
  <c r="N40" i="5"/>
  <c r="N36" i="5"/>
  <c r="N32" i="5"/>
  <c r="N28" i="5"/>
  <c r="N24" i="5"/>
  <c r="N20" i="5"/>
  <c r="N16" i="5"/>
  <c r="N12" i="5"/>
  <c r="N8" i="5"/>
  <c r="N4" i="5"/>
  <c r="N15" i="5"/>
  <c r="N7" i="5"/>
  <c r="N27" i="5"/>
  <c r="N11" i="5"/>
  <c r="N67" i="5"/>
  <c r="N63" i="5"/>
  <c r="N59" i="5"/>
  <c r="N55" i="5"/>
  <c r="N51" i="5"/>
  <c r="N47" i="5"/>
  <c r="N43" i="5"/>
  <c r="N39" i="5"/>
  <c r="N35" i="5"/>
  <c r="N31" i="5"/>
  <c r="N23" i="5"/>
  <c r="N19" i="5"/>
  <c r="N3" i="5"/>
  <c r="N70" i="5"/>
  <c r="N66" i="5"/>
  <c r="N62" i="5"/>
  <c r="N58" i="5"/>
  <c r="N54" i="5"/>
  <c r="N50" i="5"/>
  <c r="N46" i="5"/>
  <c r="N42" i="5"/>
  <c r="N38" i="5"/>
  <c r="N34" i="5"/>
  <c r="N30" i="5"/>
  <c r="N26" i="5"/>
  <c r="N22" i="5"/>
  <c r="N18" i="5"/>
  <c r="N14" i="5"/>
  <c r="N10" i="5"/>
  <c r="N6" i="5"/>
  <c r="N2" i="5"/>
  <c r="N17" i="5"/>
  <c r="N9" i="5"/>
  <c r="N5" i="5"/>
  <c r="A13" i="3"/>
  <c r="F13" i="3"/>
  <c r="G13" i="3"/>
  <c r="C9" i="4"/>
  <c r="C9" i="6"/>
  <c r="M7" i="3"/>
  <c r="M33" i="3"/>
  <c r="M38" i="3"/>
  <c r="M46" i="3"/>
  <c r="M30" i="3"/>
  <c r="M31" i="3"/>
  <c r="M8" i="3"/>
  <c r="M37" i="3"/>
  <c r="M2" i="3"/>
  <c r="M35" i="3"/>
  <c r="M42" i="3"/>
  <c r="M16" i="3"/>
  <c r="M20" i="3"/>
  <c r="M32" i="3"/>
  <c r="M25" i="3"/>
  <c r="M12" i="3"/>
  <c r="M41" i="3"/>
  <c r="M45" i="3"/>
  <c r="M26" i="3"/>
  <c r="M23" i="3"/>
  <c r="M5" i="3"/>
  <c r="M9" i="3"/>
  <c r="M44" i="3"/>
  <c r="M6" i="3"/>
  <c r="M3" i="3"/>
  <c r="M15" i="3"/>
  <c r="M17" i="3"/>
  <c r="M34" i="3"/>
  <c r="M36" i="3"/>
  <c r="M24" i="3"/>
  <c r="M11" i="3"/>
  <c r="M29" i="3"/>
  <c r="M4" i="3"/>
  <c r="M13" i="3"/>
  <c r="M28" i="3"/>
  <c r="M43" i="3"/>
  <c r="M40" i="3"/>
  <c r="M22" i="3"/>
  <c r="M18" i="3"/>
  <c r="M10" i="3"/>
  <c r="M14" i="3"/>
  <c r="M27" i="3"/>
  <c r="M21" i="3"/>
  <c r="M39" i="3"/>
  <c r="M19" i="3"/>
  <c r="P20" i="3"/>
  <c r="P44" i="3"/>
  <c r="P12" i="3"/>
  <c r="P32" i="3"/>
  <c r="P23" i="3"/>
  <c r="P34" i="3"/>
  <c r="P22" i="3"/>
  <c r="P26" i="3"/>
  <c r="P36" i="3"/>
  <c r="P33" i="3"/>
  <c r="P3" i="3"/>
  <c r="P13" i="3"/>
  <c r="P39" i="3"/>
  <c r="P15" i="3"/>
  <c r="P14" i="3"/>
  <c r="P35" i="3"/>
  <c r="P9" i="3"/>
  <c r="P43" i="3"/>
  <c r="P30" i="3"/>
  <c r="P45" i="3"/>
  <c r="P24" i="3"/>
  <c r="P17" i="3"/>
  <c r="P11" i="3"/>
  <c r="P8" i="3"/>
  <c r="P6" i="3"/>
  <c r="P21" i="3"/>
  <c r="P28" i="3"/>
  <c r="P4" i="3"/>
  <c r="P7" i="3"/>
  <c r="P16" i="3"/>
  <c r="P25" i="3"/>
  <c r="P40" i="3"/>
  <c r="P29" i="3"/>
  <c r="P31" i="3"/>
  <c r="P38" i="3"/>
  <c r="P41" i="3"/>
  <c r="P46" i="3"/>
  <c r="P37" i="3"/>
  <c r="P2" i="3"/>
  <c r="P18" i="3"/>
  <c r="P27" i="3"/>
  <c r="P42" i="3"/>
  <c r="P19" i="3"/>
  <c r="P10" i="3"/>
  <c r="P5" i="3"/>
  <c r="F13" i="5"/>
  <c r="A13" i="5"/>
  <c r="G13" i="5"/>
  <c r="N25" i="3"/>
  <c r="N27" i="3"/>
  <c r="N35" i="3"/>
  <c r="N12" i="3"/>
  <c r="N19" i="3"/>
  <c r="N45" i="3"/>
  <c r="N36" i="3"/>
  <c r="N38" i="3"/>
  <c r="N33" i="3"/>
  <c r="N7" i="3"/>
  <c r="N22" i="3"/>
  <c r="N23" i="3"/>
  <c r="N40" i="3"/>
  <c r="N4" i="3"/>
  <c r="N21" i="3"/>
  <c r="N31" i="3"/>
  <c r="N43" i="3"/>
  <c r="N3" i="3"/>
  <c r="N32" i="3"/>
  <c r="N18" i="3"/>
  <c r="N11" i="3"/>
  <c r="N6" i="3"/>
  <c r="N15" i="3"/>
  <c r="N39" i="3"/>
  <c r="N44" i="3"/>
  <c r="N42" i="3"/>
  <c r="N16" i="3"/>
  <c r="N17" i="3"/>
  <c r="N26" i="3"/>
  <c r="N41" i="3"/>
  <c r="N34" i="3"/>
  <c r="N46" i="3"/>
  <c r="N9" i="3"/>
  <c r="N24" i="3"/>
  <c r="N8" i="3"/>
  <c r="N13" i="3"/>
  <c r="N14" i="3"/>
  <c r="N28" i="3"/>
  <c r="N2" i="3"/>
  <c r="N20" i="3"/>
  <c r="N37" i="3"/>
  <c r="N29" i="3"/>
  <c r="N5" i="3"/>
  <c r="N30" i="3"/>
  <c r="N10" i="3"/>
  <c r="C10" i="6"/>
  <c r="D9" i="4"/>
  <c r="E9" i="4"/>
  <c r="C11" i="6"/>
  <c r="S73" i="2"/>
  <c r="G5" i="4" s="1"/>
  <c r="G9" i="4" s="1"/>
  <c r="S74" i="2"/>
  <c r="B9" i="4"/>
  <c r="C8" i="6"/>
  <c r="O41" i="3"/>
  <c r="O13" i="3"/>
  <c r="O32" i="3"/>
  <c r="O11" i="3"/>
  <c r="O33" i="3"/>
  <c r="O16" i="3"/>
  <c r="O6" i="3"/>
  <c r="O3" i="3"/>
  <c r="O45" i="3"/>
  <c r="O20" i="3"/>
  <c r="O4" i="3"/>
  <c r="O22" i="3"/>
  <c r="O15" i="3"/>
  <c r="O8" i="3"/>
  <c r="O27" i="3"/>
  <c r="O35" i="3"/>
  <c r="O36" i="3"/>
  <c r="O34" i="3"/>
  <c r="O24" i="3"/>
  <c r="O19" i="3"/>
  <c r="O40" i="3"/>
  <c r="O23" i="3"/>
  <c r="O12" i="3"/>
  <c r="O37" i="3"/>
  <c r="O2" i="3"/>
  <c r="O9" i="3"/>
  <c r="O7" i="3"/>
  <c r="O17" i="3"/>
  <c r="O43" i="3"/>
  <c r="O5" i="3"/>
  <c r="O30" i="3"/>
  <c r="O21" i="3"/>
  <c r="O26" i="3"/>
  <c r="O10" i="3"/>
  <c r="O31" i="3"/>
  <c r="O25" i="3"/>
  <c r="O28" i="3"/>
  <c r="O39" i="3"/>
  <c r="O44" i="3"/>
  <c r="O46" i="3"/>
  <c r="O29" i="3"/>
  <c r="O42" i="3"/>
  <c r="O14" i="3"/>
  <c r="O18" i="3"/>
  <c r="O38" i="3"/>
  <c r="P67" i="4" l="1"/>
  <c r="P63" i="4"/>
  <c r="P59" i="4"/>
  <c r="P55" i="4"/>
  <c r="P51" i="4"/>
  <c r="P47" i="4"/>
  <c r="P43" i="4"/>
  <c r="P39" i="4"/>
  <c r="P35" i="4"/>
  <c r="P31" i="4"/>
  <c r="P27" i="4"/>
  <c r="P23" i="4"/>
  <c r="P19" i="4"/>
  <c r="P15" i="4"/>
  <c r="P11" i="4"/>
  <c r="P7" i="4"/>
  <c r="P3" i="4"/>
  <c r="P70" i="4"/>
  <c r="P66" i="4"/>
  <c r="P62" i="4"/>
  <c r="P58" i="4"/>
  <c r="P54" i="4"/>
  <c r="P50" i="4"/>
  <c r="P46" i="4"/>
  <c r="P42" i="4"/>
  <c r="P38" i="4"/>
  <c r="P34" i="4"/>
  <c r="P30" i="4"/>
  <c r="P26" i="4"/>
  <c r="P22" i="4"/>
  <c r="P18" i="4"/>
  <c r="P14" i="4"/>
  <c r="P10" i="4"/>
  <c r="P6" i="4"/>
  <c r="P2" i="4"/>
  <c r="P69" i="4"/>
  <c r="P65" i="4"/>
  <c r="P61" i="4"/>
  <c r="P57" i="4"/>
  <c r="P53" i="4"/>
  <c r="P49" i="4"/>
  <c r="P45" i="4"/>
  <c r="P41" i="4"/>
  <c r="P37" i="4"/>
  <c r="P33" i="4"/>
  <c r="P29" i="4"/>
  <c r="P25" i="4"/>
  <c r="P21" i="4"/>
  <c r="P17" i="4"/>
  <c r="P13" i="4"/>
  <c r="P9" i="4"/>
  <c r="P5" i="4"/>
  <c r="P52" i="4"/>
  <c r="P20" i="4"/>
  <c r="P40" i="4"/>
  <c r="P8" i="4"/>
  <c r="P60" i="4"/>
  <c r="P28" i="4"/>
  <c r="P48" i="4"/>
  <c r="P16" i="4"/>
  <c r="P68" i="4"/>
  <c r="P36" i="4"/>
  <c r="P4" i="4"/>
  <c r="P44" i="4"/>
  <c r="P56" i="4"/>
  <c r="P24" i="4"/>
  <c r="P12" i="4"/>
  <c r="P64" i="4"/>
  <c r="P32" i="4"/>
  <c r="B13" i="3"/>
  <c r="M69" i="4"/>
  <c r="M65" i="4"/>
  <c r="M61" i="4"/>
  <c r="M57" i="4"/>
  <c r="M53" i="4"/>
  <c r="M49" i="4"/>
  <c r="M45" i="4"/>
  <c r="M41" i="4"/>
  <c r="M37" i="4"/>
  <c r="M33" i="4"/>
  <c r="M29" i="4"/>
  <c r="M25" i="4"/>
  <c r="M21" i="4"/>
  <c r="M17" i="4"/>
  <c r="M13" i="4"/>
  <c r="M9" i="4"/>
  <c r="M5" i="4"/>
  <c r="M68" i="4"/>
  <c r="M64" i="4"/>
  <c r="M60" i="4"/>
  <c r="M56" i="4"/>
  <c r="M52" i="4"/>
  <c r="M48" i="4"/>
  <c r="M44" i="4"/>
  <c r="M40" i="4"/>
  <c r="M36" i="4"/>
  <c r="M32" i="4"/>
  <c r="M28" i="4"/>
  <c r="M24" i="4"/>
  <c r="M20" i="4"/>
  <c r="M16" i="4"/>
  <c r="M12" i="4"/>
  <c r="M8" i="4"/>
  <c r="M4" i="4"/>
  <c r="M67" i="4"/>
  <c r="M63" i="4"/>
  <c r="M59" i="4"/>
  <c r="M55" i="4"/>
  <c r="M51" i="4"/>
  <c r="M47" i="4"/>
  <c r="M43" i="4"/>
  <c r="M39" i="4"/>
  <c r="M35" i="4"/>
  <c r="M31" i="4"/>
  <c r="M27" i="4"/>
  <c r="M23" i="4"/>
  <c r="M19" i="4"/>
  <c r="M15" i="4"/>
  <c r="M11" i="4"/>
  <c r="M7" i="4"/>
  <c r="M3" i="4"/>
  <c r="M50" i="4"/>
  <c r="M18" i="4"/>
  <c r="M70" i="4"/>
  <c r="M38" i="4"/>
  <c r="M6" i="4"/>
  <c r="M58" i="4"/>
  <c r="M26" i="4"/>
  <c r="M46" i="4"/>
  <c r="M14" i="4"/>
  <c r="M42" i="4"/>
  <c r="M66" i="4"/>
  <c r="M34" i="4"/>
  <c r="M2" i="4"/>
  <c r="M54" i="4"/>
  <c r="M22" i="4"/>
  <c r="M62" i="4"/>
  <c r="M30" i="4"/>
  <c r="M10" i="4"/>
  <c r="O68" i="4"/>
  <c r="O64" i="4"/>
  <c r="O60" i="4"/>
  <c r="O56" i="4"/>
  <c r="O52" i="4"/>
  <c r="O48" i="4"/>
  <c r="O44" i="4"/>
  <c r="O40" i="4"/>
  <c r="O36" i="4"/>
  <c r="O32" i="4"/>
  <c r="O28" i="4"/>
  <c r="O24" i="4"/>
  <c r="O20" i="4"/>
  <c r="O16" i="4"/>
  <c r="O12" i="4"/>
  <c r="O8" i="4"/>
  <c r="O4" i="4"/>
  <c r="O67" i="4"/>
  <c r="O63" i="4"/>
  <c r="O59" i="4"/>
  <c r="O55" i="4"/>
  <c r="O51" i="4"/>
  <c r="O47" i="4"/>
  <c r="O43" i="4"/>
  <c r="O39" i="4"/>
  <c r="O35" i="4"/>
  <c r="O31" i="4"/>
  <c r="O27" i="4"/>
  <c r="O23" i="4"/>
  <c r="O19" i="4"/>
  <c r="O15" i="4"/>
  <c r="O11" i="4"/>
  <c r="O7" i="4"/>
  <c r="O3" i="4"/>
  <c r="O70" i="4"/>
  <c r="O66" i="4"/>
  <c r="O62" i="4"/>
  <c r="O58" i="4"/>
  <c r="O54" i="4"/>
  <c r="O50" i="4"/>
  <c r="O46" i="4"/>
  <c r="O42" i="4"/>
  <c r="O38" i="4"/>
  <c r="O34" i="4"/>
  <c r="O30" i="4"/>
  <c r="O26" i="4"/>
  <c r="O22" i="4"/>
  <c r="O18" i="4"/>
  <c r="O14" i="4"/>
  <c r="O10" i="4"/>
  <c r="O6" i="4"/>
  <c r="O2" i="4"/>
  <c r="O45" i="4"/>
  <c r="O13" i="4"/>
  <c r="O5" i="4"/>
  <c r="O65" i="4"/>
  <c r="O33" i="4"/>
  <c r="O53" i="4"/>
  <c r="O21" i="4"/>
  <c r="O41" i="4"/>
  <c r="O9" i="4"/>
  <c r="O69" i="4"/>
  <c r="O61" i="4"/>
  <c r="O29" i="4"/>
  <c r="O49" i="4"/>
  <c r="O17" i="4"/>
  <c r="O57" i="4"/>
  <c r="O25" i="4"/>
  <c r="O37" i="4"/>
  <c r="R70" i="4"/>
  <c r="R66" i="4"/>
  <c r="R62" i="4"/>
  <c r="R58" i="4"/>
  <c r="R54" i="4"/>
  <c r="R50" i="4"/>
  <c r="R46" i="4"/>
  <c r="R42" i="4"/>
  <c r="R38" i="4"/>
  <c r="R34" i="4"/>
  <c r="R30" i="4"/>
  <c r="R26" i="4"/>
  <c r="R22" i="4"/>
  <c r="R18" i="4"/>
  <c r="R14" i="4"/>
  <c r="R10" i="4"/>
  <c r="R6" i="4"/>
  <c r="R2" i="4"/>
  <c r="R69" i="4"/>
  <c r="R65" i="4"/>
  <c r="R61" i="4"/>
  <c r="R57" i="4"/>
  <c r="R53" i="4"/>
  <c r="R49" i="4"/>
  <c r="R45" i="4"/>
  <c r="R41" i="4"/>
  <c r="R37" i="4"/>
  <c r="R33" i="4"/>
  <c r="R29" i="4"/>
  <c r="R25" i="4"/>
  <c r="R21" i="4"/>
  <c r="R17" i="4"/>
  <c r="R13" i="4"/>
  <c r="R9" i="4"/>
  <c r="R5" i="4"/>
  <c r="R68" i="4"/>
  <c r="R64" i="4"/>
  <c r="R60" i="4"/>
  <c r="R56" i="4"/>
  <c r="R52" i="4"/>
  <c r="R48" i="4"/>
  <c r="R44" i="4"/>
  <c r="R40" i="4"/>
  <c r="R36" i="4"/>
  <c r="R32" i="4"/>
  <c r="R28" i="4"/>
  <c r="R24" i="4"/>
  <c r="R20" i="4"/>
  <c r="R16" i="4"/>
  <c r="R12" i="4"/>
  <c r="R8" i="4"/>
  <c r="R4" i="4"/>
  <c r="R67" i="4"/>
  <c r="R35" i="4"/>
  <c r="R3" i="4"/>
  <c r="R55" i="4"/>
  <c r="R23" i="4"/>
  <c r="R43" i="4"/>
  <c r="R11" i="4"/>
  <c r="R59" i="4"/>
  <c r="R63" i="4"/>
  <c r="R31" i="4"/>
  <c r="R51" i="4"/>
  <c r="R19" i="4"/>
  <c r="R39" i="4"/>
  <c r="R7" i="4"/>
  <c r="R27" i="4"/>
  <c r="R47" i="4"/>
  <c r="R15" i="4"/>
  <c r="N68" i="4"/>
  <c r="N64" i="4"/>
  <c r="N60" i="4"/>
  <c r="N56" i="4"/>
  <c r="N52" i="4"/>
  <c r="N48" i="4"/>
  <c r="N44" i="4"/>
  <c r="N40" i="4"/>
  <c r="N36" i="4"/>
  <c r="N32" i="4"/>
  <c r="N28" i="4"/>
  <c r="N24" i="4"/>
  <c r="N20" i="4"/>
  <c r="N16" i="4"/>
  <c r="N12" i="4"/>
  <c r="N8" i="4"/>
  <c r="N4" i="4"/>
  <c r="N67" i="4"/>
  <c r="N63" i="4"/>
  <c r="N59" i="4"/>
  <c r="N55" i="4"/>
  <c r="N51" i="4"/>
  <c r="N47" i="4"/>
  <c r="N43" i="4"/>
  <c r="N39" i="4"/>
  <c r="N35" i="4"/>
  <c r="N31" i="4"/>
  <c r="N27" i="4"/>
  <c r="N23" i="4"/>
  <c r="N19" i="4"/>
  <c r="N15" i="4"/>
  <c r="N11" i="4"/>
  <c r="N7" i="4"/>
  <c r="N3" i="4"/>
  <c r="N70" i="4"/>
  <c r="N66" i="4"/>
  <c r="N62" i="4"/>
  <c r="N58" i="4"/>
  <c r="N54" i="4"/>
  <c r="N50" i="4"/>
  <c r="N46" i="4"/>
  <c r="N42" i="4"/>
  <c r="N38" i="4"/>
  <c r="N34" i="4"/>
  <c r="N30" i="4"/>
  <c r="N26" i="4"/>
  <c r="N22" i="4"/>
  <c r="N18" i="4"/>
  <c r="N14" i="4"/>
  <c r="N10" i="4"/>
  <c r="N6" i="4"/>
  <c r="N2" i="4"/>
  <c r="N57" i="4"/>
  <c r="N25" i="4"/>
  <c r="N45" i="4"/>
  <c r="N13" i="4"/>
  <c r="N65" i="4"/>
  <c r="N33" i="4"/>
  <c r="N53" i="4"/>
  <c r="N21" i="4"/>
  <c r="N41" i="4"/>
  <c r="N9" i="4"/>
  <c r="N17" i="4"/>
  <c r="N61" i="4"/>
  <c r="N29" i="4"/>
  <c r="N49" i="4"/>
  <c r="N69" i="4"/>
  <c r="N37" i="4"/>
  <c r="N5" i="4"/>
  <c r="D16" i="6"/>
  <c r="I16" i="6" s="1"/>
  <c r="C13" i="3"/>
  <c r="D17" i="6" s="1"/>
  <c r="I17" i="6" s="1"/>
  <c r="C13" i="5"/>
  <c r="B17" i="6" s="1"/>
  <c r="G17" i="6" s="1"/>
  <c r="D13" i="5"/>
  <c r="B18" i="6" s="1"/>
  <c r="G18" i="6" s="1"/>
  <c r="A13" i="4"/>
  <c r="B13" i="5"/>
  <c r="B16" i="6" s="1"/>
  <c r="G16" i="6" s="1"/>
  <c r="D13" i="3"/>
  <c r="D18" i="6" s="1"/>
  <c r="I18" i="6" s="1"/>
  <c r="F13" i="4"/>
  <c r="E13" i="3"/>
  <c r="D19" i="6" s="1"/>
  <c r="I19" i="6" s="1"/>
  <c r="E13" i="5"/>
  <c r="B19" i="6" s="1"/>
  <c r="G19" i="6" s="1"/>
  <c r="C13" i="4" l="1"/>
  <c r="C17" i="6" s="1"/>
  <c r="H17" i="6" s="1"/>
  <c r="G13" i="4"/>
  <c r="D13" i="4"/>
  <c r="C18" i="6" s="1"/>
  <c r="H18" i="6" s="1"/>
  <c r="E13" i="4"/>
  <c r="C19" i="6" s="1"/>
  <c r="H19" i="6" s="1"/>
  <c r="B13" i="4"/>
  <c r="C16" i="6" s="1"/>
  <c r="H16" i="6" s="1"/>
  <c r="H22" i="6" l="1"/>
</calcChain>
</file>

<file path=xl/sharedStrings.xml><?xml version="1.0" encoding="utf-8"?>
<sst xmlns="http://schemas.openxmlformats.org/spreadsheetml/2006/main" count="327" uniqueCount="125">
  <si>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</si>
  <si>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</si>
  <si>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</si>
  <si>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</si>
  <si>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</si>
  <si>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</si>
  <si>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</si>
  <si>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</si>
  <si>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</si>
  <si>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</si>
  <si>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</si>
  <si>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</si>
  <si>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Rotamer</t>
  </si>
  <si>
    <t>rel G</t>
  </si>
  <si>
    <t>rel Pop</t>
  </si>
  <si>
    <t>weight</t>
  </si>
  <si>
    <t>Notes</t>
  </si>
  <si>
    <t>4H6</t>
  </si>
  <si>
    <t>6H4</t>
  </si>
  <si>
    <t>5C12</t>
  </si>
  <si>
    <t>12C5</t>
  </si>
  <si>
    <t>Boltzmann Contribution</t>
  </si>
  <si>
    <t>Average E</t>
  </si>
  <si>
    <t xml:space="preserve">Conf2   </t>
  </si>
  <si>
    <t xml:space="preserve">Conf3   </t>
  </si>
  <si>
    <t xml:space="preserve">Conf4   </t>
  </si>
  <si>
    <t xml:space="preserve">Conf6   </t>
  </si>
  <si>
    <t xml:space="preserve">Conf7   </t>
  </si>
  <si>
    <t xml:space="preserve">Conf8   </t>
  </si>
  <si>
    <t xml:space="preserve">Conf9   </t>
  </si>
  <si>
    <t xml:space="preserve">Conf15   </t>
  </si>
  <si>
    <t xml:space="preserve">Conf16   </t>
  </si>
  <si>
    <t xml:space="preserve">Conf17   </t>
  </si>
  <si>
    <t xml:space="preserve">Conf19   </t>
  </si>
  <si>
    <t xml:space="preserve">Conf20   </t>
  </si>
  <si>
    <t xml:space="preserve">Conf21   </t>
  </si>
  <si>
    <t xml:space="preserve">Conf24   </t>
  </si>
  <si>
    <t xml:space="preserve">Conf26   </t>
  </si>
  <si>
    <t xml:space="preserve">Conf27   </t>
  </si>
  <si>
    <t xml:space="preserve">Conf30   </t>
  </si>
  <si>
    <t xml:space="preserve">Conf34   </t>
  </si>
  <si>
    <t xml:space="preserve">Conf38   </t>
  </si>
  <si>
    <t xml:space="preserve">Conf39   </t>
  </si>
  <si>
    <t xml:space="preserve">Conf41   </t>
  </si>
  <si>
    <t xml:space="preserve">Conf48   </t>
  </si>
  <si>
    <t xml:space="preserve">Conf57   </t>
  </si>
  <si>
    <t xml:space="preserve">Conf59   </t>
  </si>
  <si>
    <t xml:space="preserve">Conf72   </t>
  </si>
  <si>
    <t xml:space="preserve">Conf73   </t>
  </si>
  <si>
    <t xml:space="preserve">Conf76   </t>
  </si>
  <si>
    <t xml:space="preserve">Conf78   </t>
  </si>
  <si>
    <t xml:space="preserve">Conf86   </t>
  </si>
  <si>
    <t xml:space="preserve">Conf103   </t>
  </si>
  <si>
    <t xml:space="preserve">Conf109   </t>
  </si>
  <si>
    <t xml:space="preserve">Conf123   </t>
  </si>
  <si>
    <t xml:space="preserve">Conf128   </t>
  </si>
  <si>
    <t xml:space="preserve">Conf135   </t>
  </si>
  <si>
    <t xml:space="preserve">Conf142   </t>
  </si>
  <si>
    <t xml:space="preserve">Conf143   </t>
  </si>
  <si>
    <t xml:space="preserve">Conf144   </t>
  </si>
  <si>
    <t xml:space="preserve">Conf145   </t>
  </si>
  <si>
    <t xml:space="preserve">Conf166   </t>
  </si>
  <si>
    <t xml:space="preserve">Conf173   </t>
  </si>
  <si>
    <t xml:space="preserve">Conf193   </t>
  </si>
  <si>
    <t xml:space="preserve">Conf215   </t>
  </si>
  <si>
    <t xml:space="preserve">Conf241   </t>
  </si>
  <si>
    <t xml:space="preserve">Conf278   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</si>
  <si>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</si>
  <si>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</si>
  <si>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</si>
  <si>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</si>
  <si>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</si>
  <si>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</si>
  <si>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</si>
  <si>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</si>
  <si>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</si>
  <si>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</si>
  <si>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</si>
  <si>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</si>
  <si>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</si>
  <si>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</si>
  <si>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</si>
  <si>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</si>
  <si>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</si>
  <si>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</si>
  <si>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</si>
  <si>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</si>
  <si>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</si>
  <si>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</si>
  <si>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</si>
  <si>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</si>
  <si>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</si>
  <si>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</si>
  <si>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</si>
  <si>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</si>
  <si>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</si>
  <si>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 xml:space="preserve">Conf14   </t>
  </si>
  <si>
    <t xml:space="preserve">Conf125   </t>
  </si>
  <si>
    <t xml:space="preserve">Conf23   </t>
  </si>
  <si>
    <t xml:space="preserve">Conf45   </t>
  </si>
  <si>
    <t xml:space="preserve">Conf104   </t>
  </si>
  <si>
    <t xml:space="preserve">Conf106   </t>
  </si>
  <si>
    <t xml:space="preserve">Conf107   </t>
  </si>
  <si>
    <t xml:space="preserve">Conf197   </t>
  </si>
  <si>
    <t xml:space="preserve">Conf208   </t>
  </si>
  <si>
    <t xml:space="preserve">Conf212   </t>
  </si>
  <si>
    <t xml:space="preserve">Conf219   </t>
  </si>
  <si>
    <t xml:space="preserve">Conf220   </t>
  </si>
  <si>
    <t xml:space="preserve">Conf272   </t>
  </si>
  <si>
    <t xml:space="preserve">Conf276   </t>
  </si>
  <si>
    <t xml:space="preserve">Conf283   </t>
  </si>
  <si>
    <t xml:space="preserve">Conf290   </t>
  </si>
  <si>
    <t xml:space="preserve">Conf333   </t>
  </si>
  <si>
    <t xml:space="preserve">Conf373   </t>
  </si>
  <si>
    <t>125B</t>
  </si>
  <si>
    <t xml:space="preserve">Conf22   </t>
  </si>
  <si>
    <t xml:space="preserve">Conf33   </t>
  </si>
  <si>
    <t xml:space="preserve">Conf94   </t>
  </si>
  <si>
    <t xml:space="preserve">Conf101   </t>
  </si>
  <si>
    <t xml:space="preserve">Conf136   </t>
  </si>
  <si>
    <t xml:space="preserve">Conf191   </t>
  </si>
  <si>
    <t xml:space="preserve">Conf396   </t>
  </si>
  <si>
    <t>45TH</t>
  </si>
  <si>
    <t>TH45</t>
  </si>
  <si>
    <t>56TH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</si>
</sst>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  <font>
      <sz val="11"/>
      <color theme="1"/>
      <name val="Calibri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  <xf numFmtId="0" fontId="6" fillId="0" borderId="0" xfId="0" applyFont="1"/>
    <xf numFmtId="164" fontId="6" fillId="0" borderId="0" xfId="0" applyNumberFormat="1" applyFont="1"/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NumberFormat="1" applyFont="1"/>
  </cellXfs>
  <cellStyles count="1">
    <cellStyle name="Normal" xfId="0" builtinId="0"/>
  </cellStyles>
  <dxfs count="3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C00-4BED-86C4-51BA01D799D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C00-4BED-86C4-51BA01D799DD}"/>
              </c:ext>
            </c:extLst>
          </c:dPt>
          <c:dLbls>
            <c:dLbl>
              <c:idx val="3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ED-4924-AC9A-58265F8E50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chloroform!$N$7:$N$13</c:f>
              <c:strCache>
                <c:ptCount val="7"/>
                <c:pt idx="0">
                  <c:v>4H6</c:v>
                </c:pt>
                <c:pt idx="1">
                  <c:v>45TH</c:v>
                </c:pt>
                <c:pt idx="2">
                  <c:v>5C12</c:v>
                </c:pt>
                <c:pt idx="3">
                  <c:v>56TH</c:v>
                </c:pt>
                <c:pt idx="4">
                  <c:v>12C5</c:v>
                </c:pt>
                <c:pt idx="5">
                  <c:v>6H4</c:v>
                </c:pt>
                <c:pt idx="6">
                  <c:v>TH45</c:v>
                </c:pt>
              </c:strCache>
            </c:strRef>
          </c:cat>
          <c:val>
            <c:numRef>
              <c:f>chloroform!$O$7:$O$13</c:f>
              <c:numCache>
                <c:formatCode>General</c:formatCode>
                <c:ptCount val="7"/>
                <c:pt idx="0">
                  <c:v>0.78743409586906932</c:v>
                </c:pt>
                <c:pt idx="1">
                  <c:v>0.11494589302092209</c:v>
                </c:pt>
                <c:pt idx="2">
                  <c:v>7.2418196729090584E-2</c:v>
                </c:pt>
                <c:pt idx="3">
                  <c:v>1.6044121175960529E-2</c:v>
                </c:pt>
                <c:pt idx="4">
                  <c:v>4.8720111623471434E-3</c:v>
                </c:pt>
                <c:pt idx="5">
                  <c:v>4.2126386303290575E-3</c:v>
                </c:pt>
                <c:pt idx="6">
                  <c:v>7.3043412281397076E-5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3"/>
                <c:pt idx="0">
                  <c:v>4H6</c:v>
                </c:pt>
                <c:pt idx="1">
                  <c:v>5C12</c:v>
                </c:pt>
                <c:pt idx="2">
                  <c:v>45TH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0.55710000000000004</c:v>
                </c:pt>
                <c:pt idx="1">
                  <c:v>0.31740000000000002</c:v>
                </c:pt>
                <c:pt idx="2">
                  <c:v>0.1255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19</xdr:row>
      <xdr:rowOff>0</xdr:rowOff>
    </xdr:from>
    <xdr:to>
      <xdr:col>19</xdr:col>
      <xdr:colOff>510540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75" totalsRowShown="0">
  <autoFilter ref="A6:K75" xr:uid="{D2222DA1-7940-4CAF-B639-69BE9EB6EC23}"/>
  <sortState xmlns:xlrd2="http://schemas.microsoft.com/office/spreadsheetml/2017/richdata2" ref="A7:K72">
    <sortCondition ref="E6:E72"/>
  </sortState>
  <tableColumns count="11">
    <tableColumn id="1" xr3:uid="{FEE07942-27E5-496C-9CE0-57C74379E5FA}" name="Energy (hartrees)" dataDxfId="29">
      <calculatedColumnFormula>Table1[[#This Row],[Gibbs Energy (hartree)]]</calculatedColumnFormula>
    </tableColumn>
    <tableColumn id="2" xr3:uid="{63BAC07D-9EEB-4F2C-8811-E61BDC1C21EA}" name="Energy (kcal)" dataDxfId="28">
      <calculatedColumnFormula>Table1[[#This Row],[Energy (hartrees)]]*$C$2</calculatedColumnFormula>
    </tableColumn>
    <tableColumn id="3" xr3:uid="{12894FA1-734B-45A6-9EF2-5148A247DA7B}" name="Rel E" dataDxfId="27">
      <calculatedColumnFormula>Table1[[#This Row],[Energy (kcal)]]-MIN(Table1[Energy (kcal)])</calculatedColumnFormula>
    </tableColumn>
    <tableColumn id="4" xr3:uid="{54C0F622-FA42-47B1-9E9E-743875831B4F}" name="Gibbs Energy (hartree)" dataDxfId="26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Rotamer"/>
    <tableColumn id="8" xr3:uid="{C8505BC0-77EE-412B-881D-63638FDCF736}" name="rel G" dataDxfId="25">
      <calculatedColumnFormula>Table1[[#This Row],[Rel E]]</calculatedColumnFormula>
    </tableColumn>
    <tableColumn id="9" xr3:uid="{EBC562E8-B9B1-406E-97BC-1FF976A70B16}" name="rel Pop" dataDxfId="24">
      <calculatedColumnFormula>IF(Table1[[#This Row],[rel G]]&lt;5,EXP(-H7/(D$2*E$2)),0)</calculatedColumnFormula>
    </tableColumn>
    <tableColumn id="10" xr3:uid="{7DDF65B3-2008-4EF1-B471-33FC09D4BF35}" name="weight" dataDxfId="23">
      <calculatedColumnFormula>IF(Table1[[#This Row],[rel G]]&lt;5,I7/$F$2,0)</calculatedColumnFormula>
    </tableColumn>
    <tableColumn id="11" xr3:uid="{89EB24DF-08B1-411D-9901-685CD4A89140}" name="Not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70" totalsRowShown="0">
  <autoFilter ref="A1:T70" xr:uid="{80F3E59D-79C5-4B7B-9568-C30BCF944036}"/>
  <tableColumns count="20">
    <tableColumn id="1" xr3:uid="{2198BB88-6605-48FF-B11D-ABBAC4DF32C9}" name="Column1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22">
      <calculatedColumnFormula>chloroform!J7</calculatedColumnFormula>
    </tableColumn>
    <tableColumn id="11" xr3:uid="{F5D86611-FEEF-4B78-86A2-EDD564E6E521}" name="classification">
      <calculatedColumnFormula>chloroform!F7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70" totalsRowShown="0">
  <autoFilter ref="K1:T70" xr:uid="{D8941E95-9795-4A93-81A8-7906E931066E}"/>
  <tableColumns count="10">
    <tableColumn id="1" xr3:uid="{502316A8-00C9-483C-A55E-042B44DAC480}" name="Column1">
      <calculatedColumnFormula>chloroform!E7</calculatedColumnFormula>
    </tableColumn>
    <tableColumn id="2" xr3:uid="{0E2E6069-2A77-412C-ADA4-C97F3F31DD5A}" name="J1,2" dataDxfId="21">
      <calculatedColumnFormula>Table3[[#This Row],[weight]]*(0.9155*Table2[[#This Row],[J1,2]]-A$9)^2</calculatedColumnFormula>
    </tableColumn>
    <tableColumn id="3" xr3:uid="{99C8AE46-1D36-4558-BECE-2A9182B49057}" name="J2,3" dataDxfId="20">
      <calculatedColumnFormula>Table3[[#This Row],[weight]]*(0.9155*Table2[[#This Row],[J2,3]]-B$9)^2</calculatedColumnFormula>
    </tableColumn>
    <tableColumn id="4" xr3:uid="{803275AF-CFEE-4850-AA59-B7DB234A210B}" name="J34" dataDxfId="19">
      <calculatedColumnFormula>Table3[[#This Row],[weight]]*(0.9155*Table2[[#This Row],[J34]]-C$9)^2</calculatedColumnFormula>
    </tableColumn>
    <tableColumn id="5" xr3:uid="{AD807DCB-A3B0-4EB1-BD30-22361475CD38}" name="J45" dataDxfId="18">
      <calculatedColumnFormula>Table3[[#This Row],[weight]]*(0.9155*Table2[[#This Row],[J45]]-D$9)^2</calculatedColumnFormula>
    </tableColumn>
    <tableColumn id="6" xr3:uid="{37B27F45-4581-4973-9AE8-D34D9029691D}" name="J56" dataDxfId="17">
      <calculatedColumnFormula>Table3[[#This Row],[weight]]*(0.9155*Table2[[#This Row],[J56]]-E$9)^2</calculatedColumnFormula>
    </tableColumn>
    <tableColumn id="7" xr3:uid="{BF4C5F4D-3601-4174-8A18-5C730E7E580B}" name="J67" dataDxfId="16">
      <calculatedColumnFormula>Table3[[#This Row],[weight]]*(0.9155*Table2[[#This Row],[J67]]-F$9)^2</calculatedColumnFormula>
    </tableColumn>
    <tableColumn id="8" xr3:uid="{8B48EF87-E5AD-478B-B6EE-9EF474E2BF1E}" name="J67'" dataDxfId="15">
      <calculatedColumnFormula>Table3[[#This Row],[weight]]*(0.9155*Table2[[#This Row],[J67'']]-G$9)^2</calculatedColumnFormula>
    </tableColumn>
    <tableColumn id="9" xr3:uid="{23ACD263-BA0B-4F2B-A70A-089C885DE580}" name="weight">
      <calculatedColumnFormula>chloroform!J7</calculatedColumnFormula>
    </tableColumn>
    <tableColumn id="10" xr3:uid="{B8477986-80BC-40E3-A47B-C498CC76E9F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990A7D-F08D-45EC-8330-F088888D87E7}" name="Table4" displayName="Table4" ref="K1:T70" totalsRowShown="0">
  <autoFilter ref="K1:T70" xr:uid="{4F6235A9-2023-4B62-B342-F82B4F81652B}"/>
  <tableColumns count="10">
    <tableColumn id="1" xr3:uid="{5B9CA255-F4EB-4BA1-9F23-B3010FB265F8}" name="Column1">
      <calculatedColumnFormula>chloroform!E7</calculatedColumnFormula>
    </tableColumn>
    <tableColumn id="2" xr3:uid="{AFCE0D9A-0221-486C-9779-B132188E694D}" name="J1,2" dataDxfId="14">
      <calculatedColumnFormula>Table3[[#This Row],[weight]]*(0.9155*Table2[[#This Row],[J1,2]]-A$9)^2</calculatedColumnFormula>
    </tableColumn>
    <tableColumn id="3" xr3:uid="{BC0FF307-497E-4FCE-8FED-D07A264094F7}" name="J2,3" dataDxfId="13">
      <calculatedColumnFormula>Table3[[#This Row],[weight]]*(0.9155*Table2[[#This Row],[J2,3]]-B$9)^2</calculatedColumnFormula>
    </tableColumn>
    <tableColumn id="4" xr3:uid="{42A112DC-DE7A-4ED7-BE47-C9179C10D485}" name="J34" dataDxfId="12">
      <calculatedColumnFormula>Table3[[#This Row],[weight]]*(0.9155*Table2[[#This Row],[J34]]-C$9)^2</calculatedColumnFormula>
    </tableColumn>
    <tableColumn id="5" xr3:uid="{E539553D-57EB-4732-A8E5-359F42069025}" name="J45" dataDxfId="11">
      <calculatedColumnFormula>Table3[[#This Row],[weight]]*(0.9155*Table2[[#This Row],[J45]]-D$9)^2</calculatedColumnFormula>
    </tableColumn>
    <tableColumn id="6" xr3:uid="{37B63D85-DB86-4579-B791-957465BF93B6}" name="J56" dataDxfId="10">
      <calculatedColumnFormula>Table3[[#This Row],[weight]]*(0.9155*Table2[[#This Row],[J56]]-E$9)^2</calculatedColumnFormula>
    </tableColumn>
    <tableColumn id="7" xr3:uid="{8F331390-F594-461F-984E-59C28C29DB64}" name="J67" dataDxfId="9">
      <calculatedColumnFormula>Table3[[#This Row],[weight]]*(0.9155*Table2[[#This Row],[J67]]-F$9)^2</calculatedColumnFormula>
    </tableColumn>
    <tableColumn id="8" xr3:uid="{10E7EDE2-9C64-4F79-A89A-2F9F4A7441CB}" name="J67'" dataDxfId="8">
      <calculatedColumnFormula>Table3[[#This Row],[weight]]*(0.9155*Table2[[#This Row],[J67'']]-G$9)^2</calculatedColumnFormula>
    </tableColumn>
    <tableColumn id="9" xr3:uid="{5DC7A02F-F6F6-40A5-AF33-C35C8FA56DBB}" name="weight">
      <calculatedColumnFormula>chloroform!J7</calculatedColumnFormula>
    </tableColumn>
    <tableColumn id="10" xr3:uid="{98B8F559-A649-4983-8224-F55C307297F5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41CADD4-BC5A-4C62-A1DD-8B2ACB42A230}" name="Table412" displayName="Table412" ref="K1:T70" totalsRowShown="0">
  <autoFilter ref="K1:T70" xr:uid="{1806F2C9-8FD9-4610-A72B-2F8BDF927ED4}"/>
  <tableColumns count="10">
    <tableColumn id="1" xr3:uid="{89A33290-2469-4E8E-BD7B-5BA4CA99D366}" name="Column1">
      <calculatedColumnFormula>chloroform!E7</calculatedColumnFormula>
    </tableColumn>
    <tableColumn id="2" xr3:uid="{94F061F3-AB05-4D67-AA4A-2028D7B5CD10}" name="J1,2" dataDxfId="6">
      <calculatedColumnFormula>Table3[[#This Row],[weight]]*(0.9155*Table2[[#This Row],[J1,2]]-A$9)^2</calculatedColumnFormula>
    </tableColumn>
    <tableColumn id="3" xr3:uid="{2D7C7D69-3E91-4640-AF04-B9CC191C2A07}" name="J2,3" dataDxfId="5">
      <calculatedColumnFormula>Table3[[#This Row],[weight]]*(0.9155*Table2[[#This Row],[J2,3]]-B$9)^2</calculatedColumnFormula>
    </tableColumn>
    <tableColumn id="4" xr3:uid="{A97DBE92-A35B-4666-BF5E-6AEC54E9B882}" name="J34" dataDxfId="4">
      <calculatedColumnFormula>Table3[[#This Row],[weight]]*(0.9155*Table2[[#This Row],[J34]]-C$9)^2</calculatedColumnFormula>
    </tableColumn>
    <tableColumn id="5" xr3:uid="{9A2341B3-24AE-4078-8254-F52F4524C242}" name="J45" dataDxfId="3">
      <calculatedColumnFormula>Table3[[#This Row],[weight]]*(0.9155*Table2[[#This Row],[J45]]-D$9)^2</calculatedColumnFormula>
    </tableColumn>
    <tableColumn id="6" xr3:uid="{5A4E9992-292D-49F5-9013-B8D2F5B01F8A}" name="J56" dataDxfId="2">
      <calculatedColumnFormula>Table3[[#This Row],[weight]]*(0.9155*Table2[[#This Row],[J56]]-E$9)^2</calculatedColumnFormula>
    </tableColumn>
    <tableColumn id="7" xr3:uid="{40297247-3FCF-4DDF-BF44-7D824AE90E7B}" name="J67" dataDxfId="1">
      <calculatedColumnFormula>Table3[[#This Row],[weight]]*(0.9155*Table2[[#This Row],[J67]]-F$9)^2</calculatedColumnFormula>
    </tableColumn>
    <tableColumn id="8" xr3:uid="{046CDBAF-0325-4EAD-AE5F-9E1CD7E09D19}" name="J67'" dataDxfId="0">
      <calculatedColumnFormula>Table3[[#This Row],[weight]]*(0.9155*Table2[[#This Row],[J67'']]-G$9)^2</calculatedColumnFormula>
    </tableColumn>
    <tableColumn id="9" xr3:uid="{C84FDD17-032C-4844-A1EB-FAC55434AC5E}" name="weight">
      <calculatedColumnFormula>chloroform!J7</calculatedColumnFormula>
    </tableColumn>
    <tableColumn id="10" xr3:uid="{39377053-392F-4CFC-B2C6-4E63FCAA601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Q83"/>
  <sheetViews>
    <sheetView tabSelected="1" topLeftCell="C1" zoomScale="70" zoomScaleNormal="70" workbookViewId="0">
      <selection activeCell="W14" sqref="W14"/>
    </sheetView>
  </sheetViews>
  <sheetFormatPr defaultRowHeight="15" x14ac:dyDescent="0.25"/>
  <cols>
    <col min="1" max="1" width="16.7109375" customWidth="1"/>
    <col min="2" max="2" width="13.14062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15" max="15" width="24.28515625" customWidth="1"/>
    <col min="24" max="24" width="11" bestFit="1" customWidth="1"/>
  </cols>
  <sheetData>
    <row r="1" spans="1:1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1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7.8709464217952139</v>
      </c>
      <c r="G2">
        <f>SUM(J7:J109)</f>
        <v>1.0000000000000002</v>
      </c>
    </row>
    <row r="6" spans="1:1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O6" t="s">
        <v>21</v>
      </c>
      <c r="P6" t="s">
        <v>22</v>
      </c>
    </row>
    <row r="7" spans="1:16" x14ac:dyDescent="0.25">
      <c r="A7" s="13">
        <f>Table1[[#This Row],[Gibbs Energy (hartree)]]</f>
        <v>-1260.03018149177</v>
      </c>
      <c r="B7" s="13">
        <f>Table1[[#This Row],[Energy (hartrees)]]*$C$2</f>
        <v>-790681.53918790061</v>
      </c>
      <c r="C7" s="13">
        <f>Table1[[#This Row],[Energy (kcal)]]-MIN(Table1[Energy (kcal)])</f>
        <v>1.1338201771723107</v>
      </c>
      <c r="D7">
        <v>-1260.03018149177</v>
      </c>
      <c r="E7" s="13">
        <v>2</v>
      </c>
      <c r="F7" s="13" t="s">
        <v>17</v>
      </c>
      <c r="G7" s="13"/>
      <c r="H7" s="14">
        <f>Table1[[#This Row],[Rel E]]</f>
        <v>1.1338201771723107</v>
      </c>
      <c r="I7" s="14">
        <f>IF(Table1[[#This Row],[rel G]]&lt;5,EXP(-H7/(D$2*E$2)),0)</f>
        <v>0.14739721646302981</v>
      </c>
      <c r="J7" s="14">
        <f>IF(Table1[[#This Row],[rel G]]&lt;5,I7/$F$2,0)</f>
        <v>1.8726746259493821E-2</v>
      </c>
      <c r="K7" s="13"/>
      <c r="M7">
        <f>COUNTIF(Table1[Classification],N7)</f>
        <v>17</v>
      </c>
      <c r="N7" t="s">
        <v>17</v>
      </c>
      <c r="O7">
        <f>SUMIF(Table1[Classification],N7,Table1[weight])</f>
        <v>0.78743409586906932</v>
      </c>
      <c r="P7">
        <f>AVERAGEIF(Table1[Classification],N7,Table1[rel G])</f>
        <v>2.0459022403229028</v>
      </c>
    </row>
    <row r="8" spans="1:16" x14ac:dyDescent="0.25">
      <c r="A8">
        <f>Table1[[#This Row],[Gibbs Energy (hartree)]]</f>
        <v>-1260.0303500095199</v>
      </c>
      <c r="B8">
        <f>Table1[[#This Row],[Energy (hartrees)]]*$C$2</f>
        <v>-790681.64493447379</v>
      </c>
      <c r="C8">
        <f>Table1[[#This Row],[Energy (kcal)]]-MIN(Table1[Energy (kcal)])</f>
        <v>1.0280736039858311</v>
      </c>
      <c r="D8">
        <v>-1260.0303500095199</v>
      </c>
      <c r="E8">
        <v>3</v>
      </c>
      <c r="F8" t="s">
        <v>17</v>
      </c>
      <c r="H8" s="10">
        <f>Table1[[#This Row],[Rel E]]</f>
        <v>1.0280736039858311</v>
      </c>
      <c r="I8" s="10">
        <f>IF(Table1[[#This Row],[rel G]]&lt;5,EXP(-H8/(D$2*E$2)),0)</f>
        <v>0.17621413449709236</v>
      </c>
      <c r="J8" s="10">
        <f>IF(Table1[[#This Row],[rel G]]&lt;5,I8/$F$2,0)</f>
        <v>2.2387921992346793E-2</v>
      </c>
      <c r="M8">
        <f>COUNTIF(Table1[Classification],N8)</f>
        <v>15</v>
      </c>
      <c r="N8" t="s">
        <v>122</v>
      </c>
      <c r="O8">
        <f>SUMIF(Table1[Classification],N8,Table1[weight])</f>
        <v>0.11494589302092209</v>
      </c>
      <c r="P8">
        <f>AVERAGEIF(Table1[Classification],N8,Table1[rel G])</f>
        <v>3.3247746822036182</v>
      </c>
    </row>
    <row r="9" spans="1:16" x14ac:dyDescent="0.25">
      <c r="A9">
        <f>Table1[[#This Row],[Gibbs Energy (hartree)]]</f>
        <v>-1260.03142227474</v>
      </c>
      <c r="B9">
        <f>Table1[[#This Row],[Energy (hartrees)]]*$C$2</f>
        <v>-790682.31779162202</v>
      </c>
      <c r="C9">
        <f>Table1[[#This Row],[Energy (kcal)]]-MIN(Table1[Energy (kcal)])</f>
        <v>0.35521645576227456</v>
      </c>
      <c r="D9">
        <v>-1260.03142227474</v>
      </c>
      <c r="E9">
        <v>4</v>
      </c>
      <c r="F9" t="s">
        <v>17</v>
      </c>
      <c r="H9" s="10">
        <f>Table1[[#This Row],[Rel E]]</f>
        <v>0.35521645576227456</v>
      </c>
      <c r="I9" s="10">
        <f>IF(Table1[[#This Row],[rel G]]&lt;5,EXP(-H9/(D$2*E$2)),0)</f>
        <v>0.54890171789089259</v>
      </c>
      <c r="J9" s="10">
        <f>IF(Table1[[#This Row],[rel G]]&lt;5,I9/$F$2,0)</f>
        <v>6.97377022375536E-2</v>
      </c>
      <c r="M9">
        <f>COUNTIF(Table1[Classification],N9)</f>
        <v>11</v>
      </c>
      <c r="N9" t="s">
        <v>19</v>
      </c>
      <c r="O9">
        <f>SUMIF(Table1[Classification],N9,Table1[weight])</f>
        <v>7.2418196729090584E-2</v>
      </c>
      <c r="P9">
        <f>AVERAGEIF(Table1[Classification],N9,Table1[rel G])</f>
        <v>3.0936285916144368</v>
      </c>
    </row>
    <row r="10" spans="1:16" x14ac:dyDescent="0.25">
      <c r="A10">
        <f>Table1[[#This Row],[Gibbs Energy (hartree)]]</f>
        <v>-1260.0316648283399</v>
      </c>
      <c r="B10">
        <f>Table1[[#This Row],[Energy (hartrees)]]*$C$2</f>
        <v>-790682.46999643161</v>
      </c>
      <c r="C10">
        <f>Table1[[#This Row],[Energy (kcal)]]-MIN(Table1[Energy (kcal)])</f>
        <v>0.20301164616830647</v>
      </c>
      <c r="D10">
        <v>-1260.0316648283399</v>
      </c>
      <c r="E10">
        <v>6</v>
      </c>
      <c r="F10" t="s">
        <v>17</v>
      </c>
      <c r="H10" s="10">
        <f>Table1[[#This Row],[Rel E]]</f>
        <v>0.20301164616830647</v>
      </c>
      <c r="I10" s="10">
        <f>IF(Table1[[#This Row],[rel G]]&lt;5,EXP(-H10/(D$2*E$2)),0)</f>
        <v>0.70976922928247699</v>
      </c>
      <c r="J10" s="10">
        <f>IF(Table1[[#This Row],[rel G]]&lt;5,I10/$F$2,0)</f>
        <v>9.0175843062160255E-2</v>
      </c>
      <c r="M10">
        <f>COUNTIF(Table1[Classification],N10)</f>
        <v>3</v>
      </c>
      <c r="N10" t="s">
        <v>124</v>
      </c>
      <c r="O10">
        <f>SUMIF(Table1[Classification],N10,Table1[weight])</f>
        <v>1.6044121175960529E-2</v>
      </c>
      <c r="P10">
        <f>AVERAGEIF(Table1[Classification],N10,Table1[rel G])</f>
        <v>2.9079350507042059</v>
      </c>
    </row>
    <row r="11" spans="1:16" x14ac:dyDescent="0.25">
      <c r="A11">
        <f>Table1[[#This Row],[Gibbs Energy (hartree)]]</f>
        <v>-1260.0281839996701</v>
      </c>
      <c r="B11">
        <f>Table1[[#This Row],[Energy (hartrees)]]*$C$2</f>
        <v>-790680.28574163292</v>
      </c>
      <c r="C11">
        <f>Table1[[#This Row],[Energy (kcal)]]-MIN(Table1[Energy (kcal)])</f>
        <v>2.3872664448572323</v>
      </c>
      <c r="D11">
        <v>-1260.0281839996701</v>
      </c>
      <c r="E11">
        <v>7</v>
      </c>
      <c r="F11" t="s">
        <v>122</v>
      </c>
      <c r="H11" s="10">
        <f>Table1[[#This Row],[Rel E]]</f>
        <v>2.3872664448572323</v>
      </c>
      <c r="I11" s="10">
        <f>IF(Table1[[#This Row],[rel G]]&lt;5,EXP(-H11/(D$2*E$2)),0)</f>
        <v>1.7752040139127522E-2</v>
      </c>
      <c r="J11" s="10">
        <f>IF(Table1[[#This Row],[rel G]]&lt;5,I11/$F$2,0)</f>
        <v>2.2553882580080651E-3</v>
      </c>
      <c r="M11">
        <f>COUNTIF(Table1[Classification],N11)</f>
        <v>12</v>
      </c>
      <c r="N11" t="s">
        <v>20</v>
      </c>
      <c r="O11">
        <f>SUMIF(Table1[Classification],N11,Table1[weight])</f>
        <v>4.8720111623471434E-3</v>
      </c>
      <c r="P11">
        <f>AVERAGEIF(Table1[Classification],N11,Table1[rel G])</f>
        <v>4.0359335948014632</v>
      </c>
    </row>
    <row r="12" spans="1:16" x14ac:dyDescent="0.25">
      <c r="A12">
        <f>Table1[[#This Row],[Gibbs Energy (hartree)]]</f>
        <v>-1260.0311474714699</v>
      </c>
      <c r="B12">
        <f>Table1[[#This Row],[Energy (hartrees)]]*$C$2</f>
        <v>-790682.14534982212</v>
      </c>
      <c r="C12">
        <f>Table1[[#This Row],[Energy (kcal)]]-MIN(Table1[Energy (kcal)])</f>
        <v>0.52765825565438718</v>
      </c>
      <c r="D12">
        <v>-1260.0311474714699</v>
      </c>
      <c r="E12">
        <v>8</v>
      </c>
      <c r="F12" t="s">
        <v>17</v>
      </c>
      <c r="H12" s="10">
        <f>Table1[[#This Row],[Rel E]]</f>
        <v>0.52765825565438718</v>
      </c>
      <c r="I12" s="10">
        <f>IF(Table1[[#This Row],[rel G]]&lt;5,EXP(-H12/(D$2*E$2)),0)</f>
        <v>0.41023318883284687</v>
      </c>
      <c r="J12" s="10">
        <f>IF(Table1[[#This Row],[rel G]]&lt;5,I12/$F$2,0)</f>
        <v>5.2119931562090403E-2</v>
      </c>
      <c r="M12">
        <f>COUNTIF(Table1[Classification],N12)</f>
        <v>6</v>
      </c>
      <c r="N12" t="s">
        <v>18</v>
      </c>
      <c r="O12">
        <f>SUMIF(Table1[Classification],N12,Table1[weight])</f>
        <v>4.2126386303290575E-3</v>
      </c>
      <c r="P12">
        <f>AVERAGEIF(Table1[Classification],N12,Table1[rel G])</f>
        <v>3.9789515839462788</v>
      </c>
    </row>
    <row r="13" spans="1:16" x14ac:dyDescent="0.25">
      <c r="A13">
        <f>Table1[[#This Row],[Gibbs Energy (hartree)]]</f>
        <v>-1260.03108972415</v>
      </c>
      <c r="B13">
        <f>Table1[[#This Row],[Energy (hartrees)]]*$C$2</f>
        <v>-790682.10911280138</v>
      </c>
      <c r="C13">
        <f>Table1[[#This Row],[Energy (kcal)]]-MIN(Table1[Energy (kcal)])</f>
        <v>0.56389527639839798</v>
      </c>
      <c r="D13">
        <v>-1260.03108972415</v>
      </c>
      <c r="E13">
        <v>9</v>
      </c>
      <c r="F13" t="s">
        <v>17</v>
      </c>
      <c r="H13" s="10">
        <f>Table1[[#This Row],[Rel E]]</f>
        <v>0.56389527639839798</v>
      </c>
      <c r="I13" s="10">
        <f>IF(Table1[[#This Row],[rel G]]&lt;5,EXP(-H13/(D$2*E$2)),0)</f>
        <v>0.38588297364581076</v>
      </c>
      <c r="J13" s="10">
        <f>IF(Table1[[#This Row],[rel G]]&lt;5,I13/$F$2,0)</f>
        <v>4.9026248301890757E-2</v>
      </c>
      <c r="M13">
        <f>COUNTIF(Table1[Classification],N13)</f>
        <v>4</v>
      </c>
      <c r="N13" t="s">
        <v>123</v>
      </c>
      <c r="O13">
        <f>SUMIF(Table1[Classification],N13,Table1[weight])</f>
        <v>7.3043412281397076E-5</v>
      </c>
      <c r="P13">
        <f>AVERAGEIF(Table1[Classification],N13,Table1[rel G])</f>
        <v>5.1726351201359648</v>
      </c>
    </row>
    <row r="14" spans="1:16" x14ac:dyDescent="0.25">
      <c r="A14">
        <f>Table1[[#This Row],[Gibbs Energy (hartree)]]</f>
        <v>-1260.0207127122701</v>
      </c>
      <c r="B14">
        <f>Table1[[#This Row],[Energy (hartrees)]]*$C$2</f>
        <v>-790675.5974340766</v>
      </c>
      <c r="C14">
        <f>Table1[[#This Row],[Energy (kcal)]]-MIN(Table1[Energy (kcal)])</f>
        <v>7.0755740011809394</v>
      </c>
      <c r="D14">
        <v>-1260.0207127122701</v>
      </c>
      <c r="E14">
        <v>14</v>
      </c>
      <c r="F14" t="s">
        <v>122</v>
      </c>
      <c r="H14" s="10">
        <f>Table1[[#This Row],[Rel E]]</f>
        <v>7.0755740011809394</v>
      </c>
      <c r="I14" s="10">
        <f>IF(Table1[[#This Row],[rel G]]&lt;5,EXP(-H14/(D$2*E$2)),0)</f>
        <v>0</v>
      </c>
      <c r="J14" s="10">
        <f>IF(Table1[[#This Row],[rel G]]&lt;5,I14/$F$2,0)</f>
        <v>0</v>
      </c>
      <c r="O14">
        <f>SUM(O7:O13)</f>
        <v>1</v>
      </c>
    </row>
    <row r="15" spans="1:16" x14ac:dyDescent="0.25">
      <c r="A15">
        <f>Table1[[#This Row],[Gibbs Energy (hartree)]]</f>
        <v>-1260.0297649027</v>
      </c>
      <c r="B15">
        <f>Table1[[#This Row],[Energy (hartrees)]]*$C$2</f>
        <v>-790681.27777409321</v>
      </c>
      <c r="C15">
        <f>Table1[[#This Row],[Energy (kcal)]]-MIN(Table1[Energy (kcal)])</f>
        <v>1.3952339845709503</v>
      </c>
      <c r="D15">
        <v>-1260.0297649027</v>
      </c>
      <c r="E15">
        <v>15</v>
      </c>
      <c r="F15" t="s">
        <v>122</v>
      </c>
      <c r="H15" s="10">
        <f>Table1[[#This Row],[Rel E]]</f>
        <v>1.3952339845709503</v>
      </c>
      <c r="I15" s="10">
        <f>IF(Table1[[#This Row],[rel G]]&lt;5,EXP(-H15/(D$2*E$2)),0)</f>
        <v>9.4792942438818154E-2</v>
      </c>
      <c r="J15" s="10">
        <f>IF(Table1[[#This Row],[rel G]]&lt;5,I15/$F$2,0)</f>
        <v>1.2043398259747991E-2</v>
      </c>
    </row>
    <row r="16" spans="1:16" x14ac:dyDescent="0.25">
      <c r="A16">
        <f>Table1[[#This Row],[Gibbs Energy (hartree)]]</f>
        <v>-1260.0317661402</v>
      </c>
      <c r="B16">
        <f>Table1[[#This Row],[Energy (hartrees)]]*$C$2</f>
        <v>-790682.53357063688</v>
      </c>
      <c r="C16">
        <f>Table1[[#This Row],[Energy (kcal)]]-MIN(Table1[Energy (kcal)])</f>
        <v>0.13943744089920074</v>
      </c>
      <c r="D16">
        <v>-1260.0317661402</v>
      </c>
      <c r="E16">
        <v>16</v>
      </c>
      <c r="F16" t="s">
        <v>17</v>
      </c>
      <c r="H16" s="10">
        <f>Table1[[#This Row],[Rel E]]</f>
        <v>0.13943744089920074</v>
      </c>
      <c r="I16" s="10">
        <f>IF(Table1[[#This Row],[rel G]]&lt;5,EXP(-H16/(D$2*E$2)),0)</f>
        <v>0.79020657544397133</v>
      </c>
      <c r="J16" s="10">
        <f>IF(Table1[[#This Row],[rel G]]&lt;5,I16/$F$2,0)</f>
        <v>0.10039536964142365</v>
      </c>
    </row>
    <row r="17" spans="1:15" x14ac:dyDescent="0.25">
      <c r="A17">
        <f>Table1[[#This Row],[Gibbs Energy (hartree)]]</f>
        <v>-1260.0308416917801</v>
      </c>
      <c r="B17">
        <f>Table1[[#This Row],[Energy (hartrees)]]*$C$2</f>
        <v>-790681.95347000891</v>
      </c>
      <c r="C17">
        <f>Table1[[#This Row],[Energy (kcal)]]-MIN(Table1[Energy (kcal)])</f>
        <v>0.71953806886449456</v>
      </c>
      <c r="D17">
        <v>-1260.0308416917801</v>
      </c>
      <c r="E17">
        <v>17</v>
      </c>
      <c r="F17" t="s">
        <v>122</v>
      </c>
      <c r="H17" s="10">
        <f>Table1[[#This Row],[Rel E]]</f>
        <v>0.71953806886449456</v>
      </c>
      <c r="I17" s="10">
        <f>IF(Table1[[#This Row],[rel G]]&lt;5,EXP(-H17/(D$2*E$2)),0)</f>
        <v>0.29669602139311579</v>
      </c>
      <c r="J17" s="10">
        <f>IF(Table1[[#This Row],[rel G]]&lt;5,I17/$F$2,0)</f>
        <v>3.7695088429460434E-2</v>
      </c>
      <c r="O17">
        <f>SUM(O7:O9)</f>
        <v>0.97479818561908194</v>
      </c>
    </row>
    <row r="18" spans="1:15" x14ac:dyDescent="0.25">
      <c r="A18">
        <f>Table1[[#This Row],[Gibbs Energy (hartree)]]</f>
        <v>-1260.02823784355</v>
      </c>
      <c r="B18">
        <f>Table1[[#This Row],[Energy (hartrees)]]*$C$2</f>
        <v>-790680.31952920603</v>
      </c>
      <c r="C18">
        <f>Table1[[#This Row],[Energy (kcal)]]-MIN(Table1[Energy (kcal)])</f>
        <v>2.3534788717515767</v>
      </c>
      <c r="D18">
        <v>-1260.02823784355</v>
      </c>
      <c r="E18">
        <v>19</v>
      </c>
      <c r="F18" t="s">
        <v>18</v>
      </c>
      <c r="H18" s="10">
        <f>Table1[[#This Row],[Rel E]]</f>
        <v>2.3534788717515767</v>
      </c>
      <c r="I18" s="10">
        <f>IF(Table1[[#This Row],[rel G]]&lt;5,EXP(-H18/(D$2*E$2)),0)</f>
        <v>1.8794340636671861E-2</v>
      </c>
      <c r="J18" s="10">
        <f>IF(Table1[[#This Row],[rel G]]&lt;5,I18/$F$2,0)</f>
        <v>2.3878120405735437E-3</v>
      </c>
    </row>
    <row r="19" spans="1:15" x14ac:dyDescent="0.25">
      <c r="A19">
        <f>Table1[[#This Row],[Gibbs Energy (hartree)]]</f>
        <v>-1260.03170193304</v>
      </c>
      <c r="B19">
        <f>Table1[[#This Row],[Energy (hartrees)]]*$C$2</f>
        <v>-790682.49328000192</v>
      </c>
      <c r="C19">
        <f>Table1[[#This Row],[Energy (kcal)]]-MIN(Table1[Energy (kcal)])</f>
        <v>0.17972807586193085</v>
      </c>
      <c r="D19">
        <v>-1260.03170193304</v>
      </c>
      <c r="E19">
        <v>20</v>
      </c>
      <c r="F19" t="s">
        <v>17</v>
      </c>
      <c r="H19" s="10">
        <f>Table1[[#This Row],[Rel E]]</f>
        <v>0.17972807586193085</v>
      </c>
      <c r="I19" s="10">
        <f>IF(Table1[[#This Row],[rel G]]&lt;5,EXP(-H19/(D$2*E$2)),0)</f>
        <v>0.73823164921669138</v>
      </c>
      <c r="J19" s="10">
        <f>IF(Table1[[#This Row],[rel G]]&lt;5,I19/$F$2,0)</f>
        <v>9.3791979980002799E-2</v>
      </c>
    </row>
    <row r="20" spans="1:15" x14ac:dyDescent="0.25">
      <c r="A20">
        <f>Table1[[#This Row],[Gibbs Energy (hartree)]]</f>
        <v>-1260.0237035402499</v>
      </c>
      <c r="B20">
        <f>Table1[[#This Row],[Energy (hartrees)]]*$C$2</f>
        <v>-790677.47420854226</v>
      </c>
      <c r="C20">
        <f>Table1[[#This Row],[Energy (kcal)]]-MIN(Table1[Energy (kcal)])</f>
        <v>5.1987995355157182</v>
      </c>
      <c r="D20">
        <v>-1260.0237035402499</v>
      </c>
      <c r="E20">
        <v>21</v>
      </c>
      <c r="F20" t="s">
        <v>123</v>
      </c>
      <c r="H20" s="10">
        <f>Table1[[#This Row],[Rel E]]</f>
        <v>5.1987995355157182</v>
      </c>
      <c r="I20" s="10">
        <f>IF(Table1[[#This Row],[rel G]]&lt;5,EXP(-H20/(D$2*E$2)),0)</f>
        <v>0</v>
      </c>
      <c r="J20" s="10">
        <f>IF(Table1[[#This Row],[rel G]]&lt;5,I20/$F$2,0)</f>
        <v>0</v>
      </c>
    </row>
    <row r="21" spans="1:15" x14ac:dyDescent="0.25">
      <c r="A21">
        <f>Table1[[#This Row],[Gibbs Energy (hartree)]]</f>
        <v>-1260.02597069126</v>
      </c>
      <c r="B21">
        <f>Table1[[#This Row],[Energy (hartrees)]]*$C$2</f>
        <v>-790678.89686847257</v>
      </c>
      <c r="C21">
        <f>Table1[[#This Row],[Energy (kcal)]]-MIN(Table1[Energy (kcal)])</f>
        <v>3.7761396052083001</v>
      </c>
      <c r="D21">
        <v>-1260.02597069126</v>
      </c>
      <c r="E21">
        <v>22</v>
      </c>
      <c r="F21" t="s">
        <v>122</v>
      </c>
      <c r="H21" s="10">
        <f>Table1[[#This Row],[Rel E]]</f>
        <v>3.7761396052083001</v>
      </c>
      <c r="I21" s="10">
        <f>IF(Table1[[#This Row],[rel G]]&lt;5,EXP(-H21/(D$2*E$2)),0)</f>
        <v>1.7009404877059992E-3</v>
      </c>
      <c r="J21" s="10">
        <f>IF(Table1[[#This Row],[rel G]]&lt;5,I21/$F$2,0)</f>
        <v>2.1610368011094235E-4</v>
      </c>
    </row>
    <row r="22" spans="1:15" x14ac:dyDescent="0.25">
      <c r="A22">
        <f>Table1[[#This Row],[Gibbs Energy (hartree)]]</f>
        <v>-1260.02317631138</v>
      </c>
      <c r="B22">
        <f>Table1[[#This Row],[Energy (hartrees)]]*$C$2</f>
        <v>-790677.14336715406</v>
      </c>
      <c r="C22">
        <f>Table1[[#This Row],[Energy (kcal)]]-MIN(Table1[Energy (kcal)])</f>
        <v>5.5296409237198532</v>
      </c>
      <c r="D22">
        <v>-1260.02317631138</v>
      </c>
      <c r="E22">
        <v>23</v>
      </c>
      <c r="F22" t="s">
        <v>123</v>
      </c>
      <c r="H22" s="10">
        <f>Table1[[#This Row],[Rel E]]</f>
        <v>5.5296409237198532</v>
      </c>
      <c r="I22" s="10">
        <f>IF(Table1[[#This Row],[rel G]]&lt;5,EXP(-H22/(D$2*E$2)),0)</f>
        <v>0</v>
      </c>
      <c r="J22" s="10">
        <f>IF(Table1[[#This Row],[rel G]]&lt;5,I22/$F$2,0)</f>
        <v>0</v>
      </c>
    </row>
    <row r="23" spans="1:15" x14ac:dyDescent="0.25">
      <c r="A23">
        <f>Table1[[#This Row],[Gibbs Energy (hartree)]]</f>
        <v>-1260.02601225131</v>
      </c>
      <c r="B23">
        <f>Table1[[#This Row],[Energy (hartrees)]]*$C$2</f>
        <v>-790678.92294781958</v>
      </c>
      <c r="C23">
        <f>Table1[[#This Row],[Energy (kcal)]]-MIN(Table1[Energy (kcal)])</f>
        <v>3.7500602582003921</v>
      </c>
      <c r="D23">
        <v>-1260.02601225131</v>
      </c>
      <c r="E23">
        <v>24</v>
      </c>
      <c r="F23" t="s">
        <v>122</v>
      </c>
      <c r="H23" s="10">
        <f>Table1[[#This Row],[Rel E]]</f>
        <v>3.7500602582003921</v>
      </c>
      <c r="I23" s="10">
        <f>IF(Table1[[#This Row],[rel G]]&lt;5,EXP(-H23/(D$2*E$2)),0)</f>
        <v>1.7775218701958297E-3</v>
      </c>
      <c r="J23" s="10">
        <f>IF(Table1[[#This Row],[rel G]]&lt;5,I23/$F$2,0)</f>
        <v>2.2583330833935605E-4</v>
      </c>
    </row>
    <row r="24" spans="1:15" x14ac:dyDescent="0.25">
      <c r="A24">
        <f>Table1[[#This Row],[Gibbs Energy (hartree)]]</f>
        <v>-1260.02859839144</v>
      </c>
      <c r="B24">
        <f>Table1[[#This Row],[Energy (hartrees)]]*$C$2</f>
        <v>-790680.54577661247</v>
      </c>
      <c r="C24">
        <f>Table1[[#This Row],[Energy (kcal)]]-MIN(Table1[Energy (kcal)])</f>
        <v>2.1272314653033391</v>
      </c>
      <c r="D24">
        <v>-1260.02859839144</v>
      </c>
      <c r="E24">
        <v>26</v>
      </c>
      <c r="F24" t="s">
        <v>122</v>
      </c>
      <c r="H24" s="10">
        <f>Table1[[#This Row],[Rel E]]</f>
        <v>2.1272314653033391</v>
      </c>
      <c r="I24" s="10">
        <f>IF(Table1[[#This Row],[rel G]]&lt;5,EXP(-H24/(D$2*E$2)),0)</f>
        <v>2.7539138920761489E-2</v>
      </c>
      <c r="J24" s="10">
        <f>IF(Table1[[#This Row],[rel G]]&lt;5,I24/$F$2,0)</f>
        <v>3.4988345041332821E-3</v>
      </c>
    </row>
    <row r="25" spans="1:15" x14ac:dyDescent="0.25">
      <c r="A25">
        <f>Table1[[#This Row],[Gibbs Energy (hartree)]]</f>
        <v>-1260.0315586076699</v>
      </c>
      <c r="B25">
        <f>Table1[[#This Row],[Energy (hartrees)]]*$C$2</f>
        <v>-790682.40334189893</v>
      </c>
      <c r="C25">
        <f>Table1[[#This Row],[Energy (kcal)]]-MIN(Table1[Energy (kcal)])</f>
        <v>0.26966617885045707</v>
      </c>
      <c r="D25">
        <v>-1260.0315586076699</v>
      </c>
      <c r="E25">
        <v>27</v>
      </c>
      <c r="F25" t="s">
        <v>17</v>
      </c>
      <c r="H25" s="10">
        <f>Table1[[#This Row],[Rel E]]</f>
        <v>0.26966617885045707</v>
      </c>
      <c r="I25" s="10">
        <f>IF(Table1[[#This Row],[rel G]]&lt;5,EXP(-H25/(D$2*E$2)),0)</f>
        <v>0.63421231837058123</v>
      </c>
      <c r="J25" s="10">
        <f>IF(Table1[[#This Row],[rel G]]&lt;5,I25/$F$2,0)</f>
        <v>8.0576373460553866E-2</v>
      </c>
    </row>
    <row r="26" spans="1:15" x14ac:dyDescent="0.25">
      <c r="A26">
        <f>Table1[[#This Row],[Gibbs Energy (hartree)]]</f>
        <v>-1260.0268689233301</v>
      </c>
      <c r="B26">
        <f>Table1[[#This Row],[Energy (hartrees)]]*$C$2</f>
        <v>-790679.46051807888</v>
      </c>
      <c r="C26">
        <f>Table1[[#This Row],[Energy (kcal)]]-MIN(Table1[Energy (kcal)])</f>
        <v>3.2124899988994002</v>
      </c>
      <c r="D26">
        <v>-1260.0268689233301</v>
      </c>
      <c r="E26">
        <v>30</v>
      </c>
      <c r="F26" t="s">
        <v>18</v>
      </c>
      <c r="H26" s="10">
        <f>Table1[[#This Row],[Rel E]]</f>
        <v>3.2124899988994002</v>
      </c>
      <c r="I26" s="10">
        <f>IF(Table1[[#This Row],[rel G]]&lt;5,EXP(-H26/(D$2*E$2)),0)</f>
        <v>4.4060897062553001E-3</v>
      </c>
      <c r="J26" s="10">
        <f>IF(Table1[[#This Row],[rel G]]&lt;5,I26/$F$2,0)</f>
        <v>5.5979160194186085E-4</v>
      </c>
    </row>
    <row r="27" spans="1:15" x14ac:dyDescent="0.25">
      <c r="A27">
        <f>Table1[[#This Row],[Gibbs Energy (hartree)]]</f>
        <v>-1260.02733875231</v>
      </c>
      <c r="B27">
        <f>Table1[[#This Row],[Energy (hartrees)]]*$C$2</f>
        <v>-790679.75534046208</v>
      </c>
      <c r="C27">
        <f>Table1[[#This Row],[Energy (kcal)]]-MIN(Table1[Energy (kcal)])</f>
        <v>2.9176676156930625</v>
      </c>
      <c r="D27">
        <v>-1260.02733875231</v>
      </c>
      <c r="E27">
        <v>33</v>
      </c>
      <c r="F27" t="s">
        <v>122</v>
      </c>
      <c r="H27" s="10">
        <f>Table1[[#This Row],[Rel E]]</f>
        <v>2.9176676156930625</v>
      </c>
      <c r="I27" s="10">
        <f>IF(Table1[[#This Row],[rel G]]&lt;5,EXP(-H27/(D$2*E$2)),0)</f>
        <v>7.2488229092761095E-3</v>
      </c>
      <c r="J27" s="10">
        <f>IF(Table1[[#This Row],[rel G]]&lt;5,I27/$F$2,0)</f>
        <v>9.2095950357425885E-4</v>
      </c>
    </row>
    <row r="28" spans="1:15" x14ac:dyDescent="0.25">
      <c r="A28">
        <f>Table1[[#This Row],[Gibbs Energy (hartree)]]</f>
        <v>-1260.0266212481499</v>
      </c>
      <c r="B28">
        <f>Table1[[#This Row],[Energy (hartrees)]]*$C$2</f>
        <v>-790679.30509942654</v>
      </c>
      <c r="C28">
        <f>Table1[[#This Row],[Energy (kcal)]]-MIN(Table1[Energy (kcal)])</f>
        <v>3.3679086512420326</v>
      </c>
      <c r="D28">
        <v>-1260.0266212481499</v>
      </c>
      <c r="E28">
        <v>34</v>
      </c>
      <c r="F28" t="s">
        <v>18</v>
      </c>
      <c r="H28" s="10">
        <f>Table1[[#This Row],[Rel E]]</f>
        <v>3.3679086512420326</v>
      </c>
      <c r="I28" s="10">
        <f>IF(Table1[[#This Row],[rel G]]&lt;5,EXP(-H28/(D$2*E$2)),0)</f>
        <v>3.3890175577951055E-3</v>
      </c>
      <c r="J28" s="10">
        <f>IF(Table1[[#This Row],[rel G]]&lt;5,I28/$F$2,0)</f>
        <v>4.3057306913062875E-4</v>
      </c>
    </row>
    <row r="29" spans="1:15" x14ac:dyDescent="0.25">
      <c r="A29">
        <f>Table1[[#This Row],[Gibbs Energy (hartree)]]</f>
        <v>-1260.0305260017201</v>
      </c>
      <c r="B29">
        <f>Table1[[#This Row],[Energy (hartrees)]]*$C$2</f>
        <v>-790681.75537133939</v>
      </c>
      <c r="C29">
        <f>Table1[[#This Row],[Energy (kcal)]]-MIN(Table1[Energy (kcal)])</f>
        <v>0.9176367383915931</v>
      </c>
      <c r="D29">
        <v>-1260.0305260017201</v>
      </c>
      <c r="E29">
        <v>38</v>
      </c>
      <c r="F29" t="s">
        <v>122</v>
      </c>
      <c r="H29" s="10">
        <f>Table1[[#This Row],[Rel E]]</f>
        <v>0.9176367383915931</v>
      </c>
      <c r="I29" s="10">
        <f>IF(Table1[[#This Row],[rel G]]&lt;5,EXP(-H29/(D$2*E$2)),0)</f>
        <v>0.2123400542922993</v>
      </c>
      <c r="J29" s="10">
        <f>IF(Table1[[#This Row],[rel G]]&lt;5,I29/$F$2,0)</f>
        <v>2.6977702923286898E-2</v>
      </c>
    </row>
    <row r="30" spans="1:15" x14ac:dyDescent="0.25">
      <c r="A30">
        <f>Table1[[#This Row],[Gibbs Energy (hartree)]]</f>
        <v>-1260.03198834772</v>
      </c>
      <c r="B30">
        <f>Table1[[#This Row],[Energy (hartrees)]]*$C$2</f>
        <v>-790682.67300807778</v>
      </c>
      <c r="C30">
        <f>Table1[[#This Row],[Energy (kcal)]]-MIN(Table1[Energy (kcal)])</f>
        <v>0</v>
      </c>
      <c r="D30">
        <v>-1260.03198834772</v>
      </c>
      <c r="E30">
        <v>39</v>
      </c>
      <c r="F30" t="s">
        <v>17</v>
      </c>
      <c r="H30" s="10">
        <f>Table1[[#This Row],[Rel E]]</f>
        <v>0</v>
      </c>
      <c r="I30" s="10">
        <f>IF(Table1[[#This Row],[rel G]]&lt;5,EXP(-H30/(D$2*E$2)),0)</f>
        <v>1</v>
      </c>
      <c r="J30" s="10">
        <f>IF(Table1[[#This Row],[rel G]]&lt;5,I30/$F$2,0)</f>
        <v>0.127049524467722</v>
      </c>
    </row>
    <row r="31" spans="1:15" x14ac:dyDescent="0.25">
      <c r="A31">
        <f>Table1[[#This Row],[Gibbs Energy (hartree)]]</f>
        <v>-1260.0315625276701</v>
      </c>
      <c r="B31">
        <f>Table1[[#This Row],[Energy (hartrees)]]*$C$2</f>
        <v>-790682.40580173826</v>
      </c>
      <c r="C31">
        <f>Table1[[#This Row],[Energy (kcal)]]-MIN(Table1[Energy (kcal)])</f>
        <v>0.26720633951481432</v>
      </c>
      <c r="D31">
        <v>-1260.0315625276701</v>
      </c>
      <c r="E31">
        <v>41</v>
      </c>
      <c r="F31" t="s">
        <v>17</v>
      </c>
      <c r="H31" s="10">
        <f>Table1[[#This Row],[Rel E]]</f>
        <v>0.26720633951481432</v>
      </c>
      <c r="I31" s="10">
        <f>IF(Table1[[#This Row],[rel G]]&lt;5,EXP(-H31/(D$2*E$2)),0)</f>
        <v>0.63685219161024631</v>
      </c>
      <c r="J31" s="10">
        <f>IF(Table1[[#This Row],[rel G]]&lt;5,I31/$F$2,0)</f>
        <v>8.0911768100308368E-2</v>
      </c>
    </row>
    <row r="32" spans="1:15" x14ac:dyDescent="0.25">
      <c r="A32">
        <f>Table1[[#This Row],[Gibbs Energy (hartree)]]</f>
        <v>-1260.02270100804</v>
      </c>
      <c r="B32">
        <f>Table1[[#This Row],[Energy (hartrees)]]*$C$2</f>
        <v>-790676.84510955517</v>
      </c>
      <c r="C32">
        <f>Table1[[#This Row],[Energy (kcal)]]-MIN(Table1[Energy (kcal)])</f>
        <v>5.8278985226061195</v>
      </c>
      <c r="D32">
        <v>-1260.02270100804</v>
      </c>
      <c r="E32">
        <v>45</v>
      </c>
      <c r="F32" t="s">
        <v>122</v>
      </c>
      <c r="H32" s="10">
        <f>Table1[[#This Row],[Rel E]]</f>
        <v>5.8278985226061195</v>
      </c>
      <c r="I32" s="10">
        <f>IF(Table1[[#This Row],[rel G]]&lt;5,EXP(-H32/(D$2*E$2)),0)</f>
        <v>0</v>
      </c>
      <c r="J32" s="10">
        <f>IF(Table1[[#This Row],[rel G]]&lt;5,I32/$F$2,0)</f>
        <v>0</v>
      </c>
    </row>
    <row r="33" spans="1:17" x14ac:dyDescent="0.25">
      <c r="A33">
        <f>Table1[[#This Row],[Gibbs Energy (hartree)]]</f>
        <v>-1260.02982056664</v>
      </c>
      <c r="B33">
        <f>Table1[[#This Row],[Energy (hartrees)]]*$C$2</f>
        <v>-790681.31270377222</v>
      </c>
      <c r="C33">
        <f>Table1[[#This Row],[Energy (kcal)]]-MIN(Table1[Energy (kcal)])</f>
        <v>1.3603043055627495</v>
      </c>
      <c r="D33">
        <v>-1260.02982056664</v>
      </c>
      <c r="E33">
        <v>48</v>
      </c>
      <c r="F33" t="s">
        <v>124</v>
      </c>
      <c r="H33" s="10">
        <f>Table1[[#This Row],[Rel E]]</f>
        <v>1.3603043055627495</v>
      </c>
      <c r="I33" s="10">
        <f>IF(Table1[[#This Row],[rel G]]&lt;5,EXP(-H33/(D$2*E$2)),0)</f>
        <v>0.10055239383325118</v>
      </c>
      <c r="J33" s="10">
        <f>IF(Table1[[#This Row],[rel G]]&lt;5,I33/$F$2,0)</f>
        <v>1.2775133820605666E-2</v>
      </c>
    </row>
    <row r="34" spans="1:17" x14ac:dyDescent="0.25">
      <c r="A34">
        <f>Table1[[#This Row],[Gibbs Energy (hartree)]]</f>
        <v>-1260.0272456748701</v>
      </c>
      <c r="B34">
        <f>Table1[[#This Row],[Energy (hartrees)]]*$C$2</f>
        <v>-790679.69693343772</v>
      </c>
      <c r="C34">
        <f>Table1[[#This Row],[Energy (kcal)]]-MIN(Table1[Energy (kcal)])</f>
        <v>2.9760746400570497</v>
      </c>
      <c r="D34">
        <v>-1260.0272456748701</v>
      </c>
      <c r="E34">
        <v>57</v>
      </c>
      <c r="F34" t="s">
        <v>18</v>
      </c>
      <c r="H34" s="10">
        <f>Table1[[#This Row],[Rel E]]</f>
        <v>2.9760746400570497</v>
      </c>
      <c r="I34" s="10">
        <f>IF(Table1[[#This Row],[rel G]]&lt;5,EXP(-H34/(D$2*E$2)),0)</f>
        <v>6.5680050529825186E-3</v>
      </c>
      <c r="J34" s="10">
        <f>IF(Table1[[#This Row],[rel G]]&lt;5,I34/$F$2,0)</f>
        <v>8.3446191868302429E-4</v>
      </c>
    </row>
    <row r="35" spans="1:17" x14ac:dyDescent="0.25">
      <c r="A35">
        <f>Table1[[#This Row],[Gibbs Energy (hartree)]]</f>
        <v>-1260.0246042337101</v>
      </c>
      <c r="B35">
        <f>Table1[[#This Row],[Energy (hartrees)]]*$C$2</f>
        <v>-790678.03940269537</v>
      </c>
      <c r="C35">
        <f>Table1[[#This Row],[Energy (kcal)]]-MIN(Table1[Energy (kcal)])</f>
        <v>4.6336053824052215</v>
      </c>
      <c r="D35">
        <v>-1260.0246042337101</v>
      </c>
      <c r="E35">
        <v>59</v>
      </c>
      <c r="F35" t="s">
        <v>122</v>
      </c>
      <c r="H35" s="10">
        <f>Table1[[#This Row],[Rel E]]</f>
        <v>4.6336053824052215</v>
      </c>
      <c r="I35" s="10">
        <f>IF(Table1[[#This Row],[rel G]]&lt;5,EXP(-H35/(D$2*E$2)),0)</f>
        <v>3.998054174014194E-4</v>
      </c>
      <c r="J35" s="10">
        <f>IF(Table1[[#This Row],[rel G]]&lt;5,I35/$F$2,0)</f>
        <v>5.0795088160469441E-5</v>
      </c>
    </row>
    <row r="36" spans="1:17" x14ac:dyDescent="0.25">
      <c r="A36">
        <f>Table1[[#This Row],[Gibbs Energy (hartree)]]</f>
        <v>-1260.02826722692</v>
      </c>
      <c r="B36">
        <f>Table1[[#This Row],[Energy (hartrees)]]*$C$2</f>
        <v>-790680.33796756458</v>
      </c>
      <c r="C36">
        <f>Table1[[#This Row],[Energy (kcal)]]-MIN(Table1[Energy (kcal)])</f>
        <v>2.3350405131932348</v>
      </c>
      <c r="D36">
        <v>-1260.02826722692</v>
      </c>
      <c r="E36">
        <v>72</v>
      </c>
      <c r="F36" t="s">
        <v>17</v>
      </c>
      <c r="H36" s="10">
        <f>Table1[[#This Row],[Rel E]]</f>
        <v>2.3350405131932348</v>
      </c>
      <c r="I36" s="10">
        <f>IF(Table1[[#This Row],[rel G]]&lt;5,EXP(-H36/(D$2*E$2)),0)</f>
        <v>1.9388724936357959E-2</v>
      </c>
      <c r="J36" s="10">
        <f>IF(Table1[[#This Row],[rel G]]&lt;5,I36/$F$2,0)</f>
        <v>2.4633282831997422E-3</v>
      </c>
    </row>
    <row r="37" spans="1:17" x14ac:dyDescent="0.25">
      <c r="A37">
        <f>Table1[[#This Row],[Gibbs Energy (hartree)]]</f>
        <v>-1260.0307499156099</v>
      </c>
      <c r="B37">
        <f>Table1[[#This Row],[Energy (hartrees)]]*$C$2</f>
        <v>-790681.89587954443</v>
      </c>
      <c r="C37">
        <f>Table1[[#This Row],[Energy (kcal)]]-MIN(Table1[Energy (kcal)])</f>
        <v>0.77712853334378451</v>
      </c>
      <c r="D37">
        <v>-1260.0307499156099</v>
      </c>
      <c r="E37">
        <v>73</v>
      </c>
      <c r="F37" t="s">
        <v>19</v>
      </c>
      <c r="H37" s="10">
        <f>Table1[[#This Row],[Rel E]]</f>
        <v>0.77712853334378451</v>
      </c>
      <c r="I37" s="10">
        <f>IF(Table1[[#This Row],[rel G]]&lt;5,EXP(-H37/(D$2*E$2)),0)</f>
        <v>0.26920092766232839</v>
      </c>
      <c r="J37" s="10">
        <f>IF(Table1[[#This Row],[rel G]]&lt;5,I37/$F$2,0)</f>
        <v>3.4201849845768455E-2</v>
      </c>
    </row>
    <row r="38" spans="1:17" x14ac:dyDescent="0.25">
      <c r="A38">
        <f>Table1[[#This Row],[Gibbs Energy (hartree)]]</f>
        <v>-1260.0249470415499</v>
      </c>
      <c r="B38">
        <f>Table1[[#This Row],[Energy (hartrees)]]*$C$2</f>
        <v>-790678.25451804302</v>
      </c>
      <c r="C38">
        <f>Table1[[#This Row],[Energy (kcal)]]-MIN(Table1[Energy (kcal)])</f>
        <v>4.4184900347609073</v>
      </c>
      <c r="D38">
        <v>-1260.0249470415499</v>
      </c>
      <c r="E38">
        <v>76</v>
      </c>
      <c r="F38" t="s">
        <v>123</v>
      </c>
      <c r="H38" s="10">
        <f>Table1[[#This Row],[Rel E]]</f>
        <v>4.4184900347609073</v>
      </c>
      <c r="I38" s="10">
        <f>IF(Table1[[#This Row],[rel G]]&lt;5,EXP(-H38/(D$2*E$2)),0)</f>
        <v>5.749207845319749E-4</v>
      </c>
      <c r="J38" s="10">
        <f>IF(Table1[[#This Row],[rel G]]&lt;5,I38/$F$2,0)</f>
        <v>7.3043412281397076E-5</v>
      </c>
    </row>
    <row r="39" spans="1:17" x14ac:dyDescent="0.25">
      <c r="A39">
        <f>Table1[[#This Row],[Gibbs Energy (hartree)]]</f>
        <v>-1260.0302905438</v>
      </c>
      <c r="B39">
        <f>Table1[[#This Row],[Energy (hartrees)]]*$C$2</f>
        <v>-790681.60761913995</v>
      </c>
      <c r="C39">
        <f>Table1[[#This Row],[Energy (kcal)]]-MIN(Table1[Energy (kcal)])</f>
        <v>1.0653889378299937</v>
      </c>
      <c r="D39">
        <v>-1260.0302905438</v>
      </c>
      <c r="E39">
        <v>78</v>
      </c>
      <c r="F39" t="s">
        <v>122</v>
      </c>
      <c r="H39" s="10">
        <f>Table1[[#This Row],[Rel E]]</f>
        <v>1.0653889378299937</v>
      </c>
      <c r="I39" s="10">
        <f>IF(Table1[[#This Row],[rel G]]&lt;5,EXP(-H39/(D$2*E$2)),0)</f>
        <v>0.16545304386563356</v>
      </c>
      <c r="J39" s="10">
        <f>IF(Table1[[#This Row],[rel G]]&lt;5,I39/$F$2,0)</f>
        <v>2.1020730544865893E-2</v>
      </c>
      <c r="Q39" s="11"/>
    </row>
    <row r="40" spans="1:17" x14ac:dyDescent="0.25">
      <c r="A40">
        <f>Table1[[#This Row],[Gibbs Energy (hartree)]]</f>
        <v>-1260.0250665067001</v>
      </c>
      <c r="B40">
        <f>Table1[[#This Row],[Energy (hartrees)]]*$C$2</f>
        <v>-790678.32948361943</v>
      </c>
      <c r="C40">
        <f>Table1[[#This Row],[Energy (kcal)]]-MIN(Table1[Energy (kcal)])</f>
        <v>4.3435244583524764</v>
      </c>
      <c r="D40">
        <v>-1260.0250665067001</v>
      </c>
      <c r="E40">
        <v>86</v>
      </c>
      <c r="F40" t="s">
        <v>20</v>
      </c>
      <c r="H40" s="10">
        <f>Table1[[#This Row],[Rel E]]</f>
        <v>4.3435244583524764</v>
      </c>
      <c r="I40" s="10">
        <f>IF(Table1[[#This Row],[rel G]]&lt;5,EXP(-H40/(D$2*E$2)),0)</f>
        <v>6.5250761045795923E-4</v>
      </c>
      <c r="J40" s="10">
        <f>IF(Table1[[#This Row],[rel G]]&lt;5,I40/$F$2,0)</f>
        <v>8.2900781620253312E-5</v>
      </c>
      <c r="Q40" s="11"/>
    </row>
    <row r="41" spans="1:17" x14ac:dyDescent="0.25">
      <c r="A41">
        <f>Table1[[#This Row],[Gibbs Energy (hartree)]]</f>
        <v>-1260.02202615697</v>
      </c>
      <c r="B41">
        <f>Table1[[#This Row],[Energy (hartrees)]]*$C$2</f>
        <v>-790676.42163376021</v>
      </c>
      <c r="C41">
        <f>Table1[[#This Row],[Energy (kcal)]]-MIN(Table1[Energy (kcal)])</f>
        <v>6.2513743175659329</v>
      </c>
      <c r="D41">
        <v>-1260.02202615697</v>
      </c>
      <c r="E41">
        <v>94</v>
      </c>
      <c r="F41" t="s">
        <v>18</v>
      </c>
      <c r="H41" s="10">
        <f>Table1[[#This Row],[Rel E]]</f>
        <v>6.2513743175659329</v>
      </c>
      <c r="I41" s="10">
        <f>IF(Table1[[#This Row],[rel G]]&lt;5,EXP(-H41/(D$2*E$2)),0)</f>
        <v>0</v>
      </c>
      <c r="J41" s="10">
        <f>IF(Table1[[#This Row],[rel G]]&lt;5,I41/$F$2,0)</f>
        <v>0</v>
      </c>
      <c r="Q41" s="11"/>
    </row>
    <row r="42" spans="1:17" x14ac:dyDescent="0.25">
      <c r="A42">
        <f>Table1[[#This Row],[Gibbs Energy (hartree)]]</f>
        <v>-1260.02315405028</v>
      </c>
      <c r="B42">
        <f>Table1[[#This Row],[Energy (hartrees)]]*$C$2</f>
        <v>-790677.12939809123</v>
      </c>
      <c r="C42">
        <f>Table1[[#This Row],[Energy (kcal)]]-MIN(Table1[Energy (kcal)])</f>
        <v>5.5436099865473807</v>
      </c>
      <c r="D42">
        <v>-1260.02315405028</v>
      </c>
      <c r="E42">
        <v>101</v>
      </c>
      <c r="F42" t="s">
        <v>123</v>
      </c>
      <c r="H42" s="10">
        <f>Table1[[#This Row],[Rel E]]</f>
        <v>5.5436099865473807</v>
      </c>
      <c r="I42" s="10">
        <f>IF(Table1[[#This Row],[rel G]]&lt;5,EXP(-H42/(D$2*E$2)),0)</f>
        <v>0</v>
      </c>
      <c r="J42" s="10">
        <f>IF(Table1[[#This Row],[rel G]]&lt;5,I42/$F$2,0)</f>
        <v>0</v>
      </c>
      <c r="Q42" s="11"/>
    </row>
    <row r="43" spans="1:17" x14ac:dyDescent="0.25">
      <c r="A43">
        <f>Table1[[#This Row],[Gibbs Energy (hartree)]]</f>
        <v>-1260.0305347558599</v>
      </c>
      <c r="B43">
        <f>Table1[[#This Row],[Energy (hartrees)]]*$C$2</f>
        <v>-790681.76086464967</v>
      </c>
      <c r="C43">
        <f>Table1[[#This Row],[Energy (kcal)]]-MIN(Table1[Energy (kcal)])</f>
        <v>0.91214342811144888</v>
      </c>
      <c r="D43">
        <v>-1260.0305347558599</v>
      </c>
      <c r="E43">
        <v>103</v>
      </c>
      <c r="F43" t="s">
        <v>19</v>
      </c>
      <c r="H43" s="10">
        <f>Table1[[#This Row],[Rel E]]</f>
        <v>0.91214342811144888</v>
      </c>
      <c r="I43" s="10">
        <f>IF(Table1[[#This Row],[rel G]]&lt;5,EXP(-H43/(D$2*E$2)),0)</f>
        <v>0.21431894262096982</v>
      </c>
      <c r="J43" s="10">
        <f>IF(Table1[[#This Row],[rel G]]&lt;5,I43/$F$2,0)</f>
        <v>2.7229119744419213E-2</v>
      </c>
      <c r="Q43" s="11"/>
    </row>
    <row r="44" spans="1:17" x14ac:dyDescent="0.25">
      <c r="A44">
        <f>Table1[[#This Row],[Gibbs Energy (hartree)]]</f>
        <v>-1260.02013257827</v>
      </c>
      <c r="B44">
        <f>Table1[[#This Row],[Energy (hartrees)]]*$C$2</f>
        <v>-790675.2333941902</v>
      </c>
      <c r="C44">
        <f>Table1[[#This Row],[Energy (kcal)]]-MIN(Table1[Energy (kcal)])</f>
        <v>7.4396138875745237</v>
      </c>
      <c r="D44">
        <v>-1260.02013257827</v>
      </c>
      <c r="E44">
        <v>104</v>
      </c>
      <c r="F44" t="s">
        <v>122</v>
      </c>
      <c r="H44" s="10">
        <f>Table1[[#This Row],[Rel E]]</f>
        <v>7.4396138875745237</v>
      </c>
      <c r="I44" s="10">
        <f>IF(Table1[[#This Row],[rel G]]&lt;5,EXP(-H44/(D$2*E$2)),0)</f>
        <v>0</v>
      </c>
      <c r="J44" s="10">
        <f>IF(Table1[[#This Row],[rel G]]&lt;5,I44/$F$2,0)</f>
        <v>0</v>
      </c>
      <c r="Q44" s="11"/>
    </row>
    <row r="45" spans="1:17" x14ac:dyDescent="0.25">
      <c r="A45">
        <f>Table1[[#This Row],[Gibbs Energy (hartree)]]</f>
        <v>-1260.02288509355</v>
      </c>
      <c r="B45">
        <f>Table1[[#This Row],[Energy (hartrees)]]*$C$2</f>
        <v>-790676.96062505362</v>
      </c>
      <c r="C45">
        <f>Table1[[#This Row],[Energy (kcal)]]-MIN(Table1[Energy (kcal)])</f>
        <v>5.7123830241616815</v>
      </c>
      <c r="D45">
        <v>-1260.02288509355</v>
      </c>
      <c r="E45">
        <v>106</v>
      </c>
      <c r="F45" t="s">
        <v>18</v>
      </c>
      <c r="H45" s="10">
        <f>Table1[[#This Row],[Rel E]]</f>
        <v>5.7123830241616815</v>
      </c>
      <c r="I45" s="10">
        <f>IF(Table1[[#This Row],[rel G]]&lt;5,EXP(-H45/(D$2*E$2)),0)</f>
        <v>0</v>
      </c>
      <c r="J45" s="10">
        <f>IF(Table1[[#This Row],[rel G]]&lt;5,I45/$F$2,0)</f>
        <v>0</v>
      </c>
      <c r="Q45" s="11"/>
    </row>
    <row r="46" spans="1:17" x14ac:dyDescent="0.25">
      <c r="A46">
        <f>Table1[[#This Row],[Gibbs Energy (hartree)]]</f>
        <v>-1260.02322717737</v>
      </c>
      <c r="B46">
        <f>Table1[[#This Row],[Energy (hartrees)]]*$C$2</f>
        <v>-790677.17528607149</v>
      </c>
      <c r="C46">
        <f>Table1[[#This Row],[Energy (kcal)]]-MIN(Table1[Energy (kcal)])</f>
        <v>5.4977220062864944</v>
      </c>
      <c r="D46">
        <v>-1260.02322717737</v>
      </c>
      <c r="E46">
        <v>107</v>
      </c>
      <c r="F46" t="s">
        <v>20</v>
      </c>
      <c r="H46" s="10">
        <f>Table1[[#This Row],[Rel E]]</f>
        <v>5.4977220062864944</v>
      </c>
      <c r="I46" s="10">
        <f>IF(Table1[[#This Row],[rel G]]&lt;5,EXP(-H46/(D$2*E$2)),0)</f>
        <v>0</v>
      </c>
      <c r="J46" s="10">
        <f>IF(Table1[[#This Row],[rel G]]&lt;5,I46/$F$2,0)</f>
        <v>0</v>
      </c>
      <c r="Q46" s="11"/>
    </row>
    <row r="47" spans="1:17" x14ac:dyDescent="0.25">
      <c r="A47">
        <f>Table1[[#This Row],[Gibbs Energy (hartree)]]</f>
        <v>-1260.0295853094799</v>
      </c>
      <c r="B47">
        <f>Table1[[#This Row],[Energy (hartrees)]]*$C$2</f>
        <v>-790681.16507755173</v>
      </c>
      <c r="C47">
        <f>Table1[[#This Row],[Energy (kcal)]]-MIN(Table1[Energy (kcal)])</f>
        <v>1.5079305260442197</v>
      </c>
      <c r="D47">
        <v>-1260.0295853094799</v>
      </c>
      <c r="E47">
        <v>109</v>
      </c>
      <c r="F47" t="s">
        <v>122</v>
      </c>
      <c r="H47" s="10">
        <f>Table1[[#This Row],[Rel E]]</f>
        <v>1.5079305260442197</v>
      </c>
      <c r="I47" s="10">
        <f>IF(Table1[[#This Row],[rel G]]&lt;5,EXP(-H47/(D$2*E$2)),0)</f>
        <v>7.8365992958995087E-2</v>
      </c>
      <c r="J47" s="10">
        <f>IF(Table1[[#This Row],[rel G]]&lt;5,I47/$F$2,0)</f>
        <v>9.9563621398811759E-3</v>
      </c>
      <c r="Q47" s="11"/>
    </row>
    <row r="48" spans="1:17" x14ac:dyDescent="0.25">
      <c r="A48">
        <f>Table1[[#This Row],[Gibbs Energy (hartree)]]</f>
        <v>-1260.02729558031</v>
      </c>
      <c r="B48">
        <f>Table1[[#This Row],[Energy (hartrees)]]*$C$2</f>
        <v>-790679.72824960027</v>
      </c>
      <c r="C48">
        <f>Table1[[#This Row],[Energy (kcal)]]-MIN(Table1[Energy (kcal)])</f>
        <v>2.9447584775043651</v>
      </c>
      <c r="D48">
        <v>-1260.02729558031</v>
      </c>
      <c r="E48">
        <v>123</v>
      </c>
      <c r="F48" t="s">
        <v>19</v>
      </c>
      <c r="H48" s="10">
        <f>Table1[[#This Row],[Rel E]]</f>
        <v>2.9447584775043651</v>
      </c>
      <c r="I48" s="10">
        <f>IF(Table1[[#This Row],[rel G]]&lt;5,EXP(-H48/(D$2*E$2)),0)</f>
        <v>6.9246820981621517E-3</v>
      </c>
      <c r="J48" s="10">
        <f>IF(Table1[[#This Row],[rel G]]&lt;5,I48/$F$2,0)</f>
        <v>8.797775676616489E-4</v>
      </c>
      <c r="Q48" s="11"/>
    </row>
    <row r="49" spans="1:17" x14ac:dyDescent="0.25">
      <c r="A49">
        <f>Table1[[#This Row],[Gibbs Energy (hartree)]]</f>
        <v>-1260.02022690284</v>
      </c>
      <c r="B49">
        <f>Table1[[#This Row],[Energy (hartrees)]]*$C$2</f>
        <v>-790675.29258380109</v>
      </c>
      <c r="C49">
        <f>Table1[[#This Row],[Energy (kcal)]]-MIN(Table1[Energy (kcal)])</f>
        <v>7.3804242766927928</v>
      </c>
      <c r="D49">
        <v>-1260.02022690284</v>
      </c>
      <c r="E49">
        <v>125</v>
      </c>
      <c r="F49" t="s">
        <v>114</v>
      </c>
      <c r="H49" s="10">
        <f>Table1[[#This Row],[Rel E]]</f>
        <v>7.3804242766927928</v>
      </c>
      <c r="I49" s="10">
        <f>IF(Table1[[#This Row],[rel G]]&lt;5,EXP(-H49/(D$2*E$2)),0)</f>
        <v>0</v>
      </c>
      <c r="J49" s="10">
        <f>IF(Table1[[#This Row],[rel G]]&lt;5,I49/$F$2,0)</f>
        <v>0</v>
      </c>
      <c r="Q49" s="11"/>
    </row>
    <row r="50" spans="1:17" x14ac:dyDescent="0.25">
      <c r="A50">
        <f>Table1[[#This Row],[Gibbs Energy (hartree)]]</f>
        <v>-1260.02657335341</v>
      </c>
      <c r="B50">
        <f>Table1[[#This Row],[Energy (hartrees)]]*$C$2</f>
        <v>-790679.27504499827</v>
      </c>
      <c r="C50">
        <f>Table1[[#This Row],[Energy (kcal)]]-MIN(Table1[Energy (kcal)])</f>
        <v>3.3979630795074627</v>
      </c>
      <c r="D50">
        <v>-1260.02657335341</v>
      </c>
      <c r="E50">
        <v>128</v>
      </c>
      <c r="F50" t="s">
        <v>20</v>
      </c>
      <c r="H50" s="10">
        <f>Table1[[#This Row],[Rel E]]</f>
        <v>3.3979630795074627</v>
      </c>
      <c r="I50" s="10">
        <f>IF(Table1[[#This Row],[rel G]]&lt;5,EXP(-H50/(D$2*E$2)),0)</f>
        <v>3.2213118921324032E-3</v>
      </c>
      <c r="J50" s="10">
        <f>IF(Table1[[#This Row],[rel G]]&lt;5,I50/$F$2,0)</f>
        <v>4.0926614405763966E-4</v>
      </c>
      <c r="Q50" s="11"/>
    </row>
    <row r="51" spans="1:17" x14ac:dyDescent="0.25">
      <c r="A51">
        <f>Table1[[#This Row],[Gibbs Energy (hartree)]]</f>
        <v>-1260.0285342664599</v>
      </c>
      <c r="B51">
        <f>Table1[[#This Row],[Energy (hartrees)]]*$C$2</f>
        <v>-790680.50553754624</v>
      </c>
      <c r="C51">
        <f>Table1[[#This Row],[Energy (kcal)]]-MIN(Table1[Energy (kcal)])</f>
        <v>2.1674705315381289</v>
      </c>
      <c r="D51">
        <v>-1260.0285342664599</v>
      </c>
      <c r="E51">
        <v>135</v>
      </c>
      <c r="F51" t="s">
        <v>124</v>
      </c>
      <c r="H51" s="10">
        <f>Table1[[#This Row],[Rel E]]</f>
        <v>2.1674705315381289</v>
      </c>
      <c r="I51" s="10">
        <f>IF(Table1[[#This Row],[rel G]]&lt;5,EXP(-H51/(D$2*E$2)),0)</f>
        <v>2.5730024327524158E-2</v>
      </c>
      <c r="J51" s="10">
        <f>IF(Table1[[#This Row],[rel G]]&lt;5,I51/$F$2,0)</f>
        <v>3.2689873553548628E-3</v>
      </c>
      <c r="Q51" s="11"/>
    </row>
    <row r="52" spans="1:17" x14ac:dyDescent="0.25">
      <c r="A52">
        <f>Table1[[#This Row],[Gibbs Energy (hartree)]]</f>
        <v>-1260.02754663063</v>
      </c>
      <c r="B52">
        <f>Table1[[#This Row],[Energy (hartrees)]]*$C$2</f>
        <v>-790679.88578618667</v>
      </c>
      <c r="C52">
        <f>Table1[[#This Row],[Energy (kcal)]]-MIN(Table1[Energy (kcal)])</f>
        <v>2.7872218911070377</v>
      </c>
      <c r="D52">
        <v>-1260.02754663063</v>
      </c>
      <c r="E52">
        <v>136</v>
      </c>
      <c r="F52" t="s">
        <v>19</v>
      </c>
      <c r="H52" s="10">
        <f>Table1[[#This Row],[Rel E]]</f>
        <v>2.7872218911070377</v>
      </c>
      <c r="I52" s="10">
        <f>IF(Table1[[#This Row],[rel G]]&lt;5,EXP(-H52/(D$2*E$2)),0)</f>
        <v>9.0350921785003601E-3</v>
      </c>
      <c r="J52" s="10">
        <f>IF(Table1[[#This Row],[rel G]]&lt;5,I52/$F$2,0)</f>
        <v>1.1479041648005052E-3</v>
      </c>
      <c r="Q52" s="11"/>
    </row>
    <row r="53" spans="1:17" x14ac:dyDescent="0.25">
      <c r="A53">
        <f>Table1[[#This Row],[Gibbs Energy (hartree)]]</f>
        <v>-1260.02923894481</v>
      </c>
      <c r="B53">
        <f>Table1[[#This Row],[Energy (hartrees)]]*$C$2</f>
        <v>-790680.94773025776</v>
      </c>
      <c r="C53">
        <f>Table1[[#This Row],[Energy (kcal)]]-MIN(Table1[Energy (kcal)])</f>
        <v>1.7252778200199828</v>
      </c>
      <c r="D53">
        <v>-1260.02923894481</v>
      </c>
      <c r="E53">
        <v>142</v>
      </c>
      <c r="F53" t="s">
        <v>19</v>
      </c>
      <c r="H53" s="10">
        <f>Table1[[#This Row],[Rel E]]</f>
        <v>1.7252778200199828</v>
      </c>
      <c r="I53" s="10">
        <f>IF(Table1[[#This Row],[rel G]]&lt;5,EXP(-H53/(D$2*E$2)),0)</f>
        <v>5.4291452566895812E-2</v>
      </c>
      <c r="J53" s="10">
        <f>IF(Table1[[#This Row],[rel G]]&lt;5,I53/$F$2,0)</f>
        <v>6.897703231285998E-3</v>
      </c>
      <c r="Q53" s="11"/>
    </row>
    <row r="54" spans="1:17" x14ac:dyDescent="0.25">
      <c r="A54">
        <f>Table1[[#This Row],[Gibbs Energy (hartree)]]</f>
        <v>-1260.0250867289501</v>
      </c>
      <c r="B54">
        <f>Table1[[#This Row],[Energy (hartrees)]]*$C$2</f>
        <v>-790678.34217328345</v>
      </c>
      <c r="C54">
        <f>Table1[[#This Row],[Energy (kcal)]]-MIN(Table1[Energy (kcal)])</f>
        <v>4.3308347943238914</v>
      </c>
      <c r="D54">
        <v>-1260.0250867289501</v>
      </c>
      <c r="E54">
        <v>143</v>
      </c>
      <c r="F54" t="s">
        <v>122</v>
      </c>
      <c r="H54" s="10">
        <f>Table1[[#This Row],[Rel E]]</f>
        <v>4.3308347943238914</v>
      </c>
      <c r="I54" s="10">
        <f>IF(Table1[[#This Row],[rel G]]&lt;5,EXP(-H54/(D$2*E$2)),0)</f>
        <v>6.6664067975206456E-4</v>
      </c>
      <c r="J54" s="10">
        <f>IF(Table1[[#This Row],[rel G]]&lt;5,I54/$F$2,0)</f>
        <v>8.4696381353338763E-5</v>
      </c>
      <c r="Q54" s="11"/>
    </row>
    <row r="55" spans="1:17" x14ac:dyDescent="0.25">
      <c r="A55">
        <f>Table1[[#This Row],[Gibbs Energy (hartree)]]</f>
        <v>-1260.0251160436301</v>
      </c>
      <c r="B55">
        <f>Table1[[#This Row],[Energy (hartrees)]]*$C$2</f>
        <v>-790678.36056853831</v>
      </c>
      <c r="C55">
        <f>Table1[[#This Row],[Energy (kcal)]]-MIN(Table1[Energy (kcal)])</f>
        <v>4.3124395394697785</v>
      </c>
      <c r="D55">
        <v>-1260.0251160436301</v>
      </c>
      <c r="E55">
        <v>144</v>
      </c>
      <c r="F55" t="s">
        <v>20</v>
      </c>
      <c r="H55" s="10">
        <f>Table1[[#This Row],[Rel E]]</f>
        <v>4.3124395394697785</v>
      </c>
      <c r="I55" s="10">
        <f>IF(Table1[[#This Row],[rel G]]&lt;5,EXP(-H55/(D$2*E$2)),0)</f>
        <v>6.8767360665424385E-4</v>
      </c>
      <c r="J55" s="10">
        <f>IF(Table1[[#This Row],[rel G]]&lt;5,I55/$F$2,0)</f>
        <v>8.7368604714424999E-5</v>
      </c>
      <c r="Q55" s="11"/>
    </row>
    <row r="56" spans="1:17" x14ac:dyDescent="0.25">
      <c r="A56">
        <f>Table1[[#This Row],[Gibbs Energy (hartree)]]</f>
        <v>-1260.0261455751699</v>
      </c>
      <c r="B56">
        <f>Table1[[#This Row],[Energy (hartrees)]]*$C$2</f>
        <v>-790679.00660987489</v>
      </c>
      <c r="C56">
        <f>Table1[[#This Row],[Energy (kcal)]]-MIN(Table1[Energy (kcal)])</f>
        <v>3.666398202884011</v>
      </c>
      <c r="D56">
        <v>-1260.0261455751699</v>
      </c>
      <c r="E56">
        <v>145</v>
      </c>
      <c r="F56" t="s">
        <v>19</v>
      </c>
      <c r="H56" s="10">
        <f>Table1[[#This Row],[Rel E]]</f>
        <v>3.666398202884011</v>
      </c>
      <c r="I56" s="10">
        <f>IF(Table1[[#This Row],[rel G]]&lt;5,EXP(-H56/(D$2*E$2)),0)</f>
        <v>2.0472471219870475E-3</v>
      </c>
      <c r="J56" s="10">
        <f>IF(Table1[[#This Row],[rel G]]&lt;5,I56/$F$2,0)</f>
        <v>2.6010177331636683E-4</v>
      </c>
      <c r="Q56" s="11"/>
    </row>
    <row r="57" spans="1:17" x14ac:dyDescent="0.25">
      <c r="A57">
        <f>Table1[[#This Row],[Gibbs Energy (hartree)]]</f>
        <v>-1260.0277917881299</v>
      </c>
      <c r="B57">
        <f>Table1[[#This Row],[Energy (hartrees)]]*$C$2</f>
        <v>-790680.03962496936</v>
      </c>
      <c r="C57">
        <f>Table1[[#This Row],[Energy (kcal)]]-MIN(Table1[Energy (kcal)])</f>
        <v>2.6333831084193662</v>
      </c>
      <c r="D57">
        <v>-1260.0277917881299</v>
      </c>
      <c r="E57">
        <v>166</v>
      </c>
      <c r="F57" t="s">
        <v>19</v>
      </c>
      <c r="H57" s="10">
        <f>Table1[[#This Row],[Rel E]]</f>
        <v>2.6333831084193662</v>
      </c>
      <c r="I57" s="10">
        <f>IF(Table1[[#This Row],[rel G]]&lt;5,EXP(-H57/(D$2*E$2)),0)</f>
        <v>1.1715301595275954E-2</v>
      </c>
      <c r="J57" s="10">
        <f>IF(Table1[[#This Row],[rel G]]&lt;5,I57/$F$2,0)</f>
        <v>1.488423496675755E-3</v>
      </c>
      <c r="Q57" s="11"/>
    </row>
    <row r="58" spans="1:17" x14ac:dyDescent="0.25">
      <c r="A58">
        <f>Table1[[#This Row],[Gibbs Energy (hartree)]]</f>
        <v>-1260.02631884947</v>
      </c>
      <c r="B58">
        <f>Table1[[#This Row],[Energy (hartrees)]]*$C$2</f>
        <v>-790679.11534123099</v>
      </c>
      <c r="C58">
        <f>Table1[[#This Row],[Energy (kcal)]]-MIN(Table1[Energy (kcal)])</f>
        <v>3.5576668467838317</v>
      </c>
      <c r="D58">
        <v>-1260.02631884947</v>
      </c>
      <c r="E58">
        <v>173</v>
      </c>
      <c r="F58" t="s">
        <v>20</v>
      </c>
      <c r="H58" s="10">
        <f>Table1[[#This Row],[Rel E]]</f>
        <v>3.5576668467838317</v>
      </c>
      <c r="I58" s="10">
        <f>IF(Table1[[#This Row],[rel G]]&lt;5,EXP(-H58/(D$2*E$2)),0)</f>
        <v>2.4598616466406688E-3</v>
      </c>
      <c r="J58" s="10">
        <f>IF(Table1[[#This Row],[rel G]]&lt;5,I58/$F$2,0)</f>
        <v>3.1252425246208461E-4</v>
      </c>
      <c r="Q58" s="11"/>
    </row>
    <row r="59" spans="1:17" x14ac:dyDescent="0.25">
      <c r="A59">
        <f>Table1[[#This Row],[Gibbs Energy (hartree)]]</f>
        <v>-1260.0250429114301</v>
      </c>
      <c r="B59">
        <f>Table1[[#This Row],[Energy (hartrees)]]*$C$2</f>
        <v>-790678.3146773515</v>
      </c>
      <c r="C59">
        <f>Table1[[#This Row],[Energy (kcal)]]-MIN(Table1[Energy (kcal)])</f>
        <v>4.3583307262742892</v>
      </c>
      <c r="D59">
        <v>-1260.0250429114301</v>
      </c>
      <c r="E59">
        <v>191</v>
      </c>
      <c r="F59" t="s">
        <v>20</v>
      </c>
      <c r="H59" s="10">
        <f>Table1[[#This Row],[Rel E]]</f>
        <v>4.3583307262742892</v>
      </c>
      <c r="I59" s="10">
        <f>IF(Table1[[#This Row],[rel G]]&lt;5,EXP(-H59/(D$2*E$2)),0)</f>
        <v>6.3639549322910512E-4</v>
      </c>
      <c r="J59" s="10">
        <f>IF(Table1[[#This Row],[rel G]]&lt;5,I59/$F$2,0)</f>
        <v>8.0853744788159199E-5</v>
      </c>
      <c r="Q59" s="11"/>
    </row>
    <row r="60" spans="1:17" x14ac:dyDescent="0.25">
      <c r="A60">
        <f>Table1[[#This Row],[Gibbs Energy (hartree)]]</f>
        <v>-1260.0274356980301</v>
      </c>
      <c r="B60">
        <f>Table1[[#This Row],[Energy (hartrees)]]*$C$2</f>
        <v>-790679.81617487082</v>
      </c>
      <c r="C60">
        <f>Table1[[#This Row],[Energy (kcal)]]-MIN(Table1[Energy (kcal)])</f>
        <v>2.8568332069553435</v>
      </c>
      <c r="D60">
        <v>-1260.0274356980301</v>
      </c>
      <c r="E60">
        <v>193</v>
      </c>
      <c r="F60" t="s">
        <v>20</v>
      </c>
      <c r="H60" s="10">
        <f>Table1[[#This Row],[Rel E]]</f>
        <v>2.8568332069553435</v>
      </c>
      <c r="I60" s="10">
        <f>IF(Table1[[#This Row],[rel G]]&lt;5,EXP(-H60/(D$2*E$2)),0)</f>
        <v>8.033072280787236E-3</v>
      </c>
      <c r="J60" s="10">
        <f>IF(Table1[[#This Row],[rel G]]&lt;5,I60/$F$2,0)</f>
        <v>1.0205980132888574E-3</v>
      </c>
      <c r="Q60" s="11"/>
    </row>
    <row r="61" spans="1:17" x14ac:dyDescent="0.25">
      <c r="A61">
        <f>Table1[[#This Row],[Gibbs Energy (hartree)]]</f>
        <v>-1260.02258112611</v>
      </c>
      <c r="B61">
        <f>Table1[[#This Row],[Energy (hartrees)]]*$C$2</f>
        <v>-790676.76988244534</v>
      </c>
      <c r="C61">
        <f>Table1[[#This Row],[Energy (kcal)]]-MIN(Table1[Energy (kcal)])</f>
        <v>5.9031256324378774</v>
      </c>
      <c r="D61">
        <v>-1260.02258112611</v>
      </c>
      <c r="E61">
        <v>197</v>
      </c>
      <c r="F61" t="s">
        <v>17</v>
      </c>
      <c r="H61" s="10">
        <f>Table1[[#This Row],[Rel E]]</f>
        <v>5.9031256324378774</v>
      </c>
      <c r="I61" s="10">
        <f>IF(Table1[[#This Row],[rel G]]&lt;5,EXP(-H61/(D$2*E$2)),0)</f>
        <v>0</v>
      </c>
      <c r="J61" s="10">
        <f>IF(Table1[[#This Row],[rel G]]&lt;5,I61/$F$2,0)</f>
        <v>0</v>
      </c>
      <c r="Q61" s="11"/>
    </row>
    <row r="62" spans="1:17" x14ac:dyDescent="0.25">
      <c r="A62">
        <f>Table1[[#This Row],[Gibbs Energy (hartree)]]</f>
        <v>-1260.0241796586699</v>
      </c>
      <c r="B62">
        <f>Table1[[#This Row],[Energy (hartrees)]]*$C$2</f>
        <v>-790677.77297761198</v>
      </c>
      <c r="C62">
        <f>Table1[[#This Row],[Energy (kcal)]]-MIN(Table1[Energy (kcal)])</f>
        <v>4.9000304657965899</v>
      </c>
      <c r="D62">
        <v>-1260.0241796586699</v>
      </c>
      <c r="E62">
        <v>208</v>
      </c>
      <c r="F62" t="s">
        <v>19</v>
      </c>
      <c r="H62" s="10">
        <f>Table1[[#This Row],[Rel E]]</f>
        <v>4.9000304657965899</v>
      </c>
      <c r="I62" s="10">
        <f>IF(Table1[[#This Row],[rel G]]&lt;5,EXP(-H62/(D$2*E$2)),0)</f>
        <v>2.5495308578412284E-4</v>
      </c>
      <c r="J62" s="10">
        <f>IF(Table1[[#This Row],[rel G]]&lt;5,I62/$F$2,0)</f>
        <v>3.2391668310451144E-5</v>
      </c>
      <c r="Q62" s="11"/>
    </row>
    <row r="63" spans="1:17" x14ac:dyDescent="0.25">
      <c r="A63">
        <f>Table1[[#This Row],[Gibbs Energy (hartree)]]</f>
        <v>-1260.0261090085701</v>
      </c>
      <c r="B63">
        <f>Table1[[#This Row],[Energy (hartrees)]]*$C$2</f>
        <v>-790678.98366396781</v>
      </c>
      <c r="C63">
        <f>Table1[[#This Row],[Energy (kcal)]]-MIN(Table1[Energy (kcal)])</f>
        <v>3.689344109967351</v>
      </c>
      <c r="D63">
        <v>-1260.0261090085701</v>
      </c>
      <c r="E63">
        <v>212</v>
      </c>
      <c r="F63" t="s">
        <v>20</v>
      </c>
      <c r="H63" s="10">
        <f>Table1[[#This Row],[Rel E]]</f>
        <v>3.689344109967351</v>
      </c>
      <c r="I63" s="10">
        <f>IF(Table1[[#This Row],[rel G]]&lt;5,EXP(-H63/(D$2*E$2)),0)</f>
        <v>1.9694384332448276E-3</v>
      </c>
      <c r="J63" s="10">
        <f>IF(Table1[[#This Row],[rel G]]&lt;5,I63/$F$2,0)</f>
        <v>2.5021621641221084E-4</v>
      </c>
      <c r="Q63" s="11"/>
    </row>
    <row r="64" spans="1:17" x14ac:dyDescent="0.25">
      <c r="A64">
        <f>Table1[[#This Row],[Gibbs Energy (hartree)]]</f>
        <v>-1260.0277382715601</v>
      </c>
      <c r="B64">
        <f>Table1[[#This Row],[Energy (hartrees)]]*$C$2</f>
        <v>-790680.00604278664</v>
      </c>
      <c r="C64">
        <f>Table1[[#This Row],[Energy (kcal)]]-MIN(Table1[Energy (kcal)])</f>
        <v>2.6669652911368757</v>
      </c>
      <c r="D64">
        <v>-1260.0277382715601</v>
      </c>
      <c r="E64">
        <v>215</v>
      </c>
      <c r="F64" t="s">
        <v>20</v>
      </c>
      <c r="H64" s="10">
        <f>Table1[[#This Row],[Rel E]]</f>
        <v>2.6669652911368757</v>
      </c>
      <c r="I64" s="10">
        <f>IF(Table1[[#This Row],[rel G]]&lt;5,EXP(-H64/(D$2*E$2)),0)</f>
        <v>1.1069430504179648E-2</v>
      </c>
      <c r="J64" s="10">
        <f>IF(Table1[[#This Row],[rel G]]&lt;5,I64/$F$2,0)</f>
        <v>1.4063658816845204E-3</v>
      </c>
      <c r="Q64" s="11"/>
    </row>
    <row r="65" spans="1:17" x14ac:dyDescent="0.25">
      <c r="A65">
        <f>Table1[[#This Row],[Gibbs Energy (hartree)]]</f>
        <v>-1260.0250022504899</v>
      </c>
      <c r="B65">
        <f>Table1[[#This Row],[Energy (hartrees)]]*$C$2</f>
        <v>-790678.28916220495</v>
      </c>
      <c r="C65">
        <f>Table1[[#This Row],[Energy (kcal)]]-MIN(Table1[Energy (kcal)])</f>
        <v>4.3838458728278056</v>
      </c>
      <c r="D65">
        <v>-1260.0250022504899</v>
      </c>
      <c r="E65">
        <v>219</v>
      </c>
      <c r="F65" t="s">
        <v>20</v>
      </c>
      <c r="H65" s="10">
        <f>Table1[[#This Row],[Rel E]]</f>
        <v>4.3838458728278056</v>
      </c>
      <c r="I65" s="10">
        <f>IF(Table1[[#This Row],[rel G]]&lt;5,EXP(-H65/(D$2*E$2)),0)</f>
        <v>6.0955799177567411E-4</v>
      </c>
      <c r="J65" s="10">
        <f>IF(Table1[[#This Row],[rel G]]&lt;5,I65/$F$2,0)</f>
        <v>7.7444052990598996E-5</v>
      </c>
      <c r="Q65" s="11"/>
    </row>
    <row r="66" spans="1:17" x14ac:dyDescent="0.25">
      <c r="A66">
        <f>Table1[[#This Row],[Gibbs Energy (hartree)]]</f>
        <v>-1260.0215063257499</v>
      </c>
      <c r="B66">
        <f>Table1[[#This Row],[Energy (hartrees)]]*$C$2</f>
        <v>-790676.09543447127</v>
      </c>
      <c r="C66">
        <f>Table1[[#This Row],[Energy (kcal)]]-MIN(Table1[Energy (kcal)])</f>
        <v>6.577573606511578</v>
      </c>
      <c r="D66">
        <v>-1260.0215063257499</v>
      </c>
      <c r="E66">
        <v>220</v>
      </c>
      <c r="F66" t="s">
        <v>20</v>
      </c>
      <c r="H66" s="10">
        <f>Table1[[#This Row],[Rel E]]</f>
        <v>6.577573606511578</v>
      </c>
      <c r="I66" s="10">
        <f>IF(Table1[[#This Row],[rel G]]&lt;5,EXP(-H66/(D$2*E$2)),0)</f>
        <v>0</v>
      </c>
      <c r="J66" s="10">
        <f>IF(Table1[[#This Row],[rel G]]&lt;5,I66/$F$2,0)</f>
        <v>0</v>
      </c>
      <c r="Q66" s="11"/>
    </row>
    <row r="67" spans="1:17" x14ac:dyDescent="0.25">
      <c r="A67">
        <f>Table1[[#This Row],[Gibbs Energy (hartree)]]</f>
        <v>-1260.02754380597</v>
      </c>
      <c r="B67">
        <f>Table1[[#This Row],[Energy (hartrees)]]*$C$2</f>
        <v>-790679.88401368423</v>
      </c>
      <c r="C67">
        <f>Table1[[#This Row],[Energy (kcal)]]-MIN(Table1[Energy (kcal)])</f>
        <v>2.7889943935442716</v>
      </c>
      <c r="D67">
        <v>-1260.02754380597</v>
      </c>
      <c r="E67">
        <v>241</v>
      </c>
      <c r="F67" t="s">
        <v>20</v>
      </c>
      <c r="H67" s="10">
        <f>Table1[[#This Row],[Rel E]]</f>
        <v>2.7889943935442716</v>
      </c>
      <c r="I67" s="10">
        <f>IF(Table1[[#This Row],[rel G]]&lt;5,EXP(-H67/(D$2*E$2)),0)</f>
        <v>9.0080893661208181E-3</v>
      </c>
      <c r="J67" s="10">
        <f>IF(Table1[[#This Row],[rel G]]&lt;5,I67/$F$2,0)</f>
        <v>1.1444734703283932E-3</v>
      </c>
      <c r="Q67" s="11"/>
    </row>
    <row r="68" spans="1:17" x14ac:dyDescent="0.25">
      <c r="A68">
        <f>Table1[[#This Row],[Gibbs Energy (hartree)]]</f>
        <v>-1260.0259405766101</v>
      </c>
      <c r="B68">
        <f>Table1[[#This Row],[Energy (hartrees)]]*$C$2</f>
        <v>-790678.87797122856</v>
      </c>
      <c r="C68">
        <f>Table1[[#This Row],[Energy (kcal)]]-MIN(Table1[Energy (kcal)])</f>
        <v>3.795036849216558</v>
      </c>
      <c r="D68">
        <v>-1260.0259405766101</v>
      </c>
      <c r="E68">
        <v>272</v>
      </c>
      <c r="F68" t="s">
        <v>19</v>
      </c>
      <c r="H68" s="10">
        <f>Table1[[#This Row],[Rel E]]</f>
        <v>3.795036849216558</v>
      </c>
      <c r="I68" s="10">
        <f>IF(Table1[[#This Row],[rel G]]&lt;5,EXP(-H68/(D$2*E$2)),0)</f>
        <v>1.6475189935391194E-3</v>
      </c>
      <c r="J68" s="10">
        <f>IF(Table1[[#This Row],[rel G]]&lt;5,I68/$F$2,0)</f>
        <v>2.0931650468068507E-4</v>
      </c>
      <c r="Q68" s="11"/>
    </row>
    <row r="69" spans="1:17" x14ac:dyDescent="0.25">
      <c r="A69">
        <f>Table1[[#This Row],[Gibbs Energy (hartree)]]</f>
        <v>-1260.0242922867201</v>
      </c>
      <c r="B69">
        <f>Table1[[#This Row],[Energy (hartrees)]]*$C$2</f>
        <v>-790677.84365283966</v>
      </c>
      <c r="C69">
        <f>Table1[[#This Row],[Energy (kcal)]]-MIN(Table1[Energy (kcal)])</f>
        <v>4.8293552381219342</v>
      </c>
      <c r="D69">
        <v>-1260.0242922867201</v>
      </c>
      <c r="E69">
        <v>276</v>
      </c>
      <c r="F69" t="s">
        <v>17</v>
      </c>
      <c r="H69" s="10">
        <f>Table1[[#This Row],[Rel E]]</f>
        <v>4.8293552381219342</v>
      </c>
      <c r="I69" s="10">
        <f>IF(Table1[[#This Row],[rel G]]&lt;5,EXP(-H69/(D$2*E$2)),0)</f>
        <v>2.8727076287874326E-4</v>
      </c>
      <c r="J69" s="10">
        <f>IF(Table1[[#This Row],[rel G]]&lt;5,I69/$F$2,0)</f>
        <v>3.6497613817224059E-5</v>
      </c>
      <c r="Q69" s="11"/>
    </row>
    <row r="70" spans="1:17" x14ac:dyDescent="0.25">
      <c r="A70">
        <f>Table1[[#This Row],[Gibbs Energy (hartree)]]</f>
        <v>-1260.0232900027099</v>
      </c>
      <c r="B70">
        <f>Table1[[#This Row],[Energy (hartrees)]]*$C$2</f>
        <v>-790677.21470960055</v>
      </c>
      <c r="C70">
        <f>Table1[[#This Row],[Energy (kcal)]]-MIN(Table1[Energy (kcal)])</f>
        <v>5.4582984772277996</v>
      </c>
      <c r="D70">
        <v>-1260.0232900027099</v>
      </c>
      <c r="E70">
        <v>278</v>
      </c>
      <c r="F70" t="s">
        <v>19</v>
      </c>
      <c r="H70" s="10">
        <f>Table1[[#This Row],[Rel E]]</f>
        <v>5.4582984772277996</v>
      </c>
      <c r="I70" s="10">
        <f>IF(Table1[[#This Row],[rel G]]&lt;5,EXP(-H70/(D$2*E$2)),0)</f>
        <v>0</v>
      </c>
      <c r="J70" s="10">
        <f>IF(Table1[[#This Row],[rel G]]&lt;5,I70/$F$2,0)</f>
        <v>0</v>
      </c>
      <c r="Q70" s="11"/>
    </row>
    <row r="71" spans="1:17" x14ac:dyDescent="0.25">
      <c r="A71">
        <f>Table1[[#This Row],[Gibbs Energy (hartree)]]</f>
        <v>-1260.0249283211799</v>
      </c>
      <c r="B71">
        <f>Table1[[#This Row],[Energy (hartrees)]]*$C$2</f>
        <v>-790678.24277082365</v>
      </c>
      <c r="C71">
        <f>Table1[[#This Row],[Energy (kcal)]]-MIN(Table1[Energy (kcal)])</f>
        <v>4.4302372541278601</v>
      </c>
      <c r="D71">
        <v>-1260.0249283211799</v>
      </c>
      <c r="E71">
        <v>283</v>
      </c>
      <c r="F71" t="s">
        <v>19</v>
      </c>
      <c r="H71" s="10">
        <f>Table1[[#This Row],[Rel E]]</f>
        <v>4.4302372541278601</v>
      </c>
      <c r="I71" s="10">
        <f>IF(Table1[[#This Row],[rel G]]&lt;5,EXP(-H71/(D$2*E$2)),0)</f>
        <v>5.6362849425447203E-4</v>
      </c>
      <c r="J71" s="10">
        <f>IF(Table1[[#This Row],[rel G]]&lt;5,I71/$F$2,0)</f>
        <v>7.1608732171488852E-5</v>
      </c>
      <c r="Q71" s="11"/>
    </row>
    <row r="72" spans="1:17" x14ac:dyDescent="0.25">
      <c r="A72">
        <f>Table1[[#This Row],[Gibbs Energy (hartree)]]</f>
        <v>-1260.02151696898</v>
      </c>
      <c r="B72">
        <f>Table1[[#This Row],[Energy (hartrees)]]*$C$2</f>
        <v>-790676.10211320466</v>
      </c>
      <c r="C72">
        <f>Table1[[#This Row],[Energy (kcal)]]-MIN(Table1[Energy (kcal)])</f>
        <v>6.5708948731189594</v>
      </c>
      <c r="D72">
        <v>-1260.02151696898</v>
      </c>
      <c r="E72">
        <v>290</v>
      </c>
      <c r="F72" t="s">
        <v>17</v>
      </c>
      <c r="H72" s="10">
        <f>Table1[[#This Row],[Rel E]]</f>
        <v>6.5708948731189594</v>
      </c>
      <c r="I72" s="10">
        <f>IF(Table1[[#This Row],[rel G]]&lt;5,EXP(-H72/(D$2*E$2)),0)</f>
        <v>0</v>
      </c>
      <c r="J72" s="10">
        <f>IF(Table1[[#This Row],[rel G]]&lt;5,I72/$F$2,0)</f>
        <v>0</v>
      </c>
      <c r="Q72" s="11"/>
    </row>
    <row r="73" spans="1:17" x14ac:dyDescent="0.25">
      <c r="A73">
        <f>Table1[[#This Row],[Gibbs Energy (hartree)]]</f>
        <v>-1260.0237079532801</v>
      </c>
      <c r="B73">
        <f>Table1[[#This Row],[Energy (hartrees)]]*$C$2</f>
        <v>-790677.47697776277</v>
      </c>
      <c r="C73">
        <f>Table1[[#This Row],[Energy (kcal)]]-MIN(Table1[Energy (kcal)])</f>
        <v>5.1960303150117397</v>
      </c>
      <c r="D73">
        <v>-1260.0237079532801</v>
      </c>
      <c r="E73">
        <v>333</v>
      </c>
      <c r="F73" t="s">
        <v>124</v>
      </c>
      <c r="H73" s="10">
        <f>Table1[[#This Row],[Rel E]]</f>
        <v>5.1960303150117397</v>
      </c>
      <c r="I73" s="10">
        <f>IF(Table1[[#This Row],[rel G]]&lt;5,EXP(-H73/(D$2*E$2)),0)</f>
        <v>0</v>
      </c>
      <c r="J73" s="10">
        <f>IF(Table1[[#This Row],[rel G]]&lt;5,I73/$F$2,0)</f>
        <v>0</v>
      </c>
      <c r="Q73" s="11"/>
    </row>
    <row r="74" spans="1:17" x14ac:dyDescent="0.25">
      <c r="A74">
        <f>Table1[[#This Row],[Gibbs Energy (hartree)]]</f>
        <v>-1260.0242489883699</v>
      </c>
      <c r="B74">
        <f>Table1[[#This Row],[Energy (hartrees)]]*$C$2</f>
        <v>-790677.81648269203</v>
      </c>
      <c r="C74">
        <f>Table1[[#This Row],[Energy (kcal)]]-MIN(Table1[Energy (kcal)])</f>
        <v>4.8565253857523203</v>
      </c>
      <c r="D74">
        <v>-1260.0242489883699</v>
      </c>
      <c r="E74">
        <v>373</v>
      </c>
      <c r="F74" t="s">
        <v>17</v>
      </c>
      <c r="H74" s="10">
        <f>Table1[[#This Row],[Rel E]]</f>
        <v>4.8565253857523203</v>
      </c>
      <c r="I74" s="10">
        <f>IF(Table1[[#This Row],[rel G]]&lt;5,EXP(-H74/(D$2*E$2)),0)</f>
        <v>2.7438832732438188E-4</v>
      </c>
      <c r="J74" s="10">
        <f>IF(Table1[[#This Row],[rel G]]&lt;5,I74/$F$2,0)</f>
        <v>3.4860906506056372E-5</v>
      </c>
      <c r="Q74" s="11"/>
    </row>
    <row r="75" spans="1:17" x14ac:dyDescent="0.25">
      <c r="A75">
        <f>Table1[[#This Row],[Gibbs Energy (hartree)]]</f>
        <v>-1260.02303600753</v>
      </c>
      <c r="B75">
        <f>Table1[[#This Row],[Energy (hartrees)]]*$C$2</f>
        <v>-790677.05532508518</v>
      </c>
      <c r="C75">
        <f>Table1[[#This Row],[Energy (kcal)]]-MIN(Table1[Energy (kcal)])</f>
        <v>5.6176829925971106</v>
      </c>
      <c r="D75">
        <v>-1260.02303600753</v>
      </c>
      <c r="E75">
        <v>396</v>
      </c>
      <c r="F75" t="s">
        <v>17</v>
      </c>
      <c r="H75" s="10">
        <f>Table1[[#This Row],[Rel E]]</f>
        <v>5.6176829925971106</v>
      </c>
      <c r="I75" s="10">
        <f>IF(Table1[[#This Row],[rel G]]&lt;5,EXP(-H75/(D$2*E$2)),0)</f>
        <v>0</v>
      </c>
      <c r="J75" s="10">
        <f>IF(Table1[[#This Row],[rel G]]&lt;5,I75/$F$2,0)</f>
        <v>0</v>
      </c>
      <c r="Q75" s="11"/>
    </row>
    <row r="76" spans="1:17" x14ac:dyDescent="0.25">
      <c r="C76" s="4"/>
      <c r="D76" s="4"/>
      <c r="H76" s="4"/>
      <c r="I76" s="4"/>
      <c r="J76" s="4"/>
      <c r="Q76" s="11"/>
    </row>
    <row r="77" spans="1:17" x14ac:dyDescent="0.25">
      <c r="C77" s="4"/>
      <c r="D77" s="4"/>
      <c r="H77" s="4"/>
      <c r="I77" s="4"/>
      <c r="J77" s="4"/>
      <c r="Q77" s="11"/>
    </row>
    <row r="78" spans="1:17" x14ac:dyDescent="0.25">
      <c r="C78" s="4"/>
      <c r="D78" s="4"/>
      <c r="H78" s="4"/>
      <c r="I78" s="4"/>
      <c r="J78" s="4"/>
      <c r="Q78" s="11"/>
    </row>
    <row r="79" spans="1:17" x14ac:dyDescent="0.25">
      <c r="C79" s="4"/>
      <c r="D79" s="4"/>
      <c r="H79" s="4"/>
      <c r="I79" s="4"/>
      <c r="J79" s="4"/>
      <c r="Q79" s="11"/>
    </row>
    <row r="80" spans="1:17" x14ac:dyDescent="0.25">
      <c r="Q80" s="11"/>
    </row>
    <row r="81" spans="17:17" x14ac:dyDescent="0.25">
      <c r="Q81" s="11"/>
    </row>
    <row r="82" spans="17:17" x14ac:dyDescent="0.25">
      <c r="Q82" s="11"/>
    </row>
    <row r="83" spans="17:17" x14ac:dyDescent="0.25">
      <c r="Q83" s="12"/>
    </row>
  </sheetData>
  <sortState xmlns:xlrd2="http://schemas.microsoft.com/office/spreadsheetml/2017/richdata2" ref="N7:P11">
    <sortCondition descending="1" ref="O7:O11"/>
  </sortState>
  <phoneticPr fontId="4" type="noConversion"/>
  <conditionalFormatting sqref="X76:X79">
    <cfRule type="cellIs" dxfId="34" priority="6" operator="greaterThan">
      <formula>5</formula>
    </cfRule>
  </conditionalFormatting>
  <conditionalFormatting sqref="H8:H75">
    <cfRule type="cellIs" dxfId="33" priority="3" operator="lessThan">
      <formula>5</formula>
    </cfRule>
    <cfRule type="cellIs" dxfId="32" priority="4" operator="greaterThan">
      <formula>5</formula>
    </cfRule>
  </conditionalFormatting>
  <conditionalFormatting sqref="H7">
    <cfRule type="cellIs" dxfId="31" priority="1" operator="lessThan">
      <formula>5</formula>
    </cfRule>
    <cfRule type="cellIs" dxfId="30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80"/>
  <sheetViews>
    <sheetView topLeftCell="A40" workbookViewId="0">
      <selection activeCell="S73" sqref="S73:S74"/>
    </sheetView>
  </sheetViews>
  <sheetFormatPr defaultRowHeight="15" x14ac:dyDescent="0.25"/>
  <cols>
    <col min="1" max="1" width="10.140625" customWidth="1"/>
    <col min="11" max="11" width="13.42578125" customWidth="1"/>
  </cols>
  <sheetData>
    <row r="1" spans="1:31" x14ac:dyDescent="0.25">
      <c r="A1" t="s">
        <v>76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  <c r="J1" t="s">
        <v>15</v>
      </c>
      <c r="K1" t="s">
        <v>75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  <c r="Q1" t="s">
        <v>83</v>
      </c>
      <c r="R1" t="s">
        <v>84</v>
      </c>
      <c r="S1" t="s">
        <v>85</v>
      </c>
      <c r="T1" t="s">
        <v>86</v>
      </c>
    </row>
    <row r="2" spans="1:31" x14ac:dyDescent="0.25">
      <c r="A2" t="s">
        <v>23</v>
      </c>
      <c r="B2">
        <v>7.6769999999999996</v>
      </c>
      <c r="C2">
        <v>8.5869999999999997</v>
      </c>
      <c r="D2">
        <v>6.492</v>
      </c>
      <c r="E2">
        <v>0.92100000000000004</v>
      </c>
      <c r="F2">
        <v>12.112</v>
      </c>
      <c r="G2">
        <v>1.4730000000000001</v>
      </c>
      <c r="H2">
        <v>-12.196</v>
      </c>
      <c r="I2">
        <v>10.313000000000001</v>
      </c>
      <c r="J2" s="9">
        <f>chloroform!J7</f>
        <v>1.8726746259493821E-2</v>
      </c>
      <c r="K2" t="str">
        <f>chloroform!F7</f>
        <v>4H6</v>
      </c>
      <c r="M2">
        <f>0.9155*Table2[[#This Row],[J1,2]]*Table2[[#This Row],[weight]]</f>
        <v>0.13161706901174972</v>
      </c>
      <c r="N2">
        <f>0.9155*Table2[[#This Row],[J2,3]]*Table2[[#This Row],[weight]]</f>
        <v>0.14721841495426533</v>
      </c>
      <c r="O2">
        <f>0.9155*Table2[[#This Row],[J34]]*Table2[[#This Row],[weight]]</f>
        <v>0.11130103061407831</v>
      </c>
      <c r="P2">
        <f>0.9155*Table2[[#This Row],[J45]]*Table2[[#This Row],[weight]]</f>
        <v>1.5789933640721832E-2</v>
      </c>
      <c r="Q2">
        <f>0.9155*Table2[[#This Row],[J56]]*Table2[[#This Row],[weight]]</f>
        <v>0.20765220006126256</v>
      </c>
      <c r="R2">
        <f>0.9155*Table2[[#This Row],[J67]]*Table2[[#This Row],[weight]]</f>
        <v>2.5253607223434591E-2</v>
      </c>
      <c r="S2">
        <f>0.9155*Table2[[#This Row],[J67'']]*Table2[[#This Row],[weight]]</f>
        <v>0.1768095392364433</v>
      </c>
      <c r="T2">
        <f>0.9155*Table2[[#This Row],[J77'']]*Table2[[#This Row],[weight]]</f>
        <v>-0.20909232430211017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t="s">
        <v>24</v>
      </c>
      <c r="B3">
        <v>7.8250000000000002</v>
      </c>
      <c r="C3">
        <v>8.1839999999999993</v>
      </c>
      <c r="D3">
        <v>5.9489999999999998</v>
      </c>
      <c r="E3">
        <v>0.56100000000000005</v>
      </c>
      <c r="F3">
        <v>11.586</v>
      </c>
      <c r="G3">
        <v>1.276</v>
      </c>
      <c r="H3">
        <v>-13.053000000000001</v>
      </c>
      <c r="I3">
        <v>10.183</v>
      </c>
      <c r="J3" s="9">
        <f>chloroform!J8</f>
        <v>2.2387921992346793E-2</v>
      </c>
      <c r="K3" t="str">
        <f>chloroform!F8</f>
        <v>4H6</v>
      </c>
      <c r="M3">
        <f>0.9155*Table2[[#This Row],[J1,2]]*Table2[[#This Row],[weight]]</f>
        <v>0.16038231571974904</v>
      </c>
      <c r="N3">
        <f>0.9155*Table2[[#This Row],[J2,3]]*Table2[[#This Row],[weight]]</f>
        <v>0.1677404309074027</v>
      </c>
      <c r="O3">
        <f>0.9155*Table2[[#This Row],[J34]]*Table2[[#This Row],[weight]]</f>
        <v>0.12193155223217726</v>
      </c>
      <c r="P3">
        <f>0.9155*Table2[[#This Row],[J45]]*Table2[[#This Row],[weight]]</f>
        <v>1.1498335989620349E-2</v>
      </c>
      <c r="Q3">
        <f>0.9155*Table2[[#This Row],[J56]]*Table2[[#This Row],[weight]]</f>
        <v>0.23746830797814855</v>
      </c>
      <c r="R3">
        <f>0.9155*Table2[[#This Row],[J67]]*Table2[[#This Row],[weight]]</f>
        <v>2.6153077937175691E-2</v>
      </c>
      <c r="S3">
        <f>0.9155*Table2[[#This Row],[J67'']]*Table2[[#This Row],[weight]]</f>
        <v>0.2087122199328057</v>
      </c>
      <c r="T3">
        <f>0.9155*Table2[[#This Row],[J77'']]*Table2[[#This Row],[weight]]</f>
        <v>-0.26753614914886703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t="s">
        <v>25</v>
      </c>
      <c r="B4">
        <v>7.86</v>
      </c>
      <c r="C4">
        <v>8.9190000000000005</v>
      </c>
      <c r="D4">
        <v>6.3090000000000002</v>
      </c>
      <c r="E4">
        <v>0.46700000000000003</v>
      </c>
      <c r="F4">
        <v>11.747</v>
      </c>
      <c r="G4">
        <v>0.96399999999999997</v>
      </c>
      <c r="H4">
        <v>-13.75</v>
      </c>
      <c r="I4">
        <v>3.2669999999999999</v>
      </c>
      <c r="J4" s="9">
        <f>chloroform!J9</f>
        <v>6.97377022375536E-2</v>
      </c>
      <c r="K4" t="str">
        <f>chloroform!F9</f>
        <v>4H6</v>
      </c>
      <c r="M4">
        <f>0.9155*Table2[[#This Row],[J1,2]]*Table2[[#This Row],[weight]]</f>
        <v>0.50182064989205533</v>
      </c>
      <c r="N4">
        <f>0.9155*Table2[[#This Row],[J2,3]]*Table2[[#This Row],[weight]]</f>
        <v>0.56943236340804593</v>
      </c>
      <c r="O4">
        <f>0.9155*Table2[[#This Row],[J34]]*Table2[[#This Row],[weight]]</f>
        <v>0.40279726210801237</v>
      </c>
      <c r="P4">
        <f>0.9155*Table2[[#This Row],[J45]]*Table2[[#This Row],[weight]]</f>
        <v>2.9815552608090309E-2</v>
      </c>
      <c r="Q4">
        <f>0.9155*Table2[[#This Row],[J56]]*Table2[[#This Row],[weight]]</f>
        <v>0.74998564558294833</v>
      </c>
      <c r="R4">
        <f>0.9155*Table2[[#This Row],[J67]]*Table2[[#This Row],[weight]]</f>
        <v>6.1546451208135025E-2</v>
      </c>
      <c r="S4">
        <f>0.9155*Table2[[#This Row],[J67'']]*Table2[[#This Row],[weight]]</f>
        <v>0.2085811785238352</v>
      </c>
      <c r="T4">
        <f>0.9155*Table2[[#This Row],[J77'']]*Table2[[#This Row],[weight]]</f>
        <v>-0.87786691297910435</v>
      </c>
    </row>
    <row r="5" spans="1:31" x14ac:dyDescent="0.25">
      <c r="A5" t="s">
        <v>26</v>
      </c>
      <c r="B5">
        <v>8.0250000000000004</v>
      </c>
      <c r="C5">
        <v>8.577</v>
      </c>
      <c r="D5">
        <v>5.6319999999999997</v>
      </c>
      <c r="E5">
        <v>0.32900000000000001</v>
      </c>
      <c r="F5">
        <v>11.805999999999999</v>
      </c>
      <c r="G5">
        <v>1.1950000000000001</v>
      </c>
      <c r="H5">
        <v>-13.618</v>
      </c>
      <c r="I5">
        <v>2.831</v>
      </c>
      <c r="J5" s="9">
        <f>chloroform!J10</f>
        <v>9.0175843062160255E-2</v>
      </c>
      <c r="K5" t="str">
        <f>chloroform!F10</f>
        <v>4H6</v>
      </c>
      <c r="M5">
        <f>0.9155*Table2[[#This Row],[J1,2]]*Table2[[#This Row],[weight]]</f>
        <v>0.6625117741953469</v>
      </c>
      <c r="N5">
        <f>0.9155*Table2[[#This Row],[J2,3]]*Table2[[#This Row],[weight]]</f>
        <v>0.70808267754186793</v>
      </c>
      <c r="O5">
        <f>0.9155*Table2[[#This Row],[J34]]*Table2[[#This Row],[weight]]</f>
        <v>0.46495530370943222</v>
      </c>
      <c r="P5">
        <f>0.9155*Table2[[#This Row],[J45]]*Table2[[#This Row],[weight]]</f>
        <v>2.7160918842401138E-2</v>
      </c>
      <c r="Q5">
        <f>0.9155*Table2[[#This Row],[J56]]*Table2[[#This Row],[weight]]</f>
        <v>0.9746559509221514</v>
      </c>
      <c r="R5">
        <f>0.9155*Table2[[#This Row],[J67]]*Table2[[#This Row],[weight]]</f>
        <v>9.8654401266472222E-2</v>
      </c>
      <c r="S5">
        <f>0.9155*Table2[[#This Row],[J67'']]*Table2[[#This Row],[weight]]</f>
        <v>0.23371599161956724</v>
      </c>
      <c r="T5">
        <f>0.9155*Table2[[#This Row],[J77'']]*Table2[[#This Row],[weight]]</f>
        <v>-1.1242473945161662</v>
      </c>
    </row>
    <row r="6" spans="1:31" x14ac:dyDescent="0.25">
      <c r="A6" t="s">
        <v>27</v>
      </c>
      <c r="B6">
        <v>8.6199999999999992</v>
      </c>
      <c r="C6">
        <v>9.6829999999999998</v>
      </c>
      <c r="D6">
        <v>2.9089999999999998</v>
      </c>
      <c r="E6">
        <v>6.5730000000000004</v>
      </c>
      <c r="F6">
        <v>9.1850000000000005</v>
      </c>
      <c r="G6">
        <v>1.722</v>
      </c>
      <c r="H6">
        <v>-14.025</v>
      </c>
      <c r="I6">
        <v>2.375</v>
      </c>
      <c r="J6" s="9">
        <f>chloroform!J11</f>
        <v>2.2553882580080651E-3</v>
      </c>
      <c r="K6" t="str">
        <f>chloroform!F11</f>
        <v>45TH</v>
      </c>
      <c r="M6">
        <f>0.9155*Table2[[#This Row],[J1,2]]*Table2[[#This Row],[weight]]</f>
        <v>1.7798644530779024E-2</v>
      </c>
      <c r="N6">
        <f>0.9155*Table2[[#This Row],[J2,3]]*Table2[[#This Row],[weight]]</f>
        <v>1.999353538184841E-2</v>
      </c>
      <c r="O6">
        <f>0.9155*Table2[[#This Row],[J34]]*Table2[[#This Row],[weight]]</f>
        <v>6.0065263271503692E-3</v>
      </c>
      <c r="P6">
        <f>0.9155*Table2[[#This Row],[J45]]*Table2[[#This Row],[weight]]</f>
        <v>1.357198265670656E-2</v>
      </c>
      <c r="Q6">
        <f>0.9155*Table2[[#This Row],[J56]]*Table2[[#This Row],[weight]]</f>
        <v>1.8965261022645633E-2</v>
      </c>
      <c r="R6">
        <f>0.9155*Table2[[#This Row],[J67]]*Table2[[#This Row],[weight]]</f>
        <v>3.5555992902553922E-3</v>
      </c>
      <c r="S6">
        <f>0.9155*Table2[[#This Row],[J67'']]*Table2[[#This Row],[weight]]</f>
        <v>4.9039188817401611E-3</v>
      </c>
      <c r="T6">
        <f>0.9155*Table2[[#This Row],[J77'']]*Table2[[#This Row],[weight]]</f>
        <v>-2.8958931501644528E-2</v>
      </c>
      <c r="Z6" t="s">
        <v>88</v>
      </c>
      <c r="AA6" t="s">
        <v>89</v>
      </c>
      <c r="AB6" t="s">
        <v>90</v>
      </c>
    </row>
    <row r="7" spans="1:31" x14ac:dyDescent="0.25">
      <c r="A7" t="s">
        <v>28</v>
      </c>
      <c r="B7">
        <v>8.0510000000000002</v>
      </c>
      <c r="C7">
        <v>9.1110000000000007</v>
      </c>
      <c r="D7">
        <v>5.5350000000000001</v>
      </c>
      <c r="E7">
        <v>0.44900000000000001</v>
      </c>
      <c r="F7">
        <v>11.731</v>
      </c>
      <c r="G7">
        <v>1.379</v>
      </c>
      <c r="H7">
        <v>-13.701000000000001</v>
      </c>
      <c r="I7">
        <v>2.6360000000000001</v>
      </c>
      <c r="J7" s="9">
        <f>chloroform!J12</f>
        <v>5.2119931562090403E-2</v>
      </c>
      <c r="K7" t="str">
        <f>chloroform!F12</f>
        <v>4H6</v>
      </c>
      <c r="M7">
        <f>0.9155*Table2[[#This Row],[J1,2]]*Table2[[#This Row],[weight]]</f>
        <v>0.38415988442534993</v>
      </c>
      <c r="N7">
        <f>0.9155*Table2[[#This Row],[J2,3]]*Table2[[#This Row],[weight]]</f>
        <v>0.43473862961114934</v>
      </c>
      <c r="O7">
        <f>0.9155*Table2[[#This Row],[J34]]*Table2[[#This Row],[weight]]</f>
        <v>0.26410693830509396</v>
      </c>
      <c r="P7">
        <f>0.9155*Table2[[#This Row],[J45]]*Table2[[#This Row],[weight]]</f>
        <v>2.1424393007947101E-2</v>
      </c>
      <c r="Q7">
        <f>0.9155*Table2[[#This Row],[J56]]*Table2[[#This Row],[weight]]</f>
        <v>0.55975401865529495</v>
      </c>
      <c r="R7">
        <f>0.9155*Table2[[#This Row],[J67]]*Table2[[#This Row],[weight]]</f>
        <v>6.5800084538884293E-2</v>
      </c>
      <c r="S7">
        <f>0.9155*Table2[[#This Row],[J67'']]*Table2[[#This Row],[weight]]</f>
        <v>0.12577884180166715</v>
      </c>
      <c r="T7">
        <f>0.9155*Table2[[#This Row],[J77'']]*Table2[[#This Row],[weight]]</f>
        <v>-0.65375413942512972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t="s">
        <v>29</v>
      </c>
      <c r="B8">
        <v>7.7359999999999998</v>
      </c>
      <c r="C8">
        <v>8.6690000000000005</v>
      </c>
      <c r="D8">
        <v>6.4820000000000002</v>
      </c>
      <c r="E8">
        <v>0.86899999999999999</v>
      </c>
      <c r="F8">
        <v>11.75</v>
      </c>
      <c r="G8">
        <v>2.597</v>
      </c>
      <c r="H8">
        <v>-13.023999999999999</v>
      </c>
      <c r="I8">
        <v>1.232</v>
      </c>
      <c r="J8" s="9">
        <f>chloroform!J13</f>
        <v>4.9026248301890757E-2</v>
      </c>
      <c r="K8" t="str">
        <f>chloroform!F13</f>
        <v>4H6</v>
      </c>
      <c r="M8">
        <f>0.9155*Table2[[#This Row],[J1,2]]*Table2[[#This Row],[weight]]</f>
        <v>0.34721899055846728</v>
      </c>
      <c r="N8">
        <f>0.9155*Table2[[#This Row],[J2,3]]*Table2[[#This Row],[weight]]</f>
        <v>0.38909532434738281</v>
      </c>
      <c r="O8">
        <f>0.9155*Table2[[#This Row],[J34]]*Table2[[#This Row],[weight]]</f>
        <v>0.29093504353670957</v>
      </c>
      <c r="P8">
        <f>0.9155*Table2[[#This Row],[J45]]*Table2[[#This Row],[weight]]</f>
        <v>3.9003787848411076E-2</v>
      </c>
      <c r="Q8">
        <f>0.9155*Table2[[#This Row],[J56]]*Table2[[#This Row],[weight]]</f>
        <v>0.52738148126447659</v>
      </c>
      <c r="R8">
        <f>0.9155*Table2[[#This Row],[J67]]*Table2[[#This Row],[weight]]</f>
        <v>0.11656252824202942</v>
      </c>
      <c r="S8">
        <f>0.9155*Table2[[#This Row],[J67'']]*Table2[[#This Row],[weight]]</f>
        <v>5.5296509354709381E-2</v>
      </c>
      <c r="T8">
        <f>0.9155*Table2[[#This Row],[J77'']]*Table2[[#This Row],[weight]]</f>
        <v>-0.58456309889264191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t="s">
        <v>96</v>
      </c>
      <c r="B9">
        <v>8.5609999999999999</v>
      </c>
      <c r="C9">
        <v>9.6329999999999991</v>
      </c>
      <c r="D9">
        <v>2.177</v>
      </c>
      <c r="E9">
        <v>7.8090000000000002</v>
      </c>
      <c r="F9">
        <v>9.3729999999999993</v>
      </c>
      <c r="G9">
        <v>1.7150000000000001</v>
      </c>
      <c r="H9">
        <v>-14.05</v>
      </c>
      <c r="I9">
        <v>2.335</v>
      </c>
      <c r="J9" s="9">
        <f>chloroform!J14</f>
        <v>0</v>
      </c>
      <c r="K9" t="str">
        <f>chloroform!F14</f>
        <v>45TH</v>
      </c>
      <c r="M9">
        <f>0.9155*Table2[[#This Row],[J1,2]]*Table2[[#This Row],[weight]]</f>
        <v>0</v>
      </c>
      <c r="N9">
        <f>0.9155*Table2[[#This Row],[J2,3]]*Table2[[#This Row],[weight]]</f>
        <v>0</v>
      </c>
      <c r="O9">
        <f>0.9155*Table2[[#This Row],[J34]]*Table2[[#This Row],[weight]]</f>
        <v>0</v>
      </c>
      <c r="P9">
        <f>0.9155*Table2[[#This Row],[J45]]*Table2[[#This Row],[weight]]</f>
        <v>0</v>
      </c>
      <c r="Q9">
        <f>0.9155*Table2[[#This Row],[J56]]*Table2[[#This Row],[weight]]</f>
        <v>0</v>
      </c>
      <c r="R9">
        <f>0.9155*Table2[[#This Row],[J67]]*Table2[[#This Row],[weight]]</f>
        <v>0</v>
      </c>
      <c r="S9">
        <f>0.9155*Table2[[#This Row],[J67'']]*Table2[[#This Row],[weight]]</f>
        <v>0</v>
      </c>
      <c r="T9">
        <f>0.9155*Table2[[#This Row],[J77'']]*Table2[[#This Row],[weight]]</f>
        <v>0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t="s">
        <v>30</v>
      </c>
      <c r="B10">
        <v>8.7080000000000002</v>
      </c>
      <c r="C10">
        <v>9.1489999999999991</v>
      </c>
      <c r="D10">
        <v>2.19</v>
      </c>
      <c r="E10">
        <v>6.3179999999999996</v>
      </c>
      <c r="F10">
        <v>9.5809999999999995</v>
      </c>
      <c r="G10">
        <v>2.9950000000000001</v>
      </c>
      <c r="H10">
        <v>-12.337999999999999</v>
      </c>
      <c r="I10">
        <v>11.654</v>
      </c>
      <c r="J10" s="9">
        <f>chloroform!J15</f>
        <v>1.2043398259747991E-2</v>
      </c>
      <c r="K10" t="str">
        <f>chloroform!F15</f>
        <v>45TH</v>
      </c>
      <c r="M10">
        <f>0.9155*Table2[[#This Row],[J1,2]]*Table2[[#This Row],[weight]]</f>
        <v>9.6012066478008182E-2</v>
      </c>
      <c r="N10">
        <f>0.9155*Table2[[#This Row],[J2,3]]*Table2[[#This Row],[weight]]</f>
        <v>0.10087441389610664</v>
      </c>
      <c r="O10">
        <f>0.9155*Table2[[#This Row],[J34]]*Table2[[#This Row],[weight]]</f>
        <v>2.4146351123890433E-2</v>
      </c>
      <c r="P10">
        <f>0.9155*Table2[[#This Row],[J45]]*Table2[[#This Row],[weight]]</f>
        <v>6.966056913275788E-2</v>
      </c>
      <c r="Q10">
        <f>0.9155*Table2[[#This Row],[J56]]*Table2[[#This Row],[weight]]</f>
        <v>0.10563752973424395</v>
      </c>
      <c r="R10">
        <f>0.9155*Table2[[#This Row],[J67]]*Table2[[#This Row],[weight]]</f>
        <v>3.3022064664863855E-2</v>
      </c>
      <c r="S10">
        <f>0.9155*Table2[[#This Row],[J67'']]*Table2[[#This Row],[weight]]</f>
        <v>0.12849387031863888</v>
      </c>
      <c r="T10">
        <f>0.9155*Table2[[#This Row],[J77'']]*Table2[[#This Row],[weight]]</f>
        <v>-0.13603547039568956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t="s">
        <v>31</v>
      </c>
      <c r="B11">
        <v>7.907</v>
      </c>
      <c r="C11">
        <v>8.4039999999999999</v>
      </c>
      <c r="D11">
        <v>5.7629999999999999</v>
      </c>
      <c r="E11">
        <v>0.371</v>
      </c>
      <c r="F11">
        <v>11.929</v>
      </c>
      <c r="G11">
        <v>2.4020000000000001</v>
      </c>
      <c r="H11">
        <v>-13.055999999999999</v>
      </c>
      <c r="I11">
        <v>1.373</v>
      </c>
      <c r="J11" s="9">
        <f>chloroform!J16</f>
        <v>0.10039536964142365</v>
      </c>
      <c r="K11" t="str">
        <f>chloroform!F16</f>
        <v>4H6</v>
      </c>
      <c r="M11">
        <f>0.9155*Table2[[#This Row],[J1,2]]*Table2[[#This Row],[weight]]</f>
        <v>0.72674787488946158</v>
      </c>
      <c r="N11">
        <f>0.9155*Table2[[#This Row],[J2,3]]*Table2[[#This Row],[weight]]</f>
        <v>0.77242811946010304</v>
      </c>
      <c r="O11">
        <f>0.9155*Table2[[#This Row],[J34]]*Table2[[#This Row],[weight]]</f>
        <v>0.52968863070544658</v>
      </c>
      <c r="P11">
        <f>0.9155*Table2[[#This Row],[J45]]*Table2[[#This Row],[weight]]</f>
        <v>3.4099337496394357E-2</v>
      </c>
      <c r="Q11">
        <f>0.9155*Table2[[#This Row],[J56]]*Table2[[#This Row],[weight]]</f>
        <v>1.096417781656303</v>
      </c>
      <c r="R11">
        <f>0.9155*Table2[[#This Row],[J67]]*Table2[[#This Row],[weight]]</f>
        <v>0.2207725300979495</v>
      </c>
      <c r="S11">
        <f>0.9155*Table2[[#This Row],[J67'']]*Table2[[#This Row],[weight]]</f>
        <v>0.12619512232493116</v>
      </c>
      <c r="T11">
        <f>0.9155*Table2[[#This Row],[J77'']]*Table2[[#This Row],[weight]]</f>
        <v>-1.20000256159818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t="s">
        <v>32</v>
      </c>
      <c r="B12">
        <v>8.7279999999999998</v>
      </c>
      <c r="C12">
        <v>9.1859999999999999</v>
      </c>
      <c r="D12">
        <v>2.351</v>
      </c>
      <c r="E12">
        <v>5.9160000000000004</v>
      </c>
      <c r="F12">
        <v>10.324</v>
      </c>
      <c r="G12">
        <v>2.06</v>
      </c>
      <c r="H12">
        <v>-13.089</v>
      </c>
      <c r="I12">
        <v>1.907</v>
      </c>
      <c r="J12" s="9">
        <f>chloroform!J17</f>
        <v>3.7695088429460434E-2</v>
      </c>
      <c r="K12" t="str">
        <f>chloroform!F17</f>
        <v>45TH</v>
      </c>
      <c r="M12">
        <f>0.9155*Table2[[#This Row],[J1,2]]*Table2[[#This Row],[weight]]</f>
        <v>0.3012020009741887</v>
      </c>
      <c r="N12">
        <f>0.9155*Table2[[#This Row],[J2,3]]*Table2[[#This Row],[weight]]</f>
        <v>0.31700751385757303</v>
      </c>
      <c r="O12">
        <f>0.9155*Table2[[#This Row],[J34]]*Table2[[#This Row],[weight]]</f>
        <v>8.1132665477809077E-2</v>
      </c>
      <c r="P12">
        <f>0.9155*Table2[[#This Row],[J45]]*Table2[[#This Row],[weight]]</f>
        <v>0.20416029305262379</v>
      </c>
      <c r="Q12">
        <f>0.9155*Table2[[#This Row],[J56]]*Table2[[#This Row],[weight]]</f>
        <v>0.3562797270918337</v>
      </c>
      <c r="R12">
        <f>0.9155*Table2[[#This Row],[J67]]*Table2[[#This Row],[weight]]</f>
        <v>7.1090298121772325E-2</v>
      </c>
      <c r="S12">
        <f>0.9155*Table2[[#This Row],[J67'']]*Table2[[#This Row],[weight]]</f>
        <v>6.5810290542825153E-2</v>
      </c>
      <c r="T12">
        <f>0.9155*Table2[[#This Row],[J77'']]*Table2[[#This Row],[weight]]</f>
        <v>-0.45169947190091159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t="s">
        <v>33</v>
      </c>
      <c r="B13">
        <v>8.8230000000000004</v>
      </c>
      <c r="C13">
        <v>2.0190000000000001</v>
      </c>
      <c r="D13">
        <v>11.984999999999999</v>
      </c>
      <c r="E13">
        <v>9.3070000000000004</v>
      </c>
      <c r="F13">
        <v>0.26</v>
      </c>
      <c r="G13">
        <v>12.739000000000001</v>
      </c>
      <c r="H13">
        <v>-11.784000000000001</v>
      </c>
      <c r="I13">
        <v>6</v>
      </c>
      <c r="J13" s="9">
        <f>chloroform!J18</f>
        <v>2.3878120405735437E-3</v>
      </c>
      <c r="K13" t="str">
        <f>chloroform!F18</f>
        <v>6H4</v>
      </c>
      <c r="M13">
        <f>0.9155*Table2[[#This Row],[J1,2]]*Table2[[#This Row],[weight]]</f>
        <v>1.9287447887909034E-2</v>
      </c>
      <c r="N13">
        <f>0.9155*Table2[[#This Row],[J2,3]]*Table2[[#This Row],[weight]]</f>
        <v>4.4136186428299154E-3</v>
      </c>
      <c r="O13">
        <f>0.9155*Table2[[#This Row],[J34]]*Table2[[#This Row],[weight]]</f>
        <v>2.6199712448893773E-2</v>
      </c>
      <c r="P13">
        <f>0.9155*Table2[[#This Row],[J45]]*Table2[[#This Row],[weight]]</f>
        <v>2.0345492178711254E-2</v>
      </c>
      <c r="Q13">
        <f>0.9155*Table2[[#This Row],[J56]]*Table2[[#This Row],[weight]]</f>
        <v>5.6837090001772062E-4</v>
      </c>
      <c r="R13">
        <f>0.9155*Table2[[#This Row],[J67]]*Table2[[#This Row],[weight]]</f>
        <v>2.7847988058945165E-2</v>
      </c>
      <c r="S13">
        <f>0.9155*Table2[[#This Row],[J67'']]*Table2[[#This Row],[weight]]</f>
        <v>1.3116251538870477E-2</v>
      </c>
      <c r="T13">
        <f>0.9155*Table2[[#This Row],[J77'']]*Table2[[#This Row],[weight]]</f>
        <v>-2.5760318022341612E-2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t="s">
        <v>34</v>
      </c>
      <c r="B14">
        <v>7.8150000000000004</v>
      </c>
      <c r="C14">
        <v>8.7650000000000006</v>
      </c>
      <c r="D14">
        <v>6.44</v>
      </c>
      <c r="E14">
        <v>0.82299999999999995</v>
      </c>
      <c r="F14">
        <v>11.782999999999999</v>
      </c>
      <c r="G14">
        <v>1.885</v>
      </c>
      <c r="H14">
        <v>-13.999000000000001</v>
      </c>
      <c r="I14">
        <v>2.1230000000000002</v>
      </c>
      <c r="J14" s="9">
        <f>chloroform!J19</f>
        <v>9.3791979980002799E-2</v>
      </c>
      <c r="K14" t="str">
        <f>chloroform!F19</f>
        <v>4H6</v>
      </c>
      <c r="M14">
        <f>0.9155*Table2[[#This Row],[J1,2]]*Table2[[#This Row],[weight]]</f>
        <v>0.67104714820427735</v>
      </c>
      <c r="N14">
        <f>0.9155*Table2[[#This Row],[J2,3]]*Table2[[#This Row],[weight]]</f>
        <v>0.75262037799238535</v>
      </c>
      <c r="O14">
        <f>0.9155*Table2[[#This Row],[J34]]*Table2[[#This Row],[weight]]</f>
        <v>0.5529806314057002</v>
      </c>
      <c r="P14">
        <f>0.9155*Table2[[#This Row],[J45]]*Table2[[#This Row],[weight]]</f>
        <v>7.0668176963802981E-2</v>
      </c>
      <c r="Q14">
        <f>0.9155*Table2[[#This Row],[J56]]*Table2[[#This Row],[weight]]</f>
        <v>1.0117656490455533</v>
      </c>
      <c r="R14">
        <f>0.9155*Table2[[#This Row],[J67]]*Table2[[#This Row],[weight]]</f>
        <v>0.16185846121114048</v>
      </c>
      <c r="S14">
        <f>0.9155*Table2[[#This Row],[J67'']]*Table2[[#This Row],[weight]]</f>
        <v>0.18229470193700334</v>
      </c>
      <c r="T14">
        <f>0.9155*Table2[[#This Row],[J77'']]*Table2[[#This Row],[weight]]</f>
        <v>-1.2020459408460242</v>
      </c>
      <c r="Z14" t="s">
        <v>87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t="s">
        <v>35</v>
      </c>
      <c r="B15">
        <v>9.7270000000000003</v>
      </c>
      <c r="C15">
        <v>2.7839999999999998</v>
      </c>
      <c r="D15">
        <v>7.343</v>
      </c>
      <c r="E15">
        <v>1.5860000000000001</v>
      </c>
      <c r="F15">
        <v>4.367</v>
      </c>
      <c r="G15">
        <v>4.2720000000000002</v>
      </c>
      <c r="H15">
        <v>-14.541</v>
      </c>
      <c r="I15">
        <v>1.2330000000000001</v>
      </c>
      <c r="J15" s="9">
        <f>chloroform!J20</f>
        <v>0</v>
      </c>
      <c r="K15" t="str">
        <f>chloroform!F20</f>
        <v>TH45</v>
      </c>
      <c r="M15">
        <f>0.9155*Table2[[#This Row],[J1,2]]*Table2[[#This Row],[weight]]</f>
        <v>0</v>
      </c>
      <c r="N15">
        <f>0.9155*Table2[[#This Row],[J2,3]]*Table2[[#This Row],[weight]]</f>
        <v>0</v>
      </c>
      <c r="O15">
        <f>0.9155*Table2[[#This Row],[J34]]*Table2[[#This Row],[weight]]</f>
        <v>0</v>
      </c>
      <c r="P15">
        <f>0.9155*Table2[[#This Row],[J45]]*Table2[[#This Row],[weight]]</f>
        <v>0</v>
      </c>
      <c r="Q15">
        <f>0.9155*Table2[[#This Row],[J56]]*Table2[[#This Row],[weight]]</f>
        <v>0</v>
      </c>
      <c r="R15">
        <f>0.9155*Table2[[#This Row],[J67]]*Table2[[#This Row],[weight]]</f>
        <v>0</v>
      </c>
      <c r="S15">
        <f>0.9155*Table2[[#This Row],[J67'']]*Table2[[#This Row],[weight]]</f>
        <v>0</v>
      </c>
      <c r="T15">
        <f>0.9155*Table2[[#This Row],[J77'']]*Table2[[#This Row],[weight]]</f>
        <v>0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t="s">
        <v>115</v>
      </c>
      <c r="B16">
        <v>8.5969999999999995</v>
      </c>
      <c r="C16">
        <v>9.6620000000000008</v>
      </c>
      <c r="D16">
        <v>2.8620000000000001</v>
      </c>
      <c r="E16">
        <v>6.9160000000000004</v>
      </c>
      <c r="F16">
        <v>8.8810000000000002</v>
      </c>
      <c r="G16">
        <v>3.665</v>
      </c>
      <c r="H16">
        <v>-11.833</v>
      </c>
      <c r="I16">
        <v>11.688000000000001</v>
      </c>
      <c r="J16" s="9">
        <f>chloroform!J21</f>
        <v>2.1610368011094235E-4</v>
      </c>
      <c r="K16" t="str">
        <f>chloroform!F21</f>
        <v>45TH</v>
      </c>
      <c r="M16">
        <f>0.9155*Table2[[#This Row],[J1,2]]*Table2[[#This Row],[weight]]</f>
        <v>1.7008555758600576E-3</v>
      </c>
      <c r="N16">
        <f>0.9155*Table2[[#This Row],[J2,3]]*Table2[[#This Row],[weight]]</f>
        <v>1.9115582847458272E-3</v>
      </c>
      <c r="O16">
        <f>0.9155*Table2[[#This Row],[J34]]*Table2[[#This Row],[weight]]</f>
        <v>5.6622643458316684E-4</v>
      </c>
      <c r="P16">
        <f>0.9155*Table2[[#This Row],[J45]]*Table2[[#This Row],[weight]]</f>
        <v>1.3682816287830825E-3</v>
      </c>
      <c r="Q16">
        <f>0.9155*Table2[[#This Row],[J56]]*Table2[[#This Row],[weight]]</f>
        <v>1.7570429648962628E-3</v>
      </c>
      <c r="R16">
        <f>0.9155*Table2[[#This Row],[J67]]*Table2[[#This Row],[weight]]</f>
        <v>7.2509429865384571E-4</v>
      </c>
      <c r="S16">
        <f>0.9155*Table2[[#This Row],[J67'']]*Table2[[#This Row],[weight]]</f>
        <v>2.3123880389266434E-3</v>
      </c>
      <c r="T16">
        <f>0.9155*Table2[[#This Row],[J77'']]*Table2[[#This Row],[weight]]</f>
        <v>-2.3410752622021708E-3</v>
      </c>
    </row>
    <row r="17" spans="1:20" x14ac:dyDescent="0.25">
      <c r="A17" t="s">
        <v>98</v>
      </c>
      <c r="B17">
        <v>9.3859999999999992</v>
      </c>
      <c r="C17">
        <v>3.327</v>
      </c>
      <c r="D17">
        <v>10.962999999999999</v>
      </c>
      <c r="E17">
        <v>0.61799999999999999</v>
      </c>
      <c r="F17">
        <v>5.5819999999999999</v>
      </c>
      <c r="G17">
        <v>5.9370000000000003</v>
      </c>
      <c r="H17">
        <v>-12.641999999999999</v>
      </c>
      <c r="I17">
        <v>0.499</v>
      </c>
      <c r="J17" s="9">
        <f>chloroform!J22</f>
        <v>0</v>
      </c>
      <c r="K17" t="str">
        <f>chloroform!F22</f>
        <v>TH45</v>
      </c>
      <c r="M17">
        <f>0.9155*Table2[[#This Row],[J1,2]]*Table2[[#This Row],[weight]]</f>
        <v>0</v>
      </c>
      <c r="N17">
        <f>0.9155*Table2[[#This Row],[J2,3]]*Table2[[#This Row],[weight]]</f>
        <v>0</v>
      </c>
      <c r="O17">
        <f>0.9155*Table2[[#This Row],[J34]]*Table2[[#This Row],[weight]]</f>
        <v>0</v>
      </c>
      <c r="P17">
        <f>0.9155*Table2[[#This Row],[J45]]*Table2[[#This Row],[weight]]</f>
        <v>0</v>
      </c>
      <c r="Q17">
        <f>0.9155*Table2[[#This Row],[J56]]*Table2[[#This Row],[weight]]</f>
        <v>0</v>
      </c>
      <c r="R17">
        <f>0.9155*Table2[[#This Row],[J67]]*Table2[[#This Row],[weight]]</f>
        <v>0</v>
      </c>
      <c r="S17">
        <f>0.9155*Table2[[#This Row],[J67'']]*Table2[[#This Row],[weight]]</f>
        <v>0</v>
      </c>
      <c r="T17">
        <f>0.9155*Table2[[#This Row],[J77'']]*Table2[[#This Row],[weight]]</f>
        <v>0</v>
      </c>
    </row>
    <row r="18" spans="1:20" x14ac:dyDescent="0.25">
      <c r="A18" t="s">
        <v>36</v>
      </c>
      <c r="B18">
        <v>8.5730000000000004</v>
      </c>
      <c r="C18">
        <v>9.6470000000000002</v>
      </c>
      <c r="D18">
        <v>3.0409999999999999</v>
      </c>
      <c r="E18">
        <v>6.4870000000000001</v>
      </c>
      <c r="F18">
        <v>9.7669999999999995</v>
      </c>
      <c r="G18">
        <v>10.85</v>
      </c>
      <c r="H18">
        <v>-11.714</v>
      </c>
      <c r="I18">
        <v>2.6219999999999999</v>
      </c>
      <c r="J18" s="9">
        <f>chloroform!J23</f>
        <v>2.2583330833935605E-4</v>
      </c>
      <c r="K18" t="str">
        <f>chloroform!F23</f>
        <v>45TH</v>
      </c>
      <c r="M18">
        <f>0.9155*Table2[[#This Row],[J1,2]]*Table2[[#This Row],[weight]]</f>
        <v>1.7724711259160656E-3</v>
      </c>
      <c r="N18">
        <f>0.9155*Table2[[#This Row],[J2,3]]*Table2[[#This Row],[weight]]</f>
        <v>1.9945210488408124E-3</v>
      </c>
      <c r="O18">
        <f>0.9155*Table2[[#This Row],[J34]]*Table2[[#This Row],[weight]]</f>
        <v>6.2872794749921324E-4</v>
      </c>
      <c r="P18">
        <f>0.9155*Table2[[#This Row],[J45]]*Table2[[#This Row],[weight]]</f>
        <v>1.3411898044812221E-3</v>
      </c>
      <c r="Q18">
        <f>0.9155*Table2[[#This Row],[J56]]*Table2[[#This Row],[weight]]</f>
        <v>2.0193310960949741E-3</v>
      </c>
      <c r="R18">
        <f>0.9155*Table2[[#This Row],[J67]]*Table2[[#This Row],[weight]]</f>
        <v>2.2432417725637829E-3</v>
      </c>
      <c r="S18">
        <f>0.9155*Table2[[#This Row],[J67'']]*Table2[[#This Row],[weight]]</f>
        <v>5.4209953250343218E-4</v>
      </c>
      <c r="T18">
        <f>0.9155*Table2[[#This Row],[J77'']]*Table2[[#This Row],[weight]]</f>
        <v>-2.4218741127937466E-3</v>
      </c>
    </row>
    <row r="19" spans="1:20" x14ac:dyDescent="0.25">
      <c r="A19" t="s">
        <v>37</v>
      </c>
      <c r="B19">
        <v>8.782</v>
      </c>
      <c r="C19">
        <v>9.2530000000000001</v>
      </c>
      <c r="D19">
        <v>1.7949999999999999</v>
      </c>
      <c r="E19">
        <v>8.3360000000000003</v>
      </c>
      <c r="F19">
        <v>8.6300000000000008</v>
      </c>
      <c r="G19">
        <v>2.008</v>
      </c>
      <c r="H19">
        <v>-13.927</v>
      </c>
      <c r="I19">
        <v>2.0049999999999999</v>
      </c>
      <c r="J19" s="9">
        <f>chloroform!J24</f>
        <v>3.4988345041332821E-3</v>
      </c>
      <c r="K19" t="str">
        <f>chloroform!F24</f>
        <v>45TH</v>
      </c>
      <c r="M19">
        <f>0.9155*Table2[[#This Row],[J1,2]]*Table2[[#This Row],[weight]]</f>
        <v>2.813035300530576E-2</v>
      </c>
      <c r="N19">
        <f>0.9155*Table2[[#This Row],[J2,3]]*Table2[[#This Row],[weight]]</f>
        <v>2.9639052192905288E-2</v>
      </c>
      <c r="O19">
        <f>0.9155*Table2[[#This Row],[J34]]*Table2[[#This Row],[weight]]</f>
        <v>5.7497134644185644E-3</v>
      </c>
      <c r="P19">
        <f>0.9155*Table2[[#This Row],[J45]]*Table2[[#This Row],[weight]]</f>
        <v>2.6701733392419588E-2</v>
      </c>
      <c r="Q19">
        <f>0.9155*Table2[[#This Row],[J56]]*Table2[[#This Row],[weight]]</f>
        <v>2.7643469191048594E-2</v>
      </c>
      <c r="R19">
        <f>0.9155*Table2[[#This Row],[J67]]*Table2[[#This Row],[weight]]</f>
        <v>6.4319914409763116E-3</v>
      </c>
      <c r="S19">
        <f>0.9155*Table2[[#This Row],[J67'']]*Table2[[#This Row],[weight]]</f>
        <v>6.4223818920107088E-3</v>
      </c>
      <c r="T19">
        <f>0.9155*Table2[[#This Row],[J77'']]*Table2[[#This Row],[weight]]</f>
        <v>-4.461072948131329E-2</v>
      </c>
    </row>
    <row r="20" spans="1:20" x14ac:dyDescent="0.25">
      <c r="A20" t="s">
        <v>38</v>
      </c>
      <c r="B20">
        <v>7.6859999999999999</v>
      </c>
      <c r="C20">
        <v>8.58</v>
      </c>
      <c r="D20">
        <v>6.4980000000000002</v>
      </c>
      <c r="E20">
        <v>0.97299999999999998</v>
      </c>
      <c r="F20">
        <v>12.156000000000001</v>
      </c>
      <c r="G20">
        <v>1.2889999999999999</v>
      </c>
      <c r="H20">
        <v>-13.638</v>
      </c>
      <c r="I20">
        <v>10.845000000000001</v>
      </c>
      <c r="J20" s="9">
        <f>chloroform!J25</f>
        <v>8.0576373460553866E-2</v>
      </c>
      <c r="K20" t="str">
        <f>chloroform!F25</f>
        <v>4H6</v>
      </c>
      <c r="M20">
        <f>0.9155*Table2[[#This Row],[J1,2]]*Table2[[#This Row],[weight]]</f>
        <v>0.56697831087551143</v>
      </c>
      <c r="N20">
        <f>0.9155*Table2[[#This Row],[J2,3]]*Table2[[#This Row],[weight]]</f>
        <v>0.63292660776891596</v>
      </c>
      <c r="O20">
        <f>0.9155*Table2[[#This Row],[J34]]*Table2[[#This Row],[weight]]</f>
        <v>0.47934231903058466</v>
      </c>
      <c r="P20">
        <f>0.9155*Table2[[#This Row],[J45]]*Table2[[#This Row],[weight]]</f>
        <v>7.1775942815752364E-2</v>
      </c>
      <c r="Q20">
        <f>0.9155*Table2[[#This Row],[J56]]*Table2[[#This Row],[weight]]</f>
        <v>0.89671979534253421</v>
      </c>
      <c r="R20">
        <f>0.9155*Table2[[#This Row],[J67]]*Table2[[#This Row],[weight]]</f>
        <v>9.5086526505143668E-2</v>
      </c>
      <c r="S20">
        <f>0.9155*Table2[[#This Row],[J67'']]*Table2[[#This Row],[weight]]</f>
        <v>0.80001038009952152</v>
      </c>
      <c r="T20">
        <f>0.9155*Table2[[#This Row],[J77'']]*Table2[[#This Row],[weight]]</f>
        <v>-1.0060434821389832</v>
      </c>
    </row>
    <row r="21" spans="1:20" x14ac:dyDescent="0.25">
      <c r="A21" t="s">
        <v>39</v>
      </c>
      <c r="B21">
        <v>8.4489999999999998</v>
      </c>
      <c r="C21">
        <v>2.0910000000000002</v>
      </c>
      <c r="D21">
        <v>12.23</v>
      </c>
      <c r="E21">
        <v>9.4949999999999992</v>
      </c>
      <c r="F21">
        <v>0.185</v>
      </c>
      <c r="G21">
        <v>12.284000000000001</v>
      </c>
      <c r="H21">
        <v>-12.032</v>
      </c>
      <c r="I21">
        <v>3.82</v>
      </c>
      <c r="J21" s="9">
        <f>chloroform!J26</f>
        <v>5.5979160194186085E-4</v>
      </c>
      <c r="K21" t="str">
        <f>chloroform!F26</f>
        <v>6H4</v>
      </c>
      <c r="M21">
        <f>0.9155*Table2[[#This Row],[J1,2]]*Table2[[#This Row],[weight]]</f>
        <v>4.3300213486206088E-3</v>
      </c>
      <c r="N21">
        <f>0.9155*Table2[[#This Row],[J2,3]]*Table2[[#This Row],[weight]]</f>
        <v>1.0716149414091247E-3</v>
      </c>
      <c r="O21">
        <f>0.9155*Table2[[#This Row],[J34]]*Table2[[#This Row],[weight]]</f>
        <v>6.267743057596171E-3</v>
      </c>
      <c r="P21">
        <f>0.9155*Table2[[#This Row],[J45]]*Table2[[#This Row],[weight]]</f>
        <v>4.8660850639309595E-3</v>
      </c>
      <c r="Q21">
        <f>0.9155*Table2[[#This Row],[J56]]*Table2[[#This Row],[weight]]</f>
        <v>9.4810504141888116E-5</v>
      </c>
      <c r="R21">
        <f>0.9155*Table2[[#This Row],[J67]]*Table2[[#This Row],[weight]]</f>
        <v>6.2954174750213714E-3</v>
      </c>
      <c r="S21">
        <f>0.9155*Table2[[#This Row],[J67'']]*Table2[[#This Row],[weight]]</f>
        <v>1.957708788227095E-3</v>
      </c>
      <c r="T21">
        <f>0.9155*Table2[[#This Row],[J77'']]*Table2[[#This Row],[weight]]</f>
        <v>-6.1662701937037715E-3</v>
      </c>
    </row>
    <row r="22" spans="1:20" x14ac:dyDescent="0.25">
      <c r="A22" t="s">
        <v>116</v>
      </c>
      <c r="B22">
        <v>8.6150000000000002</v>
      </c>
      <c r="C22">
        <v>9.6999999999999993</v>
      </c>
      <c r="D22">
        <v>2.6789999999999998</v>
      </c>
      <c r="E22">
        <v>6.9969999999999999</v>
      </c>
      <c r="F22">
        <v>9.1300000000000008</v>
      </c>
      <c r="G22">
        <v>2.0739999999999998</v>
      </c>
      <c r="H22">
        <v>-13.391</v>
      </c>
      <c r="I22">
        <v>11.721</v>
      </c>
      <c r="J22" s="9">
        <f>chloroform!J27</f>
        <v>9.2095950357425885E-4</v>
      </c>
      <c r="K22" t="str">
        <f>chloroform!F27</f>
        <v>45TH</v>
      </c>
      <c r="M22">
        <f>0.9155*Table2[[#This Row],[J1,2]]*Table2[[#This Row],[weight]]</f>
        <v>7.2636375358740455E-3</v>
      </c>
      <c r="N22">
        <f>0.9155*Table2[[#This Row],[J2,3]]*Table2[[#This Row],[weight]]</f>
        <v>8.1784427275656702E-3</v>
      </c>
      <c r="O22">
        <f>0.9155*Table2[[#This Row],[J34]]*Table2[[#This Row],[weight]]</f>
        <v>2.2587678419740648E-3</v>
      </c>
      <c r="P22">
        <f>0.9155*Table2[[#This Row],[J45]]*Table2[[#This Row],[weight]]</f>
        <v>5.8994395633790702E-3</v>
      </c>
      <c r="Q22">
        <f>0.9155*Table2[[#This Row],[J56]]*Table2[[#This Row],[weight]]</f>
        <v>7.6978538250179968E-3</v>
      </c>
      <c r="R22">
        <f>0.9155*Table2[[#This Row],[J67]]*Table2[[#This Row],[weight]]</f>
        <v>1.7486690945331131E-3</v>
      </c>
      <c r="S22">
        <f>0.9155*Table2[[#This Row],[J67'']]*Table2[[#This Row],[weight]]</f>
        <v>9.8824254855461053E-3</v>
      </c>
      <c r="T22">
        <f>0.9155*Table2[[#This Row],[J77'']]*Table2[[#This Row],[weight]]</f>
        <v>-1.1290466656168235E-2</v>
      </c>
    </row>
    <row r="23" spans="1:20" x14ac:dyDescent="0.25">
      <c r="A23" t="s">
        <v>40</v>
      </c>
      <c r="B23">
        <v>8.48</v>
      </c>
      <c r="C23">
        <v>2.1970000000000001</v>
      </c>
      <c r="D23">
        <v>12.215999999999999</v>
      </c>
      <c r="E23">
        <v>10.195</v>
      </c>
      <c r="F23">
        <v>0.71499999999999997</v>
      </c>
      <c r="G23">
        <v>1.208</v>
      </c>
      <c r="H23">
        <v>-13.872999999999999</v>
      </c>
      <c r="I23">
        <v>4.1559999999999997</v>
      </c>
      <c r="J23" s="9">
        <f>chloroform!J28</f>
        <v>4.3057306913062875E-4</v>
      </c>
      <c r="K23" t="str">
        <f>chloroform!F28</f>
        <v>6H4</v>
      </c>
      <c r="M23">
        <f>0.9155*Table2[[#This Row],[J1,2]]*Table2[[#This Row],[weight]]</f>
        <v>3.3427281878114887E-3</v>
      </c>
      <c r="N23">
        <f>0.9155*Table2[[#This Row],[J2,3]]*Table2[[#This Row],[weight]]</f>
        <v>8.6603464960163204E-4</v>
      </c>
      <c r="O23">
        <f>0.9155*Table2[[#This Row],[J34]]*Table2[[#This Row],[weight]]</f>
        <v>4.8154207007435309E-3</v>
      </c>
      <c r="P23">
        <f>0.9155*Table2[[#This Row],[J45]]*Table2[[#This Row],[weight]]</f>
        <v>4.0187634286247796E-3</v>
      </c>
      <c r="Q23">
        <f>0.9155*Table2[[#This Row],[J56]]*Table2[[#This Row],[weight]]</f>
        <v>2.818455960241998E-4</v>
      </c>
      <c r="R23">
        <f>0.9155*Table2[[#This Row],[J67]]*Table2[[#This Row],[weight]]</f>
        <v>4.7618109090522145E-4</v>
      </c>
      <c r="S23">
        <f>0.9155*Table2[[#This Row],[J67'']]*Table2[[#This Row],[weight]]</f>
        <v>1.6382521637434604E-3</v>
      </c>
      <c r="T23">
        <f>0.9155*Table2[[#This Row],[J77'']]*Table2[[#This Row],[weight]]</f>
        <v>-5.4685929421590543E-3</v>
      </c>
    </row>
    <row r="24" spans="1:20" x14ac:dyDescent="0.25">
      <c r="A24" t="s">
        <v>41</v>
      </c>
      <c r="B24">
        <v>8.7590000000000003</v>
      </c>
      <c r="C24">
        <v>9.2590000000000003</v>
      </c>
      <c r="D24">
        <v>2.0419999999999998</v>
      </c>
      <c r="E24">
        <v>6.6920000000000002</v>
      </c>
      <c r="F24">
        <v>9.8010000000000002</v>
      </c>
      <c r="G24">
        <v>2.1459999999999999</v>
      </c>
      <c r="H24">
        <v>-12.798</v>
      </c>
      <c r="I24">
        <v>1.857</v>
      </c>
      <c r="J24" s="9">
        <f>chloroform!J29</f>
        <v>2.6977702923286898E-2</v>
      </c>
      <c r="K24" t="str">
        <f>chloroform!F29</f>
        <v>45TH</v>
      </c>
      <c r="M24">
        <f>0.9155*Table2[[#This Row],[J1,2]]*Table2[[#This Row],[weight]]</f>
        <v>0.21633054426309151</v>
      </c>
      <c r="N24">
        <f>0.9155*Table2[[#This Row],[J2,3]]*Table2[[#This Row],[weight]]</f>
        <v>0.2286795877762261</v>
      </c>
      <c r="O24">
        <f>0.9155*Table2[[#This Row],[J34]]*Table2[[#This Row],[weight]]</f>
        <v>5.0433493707641608E-2</v>
      </c>
      <c r="P24">
        <f>0.9155*Table2[[#This Row],[J45]]*Table2[[#This Row],[weight]]</f>
        <v>0.1652795983797932</v>
      </c>
      <c r="Q24">
        <f>0.9155*Table2[[#This Row],[J56]]*Table2[[#This Row],[weight]]</f>
        <v>0.24206595094446398</v>
      </c>
      <c r="R24">
        <f>0.9155*Table2[[#This Row],[J67]]*Table2[[#This Row],[weight]]</f>
        <v>5.30020947583736E-2</v>
      </c>
      <c r="S24">
        <f>0.9155*Table2[[#This Row],[J67'']]*Table2[[#This Row],[weight]]</f>
        <v>4.5864347607781818E-2</v>
      </c>
      <c r="T24">
        <f>0.9155*Table2[[#This Row],[J77'']]*Table2[[#This Row],[weight]]</f>
        <v>-0.31608611776219264</v>
      </c>
    </row>
    <row r="25" spans="1:20" x14ac:dyDescent="0.25">
      <c r="A25" t="s">
        <v>42</v>
      </c>
      <c r="B25">
        <v>7.8390000000000004</v>
      </c>
      <c r="C25">
        <v>8.2409999999999997</v>
      </c>
      <c r="D25">
        <v>5.8449999999999998</v>
      </c>
      <c r="E25">
        <v>0.504</v>
      </c>
      <c r="F25">
        <v>12.375999999999999</v>
      </c>
      <c r="G25">
        <v>1.3420000000000001</v>
      </c>
      <c r="H25">
        <v>-13.521000000000001</v>
      </c>
      <c r="I25">
        <v>10.975</v>
      </c>
      <c r="J25" s="9">
        <f>chloroform!J30</f>
        <v>0.127049524467722</v>
      </c>
      <c r="K25" t="str">
        <f>chloroform!F30</f>
        <v>4H6</v>
      </c>
      <c r="M25">
        <f>0.9155*Table2[[#This Row],[J1,2]]*Table2[[#This Row],[weight]]</f>
        <v>0.9117841890179138</v>
      </c>
      <c r="N25">
        <f>0.9155*Table2[[#This Row],[J2,3]]*Table2[[#This Row],[weight]]</f>
        <v>0.95854235255729392</v>
      </c>
      <c r="O25">
        <f>0.9155*Table2[[#This Row],[J34]]*Table2[[#This Row],[weight]]</f>
        <v>0.67985439275541604</v>
      </c>
      <c r="P25">
        <f>0.9155*Table2[[#This Row],[J45]]*Table2[[#This Row],[weight]]</f>
        <v>5.8622175183700539E-2</v>
      </c>
      <c r="Q25">
        <f>0.9155*Table2[[#This Row],[J56]]*Table2[[#This Row],[weight]]</f>
        <v>1.4395000795108688</v>
      </c>
      <c r="R25">
        <f>0.9155*Table2[[#This Row],[J67]]*Table2[[#This Row],[weight]]</f>
        <v>0.15609317281056773</v>
      </c>
      <c r="S25">
        <f>0.9155*Table2[[#This Row],[J67'']]*Table2[[#This Row],[weight]]</f>
        <v>1.2765443901609392</v>
      </c>
      <c r="T25">
        <f>0.9155*Table2[[#This Row],[J77'']]*Table2[[#This Row],[weight]]</f>
        <v>-1.5726794259103474</v>
      </c>
    </row>
    <row r="26" spans="1:20" x14ac:dyDescent="0.25">
      <c r="A26" t="s">
        <v>43</v>
      </c>
      <c r="B26">
        <v>7.7350000000000003</v>
      </c>
      <c r="C26">
        <v>8.5820000000000007</v>
      </c>
      <c r="D26">
        <v>6.0510000000000002</v>
      </c>
      <c r="E26">
        <v>0.60499999999999998</v>
      </c>
      <c r="F26">
        <v>12.010999999999999</v>
      </c>
      <c r="G26">
        <v>1.306</v>
      </c>
      <c r="H26">
        <v>-14.435</v>
      </c>
      <c r="I26">
        <v>10.941000000000001</v>
      </c>
      <c r="J26" s="9">
        <f>chloroform!J31</f>
        <v>8.0911768100308368E-2</v>
      </c>
      <c r="K26" t="str">
        <f>chloroform!F31</f>
        <v>4H6</v>
      </c>
      <c r="M26">
        <f>0.9155*Table2[[#This Row],[J1,2]]*Table2[[#This Row],[weight]]</f>
        <v>0.57296798778726288</v>
      </c>
      <c r="N26">
        <f>0.9155*Table2[[#This Row],[J2,3]]*Table2[[#This Row],[weight]]</f>
        <v>0.63570927875763295</v>
      </c>
      <c r="O26">
        <f>0.9155*Table2[[#This Row],[J34]]*Table2[[#This Row],[weight]]</f>
        <v>0.44822615308348129</v>
      </c>
      <c r="P26">
        <f>0.9155*Table2[[#This Row],[J45]]*Table2[[#This Row],[weight]]</f>
        <v>4.4815207835978553E-2</v>
      </c>
      <c r="Q26">
        <f>0.9155*Table2[[#This Row],[J56]]*Table2[[#This Row],[weight]]</f>
        <v>0.88971150631064178</v>
      </c>
      <c r="R26">
        <f>0.9155*Table2[[#This Row],[J67]]*Table2[[#This Row],[weight]]</f>
        <v>9.6741589146756998E-2</v>
      </c>
      <c r="S26">
        <f>0.9155*Table2[[#This Row],[J67'']]*Table2[[#This Row],[weight]]</f>
        <v>0.8104515519561013</v>
      </c>
      <c r="T26">
        <f>0.9155*Table2[[#This Row],[J77'']]*Table2[[#This Row],[weight]]</f>
        <v>-1.0692686365493393</v>
      </c>
    </row>
    <row r="27" spans="1:20" x14ac:dyDescent="0.25">
      <c r="A27" t="s">
        <v>99</v>
      </c>
      <c r="B27">
        <v>9.0890000000000004</v>
      </c>
      <c r="C27">
        <v>9.5530000000000008</v>
      </c>
      <c r="D27">
        <v>0.57299999999999995</v>
      </c>
      <c r="E27">
        <v>11.231999999999999</v>
      </c>
      <c r="F27">
        <v>7.9139999999999997</v>
      </c>
      <c r="G27">
        <v>2.17</v>
      </c>
      <c r="H27">
        <v>-13.853999999999999</v>
      </c>
      <c r="I27">
        <v>1.8149999999999999</v>
      </c>
      <c r="J27" s="9">
        <f>chloroform!J32</f>
        <v>0</v>
      </c>
      <c r="K27" t="str">
        <f>chloroform!F32</f>
        <v>45TH</v>
      </c>
      <c r="M27">
        <f>0.9155*Table2[[#This Row],[J1,2]]*Table2[[#This Row],[weight]]</f>
        <v>0</v>
      </c>
      <c r="N27">
        <f>0.9155*Table2[[#This Row],[J2,3]]*Table2[[#This Row],[weight]]</f>
        <v>0</v>
      </c>
      <c r="O27">
        <f>0.9155*Table2[[#This Row],[J34]]*Table2[[#This Row],[weight]]</f>
        <v>0</v>
      </c>
      <c r="P27">
        <f>0.9155*Table2[[#This Row],[J45]]*Table2[[#This Row],[weight]]</f>
        <v>0</v>
      </c>
      <c r="Q27">
        <f>0.9155*Table2[[#This Row],[J56]]*Table2[[#This Row],[weight]]</f>
        <v>0</v>
      </c>
      <c r="R27">
        <f>0.9155*Table2[[#This Row],[J67]]*Table2[[#This Row],[weight]]</f>
        <v>0</v>
      </c>
      <c r="S27">
        <f>0.9155*Table2[[#This Row],[J67'']]*Table2[[#This Row],[weight]]</f>
        <v>0</v>
      </c>
      <c r="T27">
        <f>0.9155*Table2[[#This Row],[J77'']]*Table2[[#This Row],[weight]]</f>
        <v>0</v>
      </c>
    </row>
    <row r="28" spans="1:20" x14ac:dyDescent="0.25">
      <c r="A28" t="s">
        <v>44</v>
      </c>
      <c r="B28">
        <v>7.3410000000000002</v>
      </c>
      <c r="C28">
        <v>6.1989999999999998</v>
      </c>
      <c r="D28">
        <v>10.41</v>
      </c>
      <c r="E28">
        <v>11.784000000000001</v>
      </c>
      <c r="F28">
        <v>8.6240000000000006</v>
      </c>
      <c r="G28">
        <v>1.964</v>
      </c>
      <c r="H28">
        <v>-13.819000000000001</v>
      </c>
      <c r="I28">
        <v>11.335000000000001</v>
      </c>
      <c r="J28" s="9">
        <f>chloroform!J33</f>
        <v>1.2775133820605666E-2</v>
      </c>
      <c r="K28" t="str">
        <f>chloroform!F33</f>
        <v>56TH</v>
      </c>
      <c r="M28">
        <f>0.9155*Table2[[#This Row],[J1,2]]*Table2[[#This Row],[weight]]</f>
        <v>8.5857656628704107E-2</v>
      </c>
      <c r="N28">
        <f>0.9155*Table2[[#This Row],[J2,3]]*Table2[[#This Row],[weight]]</f>
        <v>7.2501241444127049E-2</v>
      </c>
      <c r="O28">
        <f>0.9155*Table2[[#This Row],[J34]]*Table2[[#This Row],[weight]]</f>
        <v>0.12175156048287832</v>
      </c>
      <c r="P28">
        <f>0.9155*Table2[[#This Row],[J45]]*Table2[[#This Row],[weight]]</f>
        <v>0.13782136299041672</v>
      </c>
      <c r="Q28">
        <f>0.9155*Table2[[#This Row],[J56]]*Table2[[#This Row],[weight]]</f>
        <v>0.10086315635008095</v>
      </c>
      <c r="R28">
        <f>0.9155*Table2[[#This Row],[J67]]*Table2[[#This Row],[weight]]</f>
        <v>2.297022716506945E-2</v>
      </c>
      <c r="S28">
        <f>0.9155*Table2[[#This Row],[J67'']]*Table2[[#This Row],[weight]]</f>
        <v>0.13257002286968547</v>
      </c>
      <c r="T28">
        <f>0.9155*Table2[[#This Row],[J77'']]*Table2[[#This Row],[weight]]</f>
        <v>-0.16162198024139246</v>
      </c>
    </row>
    <row r="29" spans="1:20" x14ac:dyDescent="0.25">
      <c r="A29" t="s">
        <v>45</v>
      </c>
      <c r="B29">
        <v>8.9169999999999998</v>
      </c>
      <c r="C29">
        <v>2.0419999999999998</v>
      </c>
      <c r="D29">
        <v>12.444000000000001</v>
      </c>
      <c r="E29">
        <v>7.0190000000000001</v>
      </c>
      <c r="F29">
        <v>0.48799999999999999</v>
      </c>
      <c r="G29">
        <v>3.4279999999999999</v>
      </c>
      <c r="H29">
        <v>-12.476000000000001</v>
      </c>
      <c r="I29">
        <v>13.207000000000001</v>
      </c>
      <c r="J29" s="9">
        <f>chloroform!J34</f>
        <v>8.3446191868302429E-4</v>
      </c>
      <c r="K29" t="str">
        <f>chloroform!F34</f>
        <v>6H4</v>
      </c>
      <c r="M29">
        <f>0.9155*Table2[[#This Row],[J1,2]]*Table2[[#This Row],[weight]]</f>
        <v>6.812141138404771E-3</v>
      </c>
      <c r="N29">
        <f>0.9155*Table2[[#This Row],[J2,3]]*Table2[[#This Row],[weight]]</f>
        <v>1.5599856683438983E-3</v>
      </c>
      <c r="O29">
        <f>0.9155*Table2[[#This Row],[J34]]*Table2[[#This Row],[weight]]</f>
        <v>9.5065923882818194E-3</v>
      </c>
      <c r="P29">
        <f>0.9155*Table2[[#This Row],[J45]]*Table2[[#This Row],[weight]]</f>
        <v>5.3621642537246932E-3</v>
      </c>
      <c r="Q29">
        <f>0.9155*Table2[[#This Row],[J56]]*Table2[[#This Row],[weight]]</f>
        <v>3.7280754463850266E-4</v>
      </c>
      <c r="R29">
        <f>0.9155*Table2[[#This Row],[J67]]*Table2[[#This Row],[weight]]</f>
        <v>2.6188202111081704E-3</v>
      </c>
      <c r="S29">
        <f>0.9155*Table2[[#This Row],[J67'']]*Table2[[#This Row],[weight]]</f>
        <v>1.0089486151722756E-2</v>
      </c>
      <c r="T29">
        <f>0.9155*Table2[[#This Row],[J77'']]*Table2[[#This Row],[weight]]</f>
        <v>-9.5310387846515559E-3</v>
      </c>
    </row>
    <row r="30" spans="1:20" x14ac:dyDescent="0.25">
      <c r="A30" t="s">
        <v>46</v>
      </c>
      <c r="B30">
        <v>10.039999999999999</v>
      </c>
      <c r="C30">
        <v>2.5</v>
      </c>
      <c r="D30">
        <v>7.6710000000000003</v>
      </c>
      <c r="E30">
        <v>1.1080000000000001</v>
      </c>
      <c r="F30">
        <v>5.5720000000000001</v>
      </c>
      <c r="G30">
        <v>0.99099999999999999</v>
      </c>
      <c r="H30">
        <v>-13.28</v>
      </c>
      <c r="I30">
        <v>10.173</v>
      </c>
      <c r="J30" s="9">
        <f>chloroform!J35</f>
        <v>5.0795088160469441E-5</v>
      </c>
      <c r="K30" t="str">
        <f>chloroform!F35</f>
        <v>45TH</v>
      </c>
      <c r="M30">
        <f>0.9155*Table2[[#This Row],[J1,2]]*Table2[[#This Row],[weight]]</f>
        <v>4.6688914823753407E-4</v>
      </c>
      <c r="N30">
        <f>0.9155*Table2[[#This Row],[J2,3]]*Table2[[#This Row],[weight]]</f>
        <v>1.1625725802727443E-4</v>
      </c>
      <c r="O30">
        <f>0.9155*Table2[[#This Row],[J34]]*Table2[[#This Row],[weight]]</f>
        <v>3.5672377053088886E-4</v>
      </c>
      <c r="P30">
        <f>0.9155*Table2[[#This Row],[J45]]*Table2[[#This Row],[weight]]</f>
        <v>5.1525216757688037E-5</v>
      </c>
      <c r="Q30">
        <f>0.9155*Table2[[#This Row],[J56]]*Table2[[#This Row],[weight]]</f>
        <v>2.5911417669118925E-4</v>
      </c>
      <c r="R30">
        <f>0.9155*Table2[[#This Row],[J67]]*Table2[[#This Row],[weight]]</f>
        <v>4.6084377082011586E-5</v>
      </c>
      <c r="S30">
        <f>0.9155*Table2[[#This Row],[J67'']]*Table2[[#This Row],[weight]]</f>
        <v>4.7307403436458516E-4</v>
      </c>
      <c r="T30">
        <f>0.9155*Table2[[#This Row],[J77'']]*Table2[[#This Row],[weight]]</f>
        <v>-6.1755855464088176E-4</v>
      </c>
    </row>
    <row r="31" spans="1:20" x14ac:dyDescent="0.25">
      <c r="A31" t="s">
        <v>47</v>
      </c>
      <c r="B31">
        <v>7.9880000000000004</v>
      </c>
      <c r="C31">
        <v>8.5860000000000003</v>
      </c>
      <c r="D31">
        <v>5.5389999999999997</v>
      </c>
      <c r="E31">
        <v>0.36599999999999999</v>
      </c>
      <c r="F31">
        <v>12.065</v>
      </c>
      <c r="G31">
        <v>8.7560000000000002</v>
      </c>
      <c r="H31">
        <v>-12.616</v>
      </c>
      <c r="I31">
        <v>0.66200000000000003</v>
      </c>
      <c r="J31" s="9">
        <f>chloroform!J36</f>
        <v>2.4633282831997422E-3</v>
      </c>
      <c r="K31" t="str">
        <f>chloroform!F36</f>
        <v>4H6</v>
      </c>
      <c r="M31">
        <f>0.9155*Table2[[#This Row],[J1,2]]*Table2[[#This Row],[weight]]</f>
        <v>1.8014354221635678E-2</v>
      </c>
      <c r="N31">
        <f>0.9155*Table2[[#This Row],[J2,3]]*Table2[[#This Row],[weight]]</f>
        <v>1.9362950093510758E-2</v>
      </c>
      <c r="O31">
        <f>0.9155*Table2[[#This Row],[J34]]*Table2[[#This Row],[weight]]</f>
        <v>1.2491425642669007E-2</v>
      </c>
      <c r="P31">
        <f>0.9155*Table2[[#This Row],[J45]]*Table2[[#This Row],[weight]]</f>
        <v>8.2539479783658718E-4</v>
      </c>
      <c r="Q31">
        <f>0.9155*Table2[[#This Row],[J56]]*Table2[[#This Row],[weight]]</f>
        <v>2.7208711027044873E-2</v>
      </c>
      <c r="R31">
        <f>0.9155*Table2[[#This Row],[J67]]*Table2[[#This Row],[weight]]</f>
        <v>1.9746330190866551E-2</v>
      </c>
      <c r="S31">
        <f>0.9155*Table2[[#This Row],[J67'']]*Table2[[#This Row],[weight]]</f>
        <v>1.4929272026443191E-3</v>
      </c>
      <c r="T31">
        <f>0.9155*Table2[[#This Row],[J77'']]*Table2[[#This Row],[weight]]</f>
        <v>-2.8451313577886293E-2</v>
      </c>
    </row>
    <row r="32" spans="1:20" x14ac:dyDescent="0.25">
      <c r="A32" t="s">
        <v>48</v>
      </c>
      <c r="B32">
        <v>9.5879999999999992</v>
      </c>
      <c r="C32">
        <v>3.2650000000000001</v>
      </c>
      <c r="D32">
        <v>8.343</v>
      </c>
      <c r="E32">
        <v>11.727</v>
      </c>
      <c r="F32">
        <v>9.9339999999999993</v>
      </c>
      <c r="G32">
        <v>1.98</v>
      </c>
      <c r="H32">
        <v>-13.079000000000001</v>
      </c>
      <c r="I32">
        <v>1.956</v>
      </c>
      <c r="J32" s="9">
        <f>chloroform!J37</f>
        <v>3.4201849845768455E-2</v>
      </c>
      <c r="K32" t="str">
        <f>chloroform!F37</f>
        <v>5C12</v>
      </c>
      <c r="M32">
        <f>0.9155*Table2[[#This Row],[J1,2]]*Table2[[#This Row],[weight]]</f>
        <v>0.30021747640208418</v>
      </c>
      <c r="N32">
        <f>0.9155*Table2[[#This Row],[J2,3]]*Table2[[#This Row],[weight]]</f>
        <v>0.10223300588786034</v>
      </c>
      <c r="O32">
        <f>0.9155*Table2[[#This Row],[J34]]*Table2[[#This Row],[weight]]</f>
        <v>0.26123429345250193</v>
      </c>
      <c r="P32">
        <f>0.9155*Table2[[#This Row],[J45]]*Table2[[#This Row],[weight]]</f>
        <v>0.36719340277088458</v>
      </c>
      <c r="Q32">
        <f>0.9155*Table2[[#This Row],[J56]]*Table2[[#This Row],[weight]]</f>
        <v>0.31105135696477931</v>
      </c>
      <c r="R32">
        <f>0.9155*Table2[[#This Row],[J67]]*Table2[[#This Row],[weight]]</f>
        <v>6.1997351196926016E-2</v>
      </c>
      <c r="S32">
        <f>0.9155*Table2[[#This Row],[J67'']]*Table2[[#This Row],[weight]]</f>
        <v>6.1245868152114795E-2</v>
      </c>
      <c r="T32">
        <f>0.9155*Table2[[#This Row],[J77'']]*Table2[[#This Row],[weight]]</f>
        <v>-0.4095269476285836</v>
      </c>
    </row>
    <row r="33" spans="1:32" x14ac:dyDescent="0.25">
      <c r="A33" t="s">
        <v>49</v>
      </c>
      <c r="B33">
        <v>10.128</v>
      </c>
      <c r="C33">
        <v>2.4900000000000002</v>
      </c>
      <c r="D33">
        <v>7.4660000000000002</v>
      </c>
      <c r="E33">
        <v>1.1379999999999999</v>
      </c>
      <c r="F33">
        <v>5.399</v>
      </c>
      <c r="G33">
        <v>1.657</v>
      </c>
      <c r="H33">
        <v>-13.443</v>
      </c>
      <c r="I33">
        <v>11.381</v>
      </c>
      <c r="J33" s="9">
        <f>chloroform!J38</f>
        <v>7.3043412281397076E-5</v>
      </c>
      <c r="K33" t="str">
        <f>chloroform!F38</f>
        <v>TH45</v>
      </c>
      <c r="M33">
        <f>0.9155*Table2[[#This Row],[J1,2]]*Table2[[#This Row],[weight]]</f>
        <v>6.7727195866097343E-4</v>
      </c>
      <c r="N33">
        <f>0.9155*Table2[[#This Row],[J2,3]]*Table2[[#This Row],[weight]]</f>
        <v>1.6650939741961137E-4</v>
      </c>
      <c r="O33">
        <f>0.9155*Table2[[#This Row],[J34]]*Table2[[#This Row],[weight]]</f>
        <v>4.9926070728305966E-4</v>
      </c>
      <c r="P33">
        <f>0.9155*Table2[[#This Row],[J45]]*Table2[[#This Row],[weight]]</f>
        <v>7.609947560783845E-5</v>
      </c>
      <c r="Q33">
        <f>0.9155*Table2[[#This Row],[J56]]*Table2[[#This Row],[weight]]</f>
        <v>3.6103784605159909E-4</v>
      </c>
      <c r="R33">
        <f>0.9155*Table2[[#This Row],[J67]]*Table2[[#This Row],[weight]]</f>
        <v>1.1080565121457672E-4</v>
      </c>
      <c r="S33">
        <f>0.9155*Table2[[#This Row],[J67'']]*Table2[[#This Row],[weight]]</f>
        <v>7.6106162732232814E-4</v>
      </c>
      <c r="T33">
        <f>0.9155*Table2[[#This Row],[J77'']]*Table2[[#This Row],[weight]]</f>
        <v>-8.9895013233407049E-4</v>
      </c>
    </row>
    <row r="34" spans="1:32" x14ac:dyDescent="0.25">
      <c r="A34" t="s">
        <v>50</v>
      </c>
      <c r="B34">
        <v>8.7379999999999995</v>
      </c>
      <c r="C34">
        <v>9.2420000000000009</v>
      </c>
      <c r="D34">
        <v>1.9810000000000001</v>
      </c>
      <c r="E34">
        <v>6.6280000000000001</v>
      </c>
      <c r="F34">
        <v>9.7420000000000009</v>
      </c>
      <c r="G34">
        <v>2.1709999999999998</v>
      </c>
      <c r="H34">
        <v>-13.757</v>
      </c>
      <c r="I34">
        <v>11.983000000000001</v>
      </c>
      <c r="J34" s="9">
        <f>chloroform!J39</f>
        <v>2.1020730544865893E-2</v>
      </c>
      <c r="K34" t="str">
        <f>chloroform!F39</f>
        <v>45TH</v>
      </c>
      <c r="M34">
        <f>0.9155*Table2[[#This Row],[J1,2]]*Table2[[#This Row],[weight]]</f>
        <v>0.16815825587520045</v>
      </c>
      <c r="N34">
        <f>0.9155*Table2[[#This Row],[J2,3]]*Table2[[#This Row],[weight]]</f>
        <v>0.17785747319736814</v>
      </c>
      <c r="O34">
        <f>0.9155*Table2[[#This Row],[J34]]*Table2[[#This Row],[weight]]</f>
        <v>3.8123312530186783E-2</v>
      </c>
      <c r="P34">
        <f>0.9155*Table2[[#This Row],[J45]]*Table2[[#This Row],[weight]]</f>
        <v>0.12755240557803027</v>
      </c>
      <c r="Q34">
        <f>0.9155*Table2[[#This Row],[J56]]*Table2[[#This Row],[weight]]</f>
        <v>0.18747971260428048</v>
      </c>
      <c r="R34">
        <f>0.9155*Table2[[#This Row],[J67]]*Table2[[#This Row],[weight]]</f>
        <v>4.1779763504813473E-2</v>
      </c>
      <c r="S34">
        <f>0.9155*Table2[[#This Row],[J67'']]*Table2[[#This Row],[weight]]</f>
        <v>0.23060658962606168</v>
      </c>
      <c r="T34">
        <f>0.9155*Table2[[#This Row],[J77'']]*Table2[[#This Row],[weight]]</f>
        <v>-0.26474629504178671</v>
      </c>
    </row>
    <row r="35" spans="1:32" x14ac:dyDescent="0.25">
      <c r="A35" t="s">
        <v>51</v>
      </c>
      <c r="B35">
        <v>8.8369999999999997</v>
      </c>
      <c r="C35">
        <v>8.4109999999999996</v>
      </c>
      <c r="D35">
        <v>3.016</v>
      </c>
      <c r="E35">
        <v>4.66</v>
      </c>
      <c r="F35">
        <v>3.0089999999999999</v>
      </c>
      <c r="G35">
        <v>13.372999999999999</v>
      </c>
      <c r="H35">
        <v>-11.494</v>
      </c>
      <c r="I35">
        <v>5.6150000000000002</v>
      </c>
      <c r="J35" s="9">
        <f>chloroform!J40</f>
        <v>8.2900781620253312E-5</v>
      </c>
      <c r="K35" t="str">
        <f>chloroform!F40</f>
        <v>12C5</v>
      </c>
      <c r="M35">
        <f>0.9155*Table2[[#This Row],[J1,2]]*Table2[[#This Row],[weight]]</f>
        <v>6.7068999667162243E-4</v>
      </c>
      <c r="N35">
        <f>0.9155*Table2[[#This Row],[J2,3]]*Table2[[#This Row],[weight]]</f>
        <v>6.3835844313737868E-4</v>
      </c>
      <c r="O35">
        <f>0.9155*Table2[[#This Row],[J34]]*Table2[[#This Row],[weight]]</f>
        <v>2.2890132736919918E-4</v>
      </c>
      <c r="P35">
        <f>0.9155*Table2[[#This Row],[J45]]*Table2[[#This Row],[weight]]</f>
        <v>3.536738015717733E-4</v>
      </c>
      <c r="Q35">
        <f>0.9155*Table2[[#This Row],[J56]]*Table2[[#This Row],[weight]]</f>
        <v>2.2837005771018579E-4</v>
      </c>
      <c r="R35">
        <f>0.9155*Table2[[#This Row],[J67]]*Table2[[#This Row],[weight]]</f>
        <v>1.0149527357123011E-3</v>
      </c>
      <c r="S35">
        <f>0.9155*Table2[[#This Row],[J67'']]*Table2[[#This Row],[weight]]</f>
        <v>4.2615416219431482E-4</v>
      </c>
      <c r="T35">
        <f>0.9155*Table2[[#This Row],[J77'']]*Table2[[#This Row],[weight]]</f>
        <v>-8.7234478009999192E-4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t="s">
        <v>117</v>
      </c>
      <c r="B36">
        <v>8.702</v>
      </c>
      <c r="C36">
        <v>2.25</v>
      </c>
      <c r="D36">
        <v>11.945</v>
      </c>
      <c r="E36">
        <v>9.3260000000000005</v>
      </c>
      <c r="F36">
        <v>0.246</v>
      </c>
      <c r="G36">
        <v>13.015000000000001</v>
      </c>
      <c r="H36">
        <v>-11.965999999999999</v>
      </c>
      <c r="I36">
        <v>5.1390000000000002</v>
      </c>
      <c r="J36" s="9">
        <f>chloroform!J41</f>
        <v>0</v>
      </c>
      <c r="K36" t="str">
        <f>chloroform!F41</f>
        <v>6H4</v>
      </c>
      <c r="M36">
        <f>0.9155*Table2[[#This Row],[J1,2]]*Table2[[#This Row],[weight]]</f>
        <v>0</v>
      </c>
      <c r="N36">
        <f>0.9155*Table2[[#This Row],[J2,3]]*Table2[[#This Row],[weight]]</f>
        <v>0</v>
      </c>
      <c r="O36">
        <f>0.9155*Table2[[#This Row],[J34]]*Table2[[#This Row],[weight]]</f>
        <v>0</v>
      </c>
      <c r="P36">
        <f>0.9155*Table2[[#This Row],[J45]]*Table2[[#This Row],[weight]]</f>
        <v>0</v>
      </c>
      <c r="Q36">
        <f>0.9155*Table2[[#This Row],[J56]]*Table2[[#This Row],[weight]]</f>
        <v>0</v>
      </c>
      <c r="R36">
        <f>0.9155*Table2[[#This Row],[J67]]*Table2[[#This Row],[weight]]</f>
        <v>0</v>
      </c>
      <c r="S36">
        <f>0.9155*Table2[[#This Row],[J67'']]*Table2[[#This Row],[weight]]</f>
        <v>0</v>
      </c>
      <c r="T36">
        <f>0.9155*Table2[[#This Row],[J77'']]*Table2[[#This Row],[weight]]</f>
        <v>0</v>
      </c>
    </row>
    <row r="37" spans="1:32" x14ac:dyDescent="0.25">
      <c r="A37" t="s">
        <v>118</v>
      </c>
      <c r="B37">
        <v>9.5169999999999995</v>
      </c>
      <c r="C37">
        <v>3.0920000000000001</v>
      </c>
      <c r="D37">
        <v>8.1379999999999999</v>
      </c>
      <c r="E37">
        <v>1.3149999999999999</v>
      </c>
      <c r="F37">
        <v>4.7270000000000003</v>
      </c>
      <c r="G37">
        <v>13.472</v>
      </c>
      <c r="H37">
        <v>-12.326000000000001</v>
      </c>
      <c r="I37">
        <v>4.0449999999999999</v>
      </c>
      <c r="J37" s="9">
        <f>chloroform!J42</f>
        <v>0</v>
      </c>
      <c r="K37" t="str">
        <f>chloroform!F42</f>
        <v>TH45</v>
      </c>
      <c r="M37">
        <f>0.9155*Table2[[#This Row],[J1,2]]*Table2[[#This Row],[weight]]</f>
        <v>0</v>
      </c>
      <c r="N37">
        <f>0.9155*Table2[[#This Row],[J2,3]]*Table2[[#This Row],[weight]]</f>
        <v>0</v>
      </c>
      <c r="O37">
        <f>0.9155*Table2[[#This Row],[J34]]*Table2[[#This Row],[weight]]</f>
        <v>0</v>
      </c>
      <c r="P37">
        <f>0.9155*Table2[[#This Row],[J45]]*Table2[[#This Row],[weight]]</f>
        <v>0</v>
      </c>
      <c r="Q37">
        <f>0.9155*Table2[[#This Row],[J56]]*Table2[[#This Row],[weight]]</f>
        <v>0</v>
      </c>
      <c r="R37">
        <f>0.9155*Table2[[#This Row],[J67]]*Table2[[#This Row],[weight]]</f>
        <v>0</v>
      </c>
      <c r="S37">
        <f>0.9155*Table2[[#This Row],[J67'']]*Table2[[#This Row],[weight]]</f>
        <v>0</v>
      </c>
      <c r="T37">
        <f>0.9155*Table2[[#This Row],[J77'']]*Table2[[#This Row],[weight]]</f>
        <v>0</v>
      </c>
    </row>
    <row r="38" spans="1:32" x14ac:dyDescent="0.25">
      <c r="A38" t="s">
        <v>52</v>
      </c>
      <c r="B38">
        <v>7.7990000000000004</v>
      </c>
      <c r="C38">
        <v>2.762</v>
      </c>
      <c r="D38">
        <v>10.648</v>
      </c>
      <c r="E38">
        <v>10.943</v>
      </c>
      <c r="F38">
        <v>10.845000000000001</v>
      </c>
      <c r="G38">
        <v>2.3780000000000001</v>
      </c>
      <c r="H38">
        <v>-12.177</v>
      </c>
      <c r="I38">
        <v>11.22</v>
      </c>
      <c r="J38" s="9">
        <f>chloroform!J43</f>
        <v>2.7229119744419213E-2</v>
      </c>
      <c r="K38" t="str">
        <f>chloroform!F43</f>
        <v>5C12</v>
      </c>
      <c r="M38">
        <f>0.9155*Table2[[#This Row],[J1,2]]*Table2[[#This Row],[weight]]</f>
        <v>0.19441549292379717</v>
      </c>
      <c r="N38">
        <f>0.9155*Table2[[#This Row],[J2,3]]*Table2[[#This Row],[weight]]</f>
        <v>6.8851851706055622E-2</v>
      </c>
      <c r="O38">
        <f>0.9155*Table2[[#This Row],[J34]]*Table2[[#This Row],[weight]]</f>
        <v>0.26543610317381611</v>
      </c>
      <c r="P38">
        <f>0.9155*Table2[[#This Row],[J45]]*Table2[[#This Row],[weight]]</f>
        <v>0.27278993961599074</v>
      </c>
      <c r="Q38">
        <f>0.9155*Table2[[#This Row],[J56]]*Table2[[#This Row],[weight]]</f>
        <v>0.27034697022164123</v>
      </c>
      <c r="R38">
        <f>0.9155*Table2[[#This Row],[J67]]*Table2[[#This Row],[weight]]</f>
        <v>5.9279400201665541E-2</v>
      </c>
      <c r="S38">
        <f>0.9155*Table2[[#This Row],[J67'']]*Table2[[#This Row],[weight]]</f>
        <v>0.27969506739389716</v>
      </c>
      <c r="T38">
        <f>0.9155*Table2[[#This Row],[J77'']]*Table2[[#This Row],[weight]]</f>
        <v>-0.30355141137749425</v>
      </c>
    </row>
    <row r="39" spans="1:32" x14ac:dyDescent="0.25">
      <c r="A39" t="s">
        <v>100</v>
      </c>
      <c r="B39">
        <v>9.0850000000000009</v>
      </c>
      <c r="C39">
        <v>9.5449999999999999</v>
      </c>
      <c r="D39">
        <v>0.57099999999999995</v>
      </c>
      <c r="E39">
        <v>11.364000000000001</v>
      </c>
      <c r="F39">
        <v>8.36</v>
      </c>
      <c r="G39">
        <v>10.76</v>
      </c>
      <c r="H39">
        <v>-11.877000000000001</v>
      </c>
      <c r="I39">
        <v>2.859</v>
      </c>
      <c r="J39" s="9">
        <f>chloroform!J44</f>
        <v>0</v>
      </c>
      <c r="K39" t="str">
        <f>chloroform!F44</f>
        <v>45TH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</row>
    <row r="40" spans="1:32" x14ac:dyDescent="0.25">
      <c r="A40" t="s">
        <v>101</v>
      </c>
      <c r="B40">
        <v>9.1489999999999991</v>
      </c>
      <c r="C40">
        <v>1.9339999999999999</v>
      </c>
      <c r="D40">
        <v>12.611000000000001</v>
      </c>
      <c r="E40">
        <v>7.7530000000000001</v>
      </c>
      <c r="F40">
        <v>0.96599999999999997</v>
      </c>
      <c r="G40">
        <v>13.769</v>
      </c>
      <c r="H40">
        <v>-13.135999999999999</v>
      </c>
      <c r="I40">
        <v>6.9930000000000003</v>
      </c>
      <c r="J40" s="9">
        <f>chloroform!J45</f>
        <v>0</v>
      </c>
      <c r="K40" t="str">
        <f>chloroform!F45</f>
        <v>6H4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</row>
    <row r="41" spans="1:32" x14ac:dyDescent="0.25">
      <c r="A41" t="s">
        <v>102</v>
      </c>
      <c r="B41">
        <v>9.8740000000000006</v>
      </c>
      <c r="C41">
        <v>7.056</v>
      </c>
      <c r="D41">
        <v>2.3149999999999999</v>
      </c>
      <c r="E41">
        <v>6.423</v>
      </c>
      <c r="F41">
        <v>3.3010000000000002</v>
      </c>
      <c r="G41">
        <v>13.672000000000001</v>
      </c>
      <c r="H41">
        <v>-11.84</v>
      </c>
      <c r="I41">
        <v>6.2759999999999998</v>
      </c>
      <c r="J41" s="9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</row>
    <row r="42" spans="1:32" x14ac:dyDescent="0.25">
      <c r="A42" t="s">
        <v>53</v>
      </c>
      <c r="B42">
        <v>8.64</v>
      </c>
      <c r="C42">
        <v>9.8789999999999996</v>
      </c>
      <c r="D42">
        <v>2.214</v>
      </c>
      <c r="E42">
        <v>6.4930000000000003</v>
      </c>
      <c r="F42">
        <v>9.8849999999999998</v>
      </c>
      <c r="G42">
        <v>2.7589999999999999</v>
      </c>
      <c r="H42">
        <v>-12.823</v>
      </c>
      <c r="I42">
        <v>11.991</v>
      </c>
      <c r="J42" s="9">
        <f>chloroform!J47</f>
        <v>9.9563621398811759E-3</v>
      </c>
      <c r="K42" t="str">
        <f>chloroform!F47</f>
        <v>45TH</v>
      </c>
      <c r="M42">
        <f>0.9155*Table2[[#This Row],[J1,2]]*Table2[[#This Row],[weight]]</f>
        <v>7.8754028017488917E-2</v>
      </c>
      <c r="N42">
        <f>0.9155*Table2[[#This Row],[J2,3]]*Table2[[#This Row],[weight]]</f>
        <v>9.0047574396385749E-2</v>
      </c>
      <c r="O42">
        <f>0.9155*Table2[[#This Row],[J34]]*Table2[[#This Row],[weight]]</f>
        <v>2.0180719679481533E-2</v>
      </c>
      <c r="P42">
        <f>0.9155*Table2[[#This Row],[J45]]*Table2[[#This Row],[weight]]</f>
        <v>5.9184016657124479E-2</v>
      </c>
      <c r="Q42">
        <f>0.9155*Table2[[#This Row],[J56]]*Table2[[#This Row],[weight]]</f>
        <v>9.0102264693620121E-2</v>
      </c>
      <c r="R42">
        <f>0.9155*Table2[[#This Row],[J67]]*Table2[[#This Row],[weight]]</f>
        <v>2.5148421678269896E-2</v>
      </c>
      <c r="S42">
        <f>0.9155*Table2[[#This Row],[J67'']]*Table2[[#This Row],[weight]]</f>
        <v>0.10929855902288303</v>
      </c>
      <c r="T42">
        <f>0.9155*Table2[[#This Row],[J77'']]*Table2[[#This Row],[weight]]</f>
        <v>-0.11688228023938198</v>
      </c>
    </row>
    <row r="43" spans="1:32" x14ac:dyDescent="0.25">
      <c r="A43" t="s">
        <v>54</v>
      </c>
      <c r="B43">
        <v>7.6660000000000004</v>
      </c>
      <c r="C43">
        <v>2.8330000000000002</v>
      </c>
      <c r="D43">
        <v>10.426</v>
      </c>
      <c r="E43">
        <v>10.933</v>
      </c>
      <c r="F43">
        <v>10.318</v>
      </c>
      <c r="G43">
        <v>1.1659999999999999</v>
      </c>
      <c r="H43">
        <v>-14.012</v>
      </c>
      <c r="I43">
        <v>3.1669999999999998</v>
      </c>
      <c r="J43" s="9">
        <f>chloroform!J48</f>
        <v>8.797775676616489E-4</v>
      </c>
      <c r="K43" t="str">
        <f>chloroform!F48</f>
        <v>5C12</v>
      </c>
      <c r="M43">
        <f>0.9155*Table2[[#This Row],[J1,2]]*Table2[[#This Row],[weight]]</f>
        <v>6.17447516024704E-3</v>
      </c>
      <c r="N43">
        <f>0.9155*Table2[[#This Row],[J2,3]]*Table2[[#This Row],[weight]]</f>
        <v>2.2818012169292809E-3</v>
      </c>
      <c r="O43">
        <f>0.9155*Table2[[#This Row],[J34]]*Table2[[#This Row],[weight]]</f>
        <v>8.3974795226631413E-3</v>
      </c>
      <c r="P43">
        <f>0.9155*Table2[[#This Row],[J45]]*Table2[[#This Row],[weight]]</f>
        <v>8.8058357588026211E-3</v>
      </c>
      <c r="Q43">
        <f>0.9155*Table2[[#This Row],[J56]]*Table2[[#This Row],[weight]]</f>
        <v>8.3104923954381623E-3</v>
      </c>
      <c r="R43">
        <f>0.9155*Table2[[#This Row],[J67]]*Table2[[#This Row],[weight]]</f>
        <v>9.3913879948448323E-4</v>
      </c>
      <c r="S43">
        <f>0.9155*Table2[[#This Row],[J67'']]*Table2[[#This Row],[weight]]</f>
        <v>2.5508169622361567E-3</v>
      </c>
      <c r="T43">
        <f>0.9155*Table2[[#This Row],[J77'']]*Table2[[#This Row],[weight]]</f>
        <v>-1.1285774321077685E-2</v>
      </c>
    </row>
    <row r="44" spans="1:32" x14ac:dyDescent="0.25">
      <c r="A44" t="s">
        <v>97</v>
      </c>
      <c r="B44">
        <v>5.9850000000000003</v>
      </c>
      <c r="C44">
        <v>5.6429999999999998</v>
      </c>
      <c r="D44">
        <v>8.7949999999999999</v>
      </c>
      <c r="E44">
        <v>1.976</v>
      </c>
      <c r="F44">
        <v>0.36399999999999999</v>
      </c>
      <c r="G44">
        <v>12.02</v>
      </c>
      <c r="H44">
        <v>-11.138</v>
      </c>
      <c r="I44">
        <v>5.085</v>
      </c>
      <c r="J44" s="9">
        <f>chloroform!J49</f>
        <v>0</v>
      </c>
      <c r="K44" t="str">
        <f>chloroform!F49</f>
        <v>125B</v>
      </c>
      <c r="M44">
        <f>0.9155*Table2[[#This Row],[J1,2]]*Table2[[#This Row],[weight]]</f>
        <v>0</v>
      </c>
      <c r="N44">
        <f>0.9155*Table2[[#This Row],[J2,3]]*Table2[[#This Row],[weight]]</f>
        <v>0</v>
      </c>
      <c r="O44">
        <f>0.9155*Table2[[#This Row],[J34]]*Table2[[#This Row],[weight]]</f>
        <v>0</v>
      </c>
      <c r="P44">
        <f>0.9155*Table2[[#This Row],[J45]]*Table2[[#This Row],[weight]]</f>
        <v>0</v>
      </c>
      <c r="Q44">
        <f>0.9155*Table2[[#This Row],[J56]]*Table2[[#This Row],[weight]]</f>
        <v>0</v>
      </c>
      <c r="R44">
        <f>0.9155*Table2[[#This Row],[J67]]*Table2[[#This Row],[weight]]</f>
        <v>0</v>
      </c>
      <c r="S44">
        <f>0.9155*Table2[[#This Row],[J67'']]*Table2[[#This Row],[weight]]</f>
        <v>0</v>
      </c>
      <c r="T44">
        <f>0.9155*Table2[[#This Row],[J77'']]*Table2[[#This Row],[weight]]</f>
        <v>0</v>
      </c>
    </row>
    <row r="45" spans="1:32" x14ac:dyDescent="0.25">
      <c r="A45" t="s">
        <v>55</v>
      </c>
      <c r="B45">
        <v>8.7850000000000001</v>
      </c>
      <c r="C45">
        <v>8.4290000000000003</v>
      </c>
      <c r="D45">
        <v>2.8820000000000001</v>
      </c>
      <c r="E45">
        <v>4.6180000000000003</v>
      </c>
      <c r="F45">
        <v>3.1150000000000002</v>
      </c>
      <c r="G45">
        <v>1.4770000000000001</v>
      </c>
      <c r="H45">
        <v>-13.055</v>
      </c>
      <c r="I45">
        <v>10.795</v>
      </c>
      <c r="J45" s="9">
        <f>chloroform!J50</f>
        <v>4.0926614405763966E-4</v>
      </c>
      <c r="K45" t="str">
        <f>chloroform!F50</f>
        <v>12C5</v>
      </c>
      <c r="M45">
        <f>0.9155*Table2[[#This Row],[J1,2]]*Table2[[#This Row],[weight]]</f>
        <v>3.2915915156626965E-3</v>
      </c>
      <c r="N45">
        <f>0.9155*Table2[[#This Row],[J2,3]]*Table2[[#This Row],[weight]]</f>
        <v>3.1582043125237187E-3</v>
      </c>
      <c r="O45">
        <f>0.9155*Table2[[#This Row],[J34]]*Table2[[#This Row],[weight]]</f>
        <v>1.0798368523779046E-3</v>
      </c>
      <c r="P45">
        <f>0.9155*Table2[[#This Row],[J45]]*Table2[[#This Row],[weight]]</f>
        <v>1.7302868092578638E-3</v>
      </c>
      <c r="Q45">
        <f>0.9155*Table2[[#This Row],[J56]]*Table2[[#This Row],[weight]]</f>
        <v>1.1671380274660558E-3</v>
      </c>
      <c r="R45">
        <f>0.9155*Table2[[#This Row],[J67]]*Table2[[#This Row],[weight]]</f>
        <v>5.5340701976480395E-4</v>
      </c>
      <c r="S45">
        <f>0.9155*Table2[[#This Row],[J67'']]*Table2[[#This Row],[weight]]</f>
        <v>4.044704656981082E-3</v>
      </c>
      <c r="T45">
        <f>0.9155*Table2[[#This Row],[J77'']]*Table2[[#This Row],[weight]]</f>
        <v>-4.8914885870206606E-3</v>
      </c>
    </row>
    <row r="46" spans="1:32" x14ac:dyDescent="0.25">
      <c r="A46" t="s">
        <v>56</v>
      </c>
      <c r="B46">
        <v>7.5209999999999999</v>
      </c>
      <c r="C46">
        <v>5.6260000000000003</v>
      </c>
      <c r="D46">
        <v>10.598000000000001</v>
      </c>
      <c r="E46">
        <v>11.972</v>
      </c>
      <c r="F46">
        <v>8.2460000000000004</v>
      </c>
      <c r="G46">
        <v>1.1339999999999999</v>
      </c>
      <c r="H46">
        <v>-13.877000000000001</v>
      </c>
      <c r="I46">
        <v>10.268000000000001</v>
      </c>
      <c r="J46" s="9">
        <f>chloroform!J51</f>
        <v>3.2689873553548628E-3</v>
      </c>
      <c r="K46" t="str">
        <f>chloroform!F51</f>
        <v>56TH</v>
      </c>
      <c r="M46">
        <f>0.9155*Table2[[#This Row],[J1,2]]*Table2[[#This Row],[weight]]</f>
        <v>2.2508532345105702E-2</v>
      </c>
      <c r="N46">
        <f>0.9155*Table2[[#This Row],[J2,3]]*Table2[[#This Row],[weight]]</f>
        <v>1.6837256079452825E-2</v>
      </c>
      <c r="O46">
        <f>0.9155*Table2[[#This Row],[J34]]*Table2[[#This Row],[weight]]</f>
        <v>3.171724847672254E-2</v>
      </c>
      <c r="P46">
        <f>0.9155*Table2[[#This Row],[J45]]*Table2[[#This Row],[weight]]</f>
        <v>3.5829297864061353E-2</v>
      </c>
      <c r="Q46">
        <f>0.9155*Table2[[#This Row],[J56]]*Table2[[#This Row],[weight]]</f>
        <v>2.467828183988055E-2</v>
      </c>
      <c r="R46">
        <f>0.9155*Table2[[#This Row],[J67]]*Table2[[#This Row],[weight]]</f>
        <v>3.3937874856202451E-3</v>
      </c>
      <c r="S46">
        <f>0.9155*Table2[[#This Row],[J67'']]*Table2[[#This Row],[weight]]</f>
        <v>3.0729638361859508E-2</v>
      </c>
      <c r="T46">
        <f>0.9155*Table2[[#This Row],[J77'']]*Table2[[#This Row],[weight]]</f>
        <v>-4.1530501708952512E-2</v>
      </c>
    </row>
    <row r="47" spans="1:32" x14ac:dyDescent="0.25">
      <c r="A47" t="s">
        <v>119</v>
      </c>
      <c r="B47">
        <v>9.2170000000000005</v>
      </c>
      <c r="C47">
        <v>2.9079999999999999</v>
      </c>
      <c r="D47">
        <v>8.8650000000000002</v>
      </c>
      <c r="E47">
        <v>11.67</v>
      </c>
      <c r="F47">
        <v>9.6069999999999993</v>
      </c>
      <c r="G47">
        <v>2.4870000000000001</v>
      </c>
      <c r="H47">
        <v>-11.984</v>
      </c>
      <c r="I47">
        <v>11.439</v>
      </c>
      <c r="J47" s="9">
        <f>chloroform!J52</f>
        <v>1.1479041648005052E-3</v>
      </c>
      <c r="K47" t="str">
        <f>chloroform!F52</f>
        <v>5C12</v>
      </c>
      <c r="M47">
        <f>0.9155*Table2[[#This Row],[J1,2]]*Table2[[#This Row],[weight]]</f>
        <v>9.686203024917607E-3</v>
      </c>
      <c r="N47">
        <f>0.9155*Table2[[#This Row],[J2,3]]*Table2[[#This Row],[weight]]</f>
        <v>3.0560354124401002E-3</v>
      </c>
      <c r="O47">
        <f>0.9155*Table2[[#This Row],[J34]]*Table2[[#This Row],[weight]]</f>
        <v>9.316284020385656E-3</v>
      </c>
      <c r="P47">
        <f>0.9155*Table2[[#This Row],[J45]]*Table2[[#This Row],[weight]]</f>
        <v>1.2264076087749645E-2</v>
      </c>
      <c r="Q47">
        <f>0.9155*Table2[[#This Row],[J56]]*Table2[[#This Row],[weight]]</f>
        <v>1.0096056467438804E-2</v>
      </c>
      <c r="R47">
        <f>0.9155*Table2[[#This Row],[J67]]*Table2[[#This Row],[weight]]</f>
        <v>2.613603875769783E-3</v>
      </c>
      <c r="S47">
        <f>0.9155*Table2[[#This Row],[J67'']]*Table2[[#This Row],[weight]]</f>
        <v>1.2021316741025552E-2</v>
      </c>
      <c r="T47">
        <f>0.9155*Table2[[#This Row],[J77'']]*Table2[[#This Row],[weight]]</f>
        <v>-1.2594060654292352E-2</v>
      </c>
    </row>
    <row r="48" spans="1:32" x14ac:dyDescent="0.25">
      <c r="A48" t="s">
        <v>57</v>
      </c>
      <c r="B48">
        <v>8.0269999999999992</v>
      </c>
      <c r="C48">
        <v>2.6429999999999998</v>
      </c>
      <c r="D48">
        <v>10.698</v>
      </c>
      <c r="E48">
        <v>11.201000000000001</v>
      </c>
      <c r="F48">
        <v>10.691000000000001</v>
      </c>
      <c r="G48">
        <v>10.593</v>
      </c>
      <c r="H48">
        <v>-11.935</v>
      </c>
      <c r="I48">
        <v>2.339</v>
      </c>
      <c r="J48" s="9">
        <f>chloroform!J53</f>
        <v>6.897703231285998E-3</v>
      </c>
      <c r="K48" t="str">
        <f>chloroform!F53</f>
        <v>5C12</v>
      </c>
      <c r="M48">
        <f>0.9155*Table2[[#This Row],[J1,2]]*Table2[[#This Row],[weight]]</f>
        <v>5.0689279343261187E-2</v>
      </c>
      <c r="N48">
        <f>0.9155*Table2[[#This Row],[J2,3]]*Table2[[#This Row],[weight]]</f>
        <v>1.669014143568448E-2</v>
      </c>
      <c r="O48">
        <f>0.9155*Table2[[#This Row],[J34]]*Table2[[#This Row],[weight]]</f>
        <v>6.7556236503576464E-2</v>
      </c>
      <c r="P48">
        <f>0.9155*Table2[[#This Row],[J45]]*Table2[[#This Row],[weight]]</f>
        <v>7.0732604699622351E-2</v>
      </c>
      <c r="Q48">
        <f>0.9155*Table2[[#This Row],[J56]]*Table2[[#This Row],[weight]]</f>
        <v>6.7512032572418765E-2</v>
      </c>
      <c r="R48">
        <f>0.9155*Table2[[#This Row],[J67]]*Table2[[#This Row],[weight]]</f>
        <v>6.6893177536211004E-2</v>
      </c>
      <c r="S48">
        <f>0.9155*Table2[[#This Row],[J67'']]*Table2[[#This Row],[weight]]</f>
        <v>1.4770427853978812E-2</v>
      </c>
      <c r="T48">
        <f>0.9155*Table2[[#This Row],[J77'']]*Table2[[#This Row],[weight]]</f>
        <v>-7.5367702623872226E-2</v>
      </c>
    </row>
    <row r="49" spans="1:30" x14ac:dyDescent="0.25">
      <c r="A49" t="s">
        <v>58</v>
      </c>
      <c r="B49">
        <v>9.1750000000000007</v>
      </c>
      <c r="C49">
        <v>9.5269999999999992</v>
      </c>
      <c r="D49">
        <v>0.54200000000000004</v>
      </c>
      <c r="E49">
        <v>10.262</v>
      </c>
      <c r="F49">
        <v>8.2810000000000006</v>
      </c>
      <c r="G49">
        <v>10.746</v>
      </c>
      <c r="H49">
        <v>-12.188000000000001</v>
      </c>
      <c r="I49">
        <v>1.93</v>
      </c>
      <c r="J49" s="9">
        <f>chloroform!J54</f>
        <v>8.4696381353338763E-5</v>
      </c>
      <c r="K49" t="str">
        <f>chloroform!F54</f>
        <v>45TH</v>
      </c>
      <c r="M49">
        <f>0.9155*Table2[[#This Row],[J1,2]]*Table2[[#This Row],[weight]]</f>
        <v>7.1142525315840647E-4</v>
      </c>
      <c r="N49">
        <f>0.9155*Table2[[#This Row],[J2,3]]*Table2[[#This Row],[weight]]</f>
        <v>7.3871917022780796E-4</v>
      </c>
      <c r="O49">
        <f>0.9155*Table2[[#This Row],[J34]]*Table2[[#This Row],[weight]]</f>
        <v>4.2026429123908046E-5</v>
      </c>
      <c r="P49">
        <f>0.9155*Table2[[#This Row],[J45]]*Table2[[#This Row],[weight]]</f>
        <v>7.9571073001760966E-4</v>
      </c>
      <c r="Q49">
        <f>0.9155*Table2[[#This Row],[J56]]*Table2[[#This Row],[weight]]</f>
        <v>6.42104906965097E-4</v>
      </c>
      <c r="R49">
        <f>0.9155*Table2[[#This Row],[J67]]*Table2[[#This Row],[weight]]</f>
        <v>8.3323986598803665E-4</v>
      </c>
      <c r="S49">
        <f>0.9155*Table2[[#This Row],[J67'']]*Table2[[#This Row],[weight]]</f>
        <v>1.4965130665893457E-4</v>
      </c>
      <c r="T49">
        <f>0.9155*Table2[[#This Row],[J77'']]*Table2[[#This Row],[weight]]</f>
        <v>-9.4505187852802835E-4</v>
      </c>
    </row>
    <row r="50" spans="1:30" x14ac:dyDescent="0.25">
      <c r="A50" t="s">
        <v>59</v>
      </c>
      <c r="B50">
        <v>9.0779999999999994</v>
      </c>
      <c r="C50">
        <v>7.86</v>
      </c>
      <c r="D50">
        <v>2.5150000000000001</v>
      </c>
      <c r="E50">
        <v>4.6379999999999999</v>
      </c>
      <c r="F50">
        <v>3.2290000000000001</v>
      </c>
      <c r="G50">
        <v>13.443</v>
      </c>
      <c r="H50">
        <v>-11.587999999999999</v>
      </c>
      <c r="I50">
        <v>5.28</v>
      </c>
      <c r="J50" s="9">
        <f>chloroform!J55</f>
        <v>8.7368604714424999E-5</v>
      </c>
      <c r="K50" t="str">
        <f>chloroform!F55</f>
        <v>12C5</v>
      </c>
      <c r="M50">
        <f>0.9155*Table2[[#This Row],[J1,2]]*Table2[[#This Row],[weight]]</f>
        <v>7.2611252323855709E-4</v>
      </c>
      <c r="N50">
        <f>0.9155*Table2[[#This Row],[J2,3]]*Table2[[#This Row],[weight]]</f>
        <v>6.286896268622008E-4</v>
      </c>
      <c r="O50">
        <f>0.9155*Table2[[#This Row],[J34]]*Table2[[#This Row],[weight]]</f>
        <v>2.0116468340438106E-4</v>
      </c>
      <c r="P50">
        <f>0.9155*Table2[[#This Row],[J45]]*Table2[[#This Row],[weight]]</f>
        <v>3.7097487142326812E-4</v>
      </c>
      <c r="Q50">
        <f>0.9155*Table2[[#This Row],[J56]]*Table2[[#This Row],[weight]]</f>
        <v>2.5827465714224509E-4</v>
      </c>
      <c r="R50">
        <f>0.9155*Table2[[#This Row],[J67]]*Table2[[#This Row],[weight]]</f>
        <v>1.0752512282326419E-3</v>
      </c>
      <c r="S50">
        <f>0.9155*Table2[[#This Row],[J67'']]*Table2[[#This Row],[weight]]</f>
        <v>4.2232585621277617E-4</v>
      </c>
      <c r="T50">
        <f>0.9155*Table2[[#This Row],[J77'']]*Table2[[#This Row],[weight]]</f>
        <v>-9.2687727685485783E-4</v>
      </c>
    </row>
    <row r="51" spans="1:30" x14ac:dyDescent="0.25">
      <c r="A51" t="s">
        <v>60</v>
      </c>
      <c r="B51">
        <v>9.1660000000000004</v>
      </c>
      <c r="C51">
        <v>7.9160000000000004</v>
      </c>
      <c r="D51">
        <v>2.9239999999999999</v>
      </c>
      <c r="E51">
        <v>5.0010000000000003</v>
      </c>
      <c r="F51">
        <v>2.9750000000000001</v>
      </c>
      <c r="G51">
        <v>13.638999999999999</v>
      </c>
      <c r="H51">
        <v>-11.439</v>
      </c>
      <c r="I51">
        <v>5.4489999999999998</v>
      </c>
      <c r="J51" s="9">
        <f>chloroform!J56</f>
        <v>2.6010177331636683E-4</v>
      </c>
      <c r="K51" t="str">
        <f>chloroform!F56</f>
        <v>5C12</v>
      </c>
      <c r="M51">
        <f>0.9155*Table2[[#This Row],[J1,2]]*Table2[[#This Row],[weight]]</f>
        <v>2.1826370080364125E-3</v>
      </c>
      <c r="N51">
        <f>0.9155*Table2[[#This Row],[J2,3]]*Table2[[#This Row],[weight]]</f>
        <v>1.8849830411974955E-3</v>
      </c>
      <c r="O51">
        <f>0.9155*Table2[[#This Row],[J34]]*Table2[[#This Row],[weight]]</f>
        <v>6.9627215922959528E-4</v>
      </c>
      <c r="P51">
        <f>0.9155*Table2[[#This Row],[J45]]*Table2[[#This Row],[weight]]</f>
        <v>1.1908539905291404E-3</v>
      </c>
      <c r="Q51">
        <f>0.9155*Table2[[#This Row],[J56]]*Table2[[#This Row],[weight]]</f>
        <v>7.0841644107662316E-4</v>
      </c>
      <c r="R51">
        <f>0.9155*Table2[[#This Row],[J67]]*Table2[[#This Row],[weight]]</f>
        <v>3.247761962972794E-3</v>
      </c>
      <c r="S51">
        <f>0.9155*Table2[[#This Row],[J67'']]*Table2[[#This Row],[weight]]</f>
        <v>1.2975331722442083E-3</v>
      </c>
      <c r="T51">
        <f>0.9155*Table2[[#This Row],[J77'']]*Table2[[#This Row],[weight]]</f>
        <v>-2.7238909813362996E-3</v>
      </c>
      <c r="AA51" s="5"/>
      <c r="AB51" s="5"/>
      <c r="AC51" s="5"/>
      <c r="AD51" s="5"/>
    </row>
    <row r="52" spans="1:30" x14ac:dyDescent="0.25">
      <c r="A52" t="s">
        <v>61</v>
      </c>
      <c r="B52">
        <v>9.4510000000000005</v>
      </c>
      <c r="C52">
        <v>3.4449999999999998</v>
      </c>
      <c r="D52">
        <v>8.2680000000000007</v>
      </c>
      <c r="E52">
        <v>11.887</v>
      </c>
      <c r="F52">
        <v>9.0549999999999997</v>
      </c>
      <c r="G52">
        <v>2.238</v>
      </c>
      <c r="H52">
        <v>-13.509</v>
      </c>
      <c r="I52">
        <v>12.182</v>
      </c>
      <c r="J52" s="9">
        <f>chloroform!J57</f>
        <v>1.488423496675755E-3</v>
      </c>
      <c r="K52" t="str">
        <f>chloroform!F57</f>
        <v>5C12</v>
      </c>
      <c r="M52">
        <f>0.9155*Table2[[#This Row],[J1,2]]*Table2[[#This Row],[weight]]</f>
        <v>1.2878421322614086E-2</v>
      </c>
      <c r="N52">
        <f>0.9155*Table2[[#This Row],[J2,3]]*Table2[[#This Row],[weight]]</f>
        <v>4.6943351451069213E-3</v>
      </c>
      <c r="O52">
        <f>0.9155*Table2[[#This Row],[J34]]*Table2[[#This Row],[weight]]</f>
        <v>1.1266404348256613E-2</v>
      </c>
      <c r="P52">
        <f>0.9155*Table2[[#This Row],[J45]]*Table2[[#This Row],[weight]]</f>
        <v>1.6197840891113494E-2</v>
      </c>
      <c r="Q52">
        <f>0.9155*Table2[[#This Row],[J56]]*Table2[[#This Row],[weight]]</f>
        <v>1.2338811244976249E-2</v>
      </c>
      <c r="R52">
        <f>0.9155*Table2[[#This Row],[J67]]*Table2[[#This Row],[weight]]</f>
        <v>3.0496145296804908E-3</v>
      </c>
      <c r="S52">
        <f>0.9155*Table2[[#This Row],[J67'']]*Table2[[#This Row],[weight]]</f>
        <v>1.6599823145919457E-2</v>
      </c>
      <c r="T52">
        <f>0.9155*Table2[[#This Row],[J77'']]*Table2[[#This Row],[weight]]</f>
        <v>-1.8408061966690686E-2</v>
      </c>
    </row>
    <row r="53" spans="1:30" x14ac:dyDescent="0.25">
      <c r="A53" t="s">
        <v>62</v>
      </c>
      <c r="B53">
        <v>9.0540000000000003</v>
      </c>
      <c r="C53">
        <v>7.96</v>
      </c>
      <c r="D53">
        <v>2.5990000000000002</v>
      </c>
      <c r="E53">
        <v>4.9560000000000004</v>
      </c>
      <c r="F53">
        <v>3.4620000000000002</v>
      </c>
      <c r="G53">
        <v>1.2809999999999999</v>
      </c>
      <c r="H53">
        <v>-14.5</v>
      </c>
      <c r="I53">
        <v>11.343</v>
      </c>
      <c r="J53" s="9">
        <f>chloroform!J58</f>
        <v>3.1252425246208461E-4</v>
      </c>
      <c r="K53" t="str">
        <f>chloroform!F58</f>
        <v>12C5</v>
      </c>
      <c r="M53">
        <f>0.9155*Table2[[#This Row],[J1,2]]*Table2[[#This Row],[weight]]</f>
        <v>2.5904938396303146E-3</v>
      </c>
      <c r="N53">
        <f>0.9155*Table2[[#This Row],[J2,3]]*Table2[[#This Row],[weight]]</f>
        <v>2.2774829869071462E-3</v>
      </c>
      <c r="O53">
        <f>0.9155*Table2[[#This Row],[J34]]*Table2[[#This Row],[weight]]</f>
        <v>7.43615362182371E-4</v>
      </c>
      <c r="P53">
        <f>0.9155*Table2[[#This Row],[J45]]*Table2[[#This Row],[weight]]</f>
        <v>1.4179906637075146E-3</v>
      </c>
      <c r="Q53">
        <f>0.9155*Table2[[#This Row],[J56]]*Table2[[#This Row],[weight]]</f>
        <v>9.9053342973273121E-4</v>
      </c>
      <c r="R53">
        <f>0.9155*Table2[[#This Row],[J67]]*Table2[[#This Row],[weight]]</f>
        <v>3.6651453595829822E-4</v>
      </c>
      <c r="S53">
        <f>0.9155*Table2[[#This Row],[J67'']]*Table2[[#This Row],[weight]]</f>
        <v>3.2454132563426831E-3</v>
      </c>
      <c r="T53">
        <f>0.9155*Table2[[#This Row],[J77'']]*Table2[[#This Row],[weight]]</f>
        <v>-4.1486813203710574E-3</v>
      </c>
    </row>
    <row r="54" spans="1:30" x14ac:dyDescent="0.25">
      <c r="A54" t="s">
        <v>120</v>
      </c>
      <c r="B54">
        <v>8.8130000000000006</v>
      </c>
      <c r="C54">
        <v>8.4179999999999993</v>
      </c>
      <c r="D54">
        <v>3.0569999999999999</v>
      </c>
      <c r="E54">
        <v>4.6150000000000002</v>
      </c>
      <c r="F54">
        <v>2.96</v>
      </c>
      <c r="G54">
        <v>13.441000000000001</v>
      </c>
      <c r="H54">
        <v>-11.567</v>
      </c>
      <c r="I54">
        <v>5.5679999999999996</v>
      </c>
      <c r="J54" s="9">
        <f>chloroform!J59</f>
        <v>8.0853744788159199E-5</v>
      </c>
      <c r="K54" t="str">
        <f>chloroform!F59</f>
        <v>12C5</v>
      </c>
      <c r="M54">
        <f>0.9155*Table2[[#This Row],[J1,2]]*Table2[[#This Row],[weight]]</f>
        <v>6.5235239035492214E-4</v>
      </c>
      <c r="N54">
        <f>0.9155*Table2[[#This Row],[J2,3]]*Table2[[#This Row],[weight]]</f>
        <v>6.2311385703026588E-4</v>
      </c>
      <c r="O54">
        <f>0.9155*Table2[[#This Row],[J34]]*Table2[[#This Row],[weight]]</f>
        <v>2.2628404145183216E-4</v>
      </c>
      <c r="P54">
        <f>0.9155*Table2[[#This Row],[J45]]*Table2[[#This Row],[weight]]</f>
        <v>3.4160969947667823E-4</v>
      </c>
      <c r="Q54">
        <f>0.9155*Table2[[#This Row],[J56]]*Table2[[#This Row],[weight]]</f>
        <v>2.1910394592653687E-4</v>
      </c>
      <c r="R54">
        <f>0.9155*Table2[[#This Row],[J67]]*Table2[[#This Row],[weight]]</f>
        <v>9.949243706751966E-4</v>
      </c>
      <c r="S54">
        <f>0.9155*Table2[[#This Row],[J67'']]*Table2[[#This Row],[weight]]</f>
        <v>4.1215228747262068E-4</v>
      </c>
      <c r="T54">
        <f>0.9155*Table2[[#This Row],[J77'']]*Table2[[#This Row],[weight]]</f>
        <v>-8.5620788599062559E-4</v>
      </c>
    </row>
    <row r="55" spans="1:30" x14ac:dyDescent="0.25">
      <c r="A55" t="s">
        <v>63</v>
      </c>
      <c r="B55">
        <v>9.1129999999999995</v>
      </c>
      <c r="C55">
        <v>7.7610000000000001</v>
      </c>
      <c r="D55">
        <v>2.6230000000000002</v>
      </c>
      <c r="E55">
        <v>4.8540000000000001</v>
      </c>
      <c r="F55">
        <v>3.4</v>
      </c>
      <c r="G55">
        <v>1.494</v>
      </c>
      <c r="H55">
        <v>-13.355</v>
      </c>
      <c r="I55">
        <v>10.888</v>
      </c>
      <c r="J55" s="9">
        <f>chloroform!J60</f>
        <v>1.0205980132888574E-3</v>
      </c>
      <c r="K55" t="str">
        <f>chloroform!F60</f>
        <v>12C5</v>
      </c>
      <c r="M55">
        <f>0.9155*Table2[[#This Row],[J1,2]]*Table2[[#This Row],[weight]]</f>
        <v>8.5147997258652932E-3</v>
      </c>
      <c r="N55">
        <f>0.9155*Table2[[#This Row],[J2,3]]*Table2[[#This Row],[weight]]</f>
        <v>7.2515484113289293E-3</v>
      </c>
      <c r="O55">
        <f>0.9155*Table2[[#This Row],[J34]]*Table2[[#This Row],[weight]]</f>
        <v>2.4508196730982845E-3</v>
      </c>
      <c r="P55">
        <f>0.9155*Table2[[#This Row],[J45]]*Table2[[#This Row],[weight]]</f>
        <v>4.5353712135795168E-3</v>
      </c>
      <c r="Q55">
        <f>0.9155*Table2[[#This Row],[J56]]*Table2[[#This Row],[weight]]</f>
        <v>3.176815435964226E-3</v>
      </c>
      <c r="R55">
        <f>0.9155*Table2[[#This Row],[J67]]*Table2[[#This Row],[weight]]</f>
        <v>1.3959300768619275E-3</v>
      </c>
      <c r="S55">
        <f>0.9155*Table2[[#This Row],[J67'']]*Table2[[#This Row],[weight]]</f>
        <v>1.0173284254934852E-2</v>
      </c>
      <c r="T55">
        <f>0.9155*Table2[[#This Row],[J77'']]*Table2[[#This Row],[weight]]</f>
        <v>-1.2478344160971249E-2</v>
      </c>
    </row>
    <row r="56" spans="1:30" x14ac:dyDescent="0.25">
      <c r="A56" t="s">
        <v>103</v>
      </c>
      <c r="B56">
        <v>7.8449999999999998</v>
      </c>
      <c r="C56">
        <v>8.1020000000000003</v>
      </c>
      <c r="D56">
        <v>6.1379999999999999</v>
      </c>
      <c r="E56">
        <v>1.778</v>
      </c>
      <c r="F56">
        <v>9.8209999999999997</v>
      </c>
      <c r="G56">
        <v>8.9789999999999992</v>
      </c>
      <c r="H56">
        <v>-12.071</v>
      </c>
      <c r="I56">
        <v>1.931</v>
      </c>
      <c r="J56" s="9">
        <f>chloroform!J61</f>
        <v>0</v>
      </c>
      <c r="K56" t="str">
        <f>chloroform!F61</f>
        <v>4H6</v>
      </c>
      <c r="M56">
        <f>0.9155*Table2[[#This Row],[J1,2]]*Table2[[#This Row],[weight]]</f>
        <v>0</v>
      </c>
      <c r="N56">
        <f>0.9155*Table2[[#This Row],[J2,3]]*Table2[[#This Row],[weight]]</f>
        <v>0</v>
      </c>
      <c r="O56">
        <f>0.9155*Table2[[#This Row],[J34]]*Table2[[#This Row],[weight]]</f>
        <v>0</v>
      </c>
      <c r="P56">
        <f>0.9155*Table2[[#This Row],[J45]]*Table2[[#This Row],[weight]]</f>
        <v>0</v>
      </c>
      <c r="Q56">
        <f>0.9155*Table2[[#This Row],[J56]]*Table2[[#This Row],[weight]]</f>
        <v>0</v>
      </c>
      <c r="R56">
        <f>0.9155*Table2[[#This Row],[J67]]*Table2[[#This Row],[weight]]</f>
        <v>0</v>
      </c>
      <c r="S56">
        <f>0.9155*Table2[[#This Row],[J67'']]*Table2[[#This Row],[weight]]</f>
        <v>0</v>
      </c>
      <c r="T56">
        <f>0.9155*Table2[[#This Row],[J77'']]*Table2[[#This Row],[weight]]</f>
        <v>0</v>
      </c>
    </row>
    <row r="57" spans="1:30" x14ac:dyDescent="0.25">
      <c r="A57" t="s">
        <v>104</v>
      </c>
      <c r="B57">
        <v>9.3529999999999998</v>
      </c>
      <c r="C57">
        <v>2.9329999999999998</v>
      </c>
      <c r="D57">
        <v>9.4260000000000002</v>
      </c>
      <c r="E57">
        <v>11.856</v>
      </c>
      <c r="F57">
        <v>9.3699999999999992</v>
      </c>
      <c r="G57">
        <v>1.784</v>
      </c>
      <c r="H57">
        <v>-13.609</v>
      </c>
      <c r="I57">
        <v>11.305999999999999</v>
      </c>
      <c r="J57" s="9">
        <f>chloroform!J62</f>
        <v>3.2391668310451144E-5</v>
      </c>
      <c r="K57" t="str">
        <f>chloroform!F62</f>
        <v>5C12</v>
      </c>
      <c r="M57">
        <f>0.9155*Table2[[#This Row],[J1,2]]*Table2[[#This Row],[weight]]</f>
        <v>2.7735921507935317E-4</v>
      </c>
      <c r="N57">
        <f>0.9155*Table2[[#This Row],[J2,3]]*Table2[[#This Row],[weight]]</f>
        <v>8.697686066799346E-5</v>
      </c>
      <c r="O57">
        <f>0.9155*Table2[[#This Row],[J34]]*Table2[[#This Row],[weight]]</f>
        <v>2.7952399886004307E-4</v>
      </c>
      <c r="P57">
        <f>0.9155*Table2[[#This Row],[J45]]*Table2[[#This Row],[weight]]</f>
        <v>3.5158460964191285E-4</v>
      </c>
      <c r="Q57">
        <f>0.9155*Table2[[#This Row],[J56]]*Table2[[#This Row],[weight]]</f>
        <v>2.7786334280910287E-4</v>
      </c>
      <c r="R57">
        <f>0.9155*Table2[[#This Row],[J67]]*Table2[[#This Row],[weight]]</f>
        <v>5.2903757051380946E-5</v>
      </c>
      <c r="S57">
        <f>0.9155*Table2[[#This Row],[J67'']]*Table2[[#This Row],[weight]]</f>
        <v>3.3527459485589294E-4</v>
      </c>
      <c r="T57">
        <f>0.9155*Table2[[#This Row],[J77'']]*Table2[[#This Row],[weight]]</f>
        <v>-4.0356907495080907E-4</v>
      </c>
    </row>
    <row r="58" spans="1:30" x14ac:dyDescent="0.25">
      <c r="A58" t="s">
        <v>105</v>
      </c>
      <c r="B58">
        <v>8.9760000000000009</v>
      </c>
      <c r="C58">
        <v>7.8949999999999996</v>
      </c>
      <c r="D58">
        <v>2.1339999999999999</v>
      </c>
      <c r="E58">
        <v>4.5999999999999996</v>
      </c>
      <c r="F58">
        <v>3.6429999999999998</v>
      </c>
      <c r="G58">
        <v>1.893</v>
      </c>
      <c r="H58">
        <v>-12.87</v>
      </c>
      <c r="I58">
        <v>11.224</v>
      </c>
      <c r="J58" s="9">
        <f>chloroform!J63</f>
        <v>2.5021621641221084E-4</v>
      </c>
      <c r="K58" t="str">
        <f>chloroform!F63</f>
        <v>12C5</v>
      </c>
      <c r="M58">
        <f>0.9155*Table2[[#This Row],[J1,2]]*Table2[[#This Row],[weight]]</f>
        <v>2.0561587644214027E-3</v>
      </c>
      <c r="N58">
        <f>0.9155*Table2[[#This Row],[J2,3]]*Table2[[#This Row],[weight]]</f>
        <v>1.8085309096598672E-3</v>
      </c>
      <c r="O58">
        <f>0.9155*Table2[[#This Row],[J34]]*Table2[[#This Row],[weight]]</f>
        <v>4.8884166703155884E-4</v>
      </c>
      <c r="P58">
        <f>0.9155*Table2[[#This Row],[J45]]*Table2[[#This Row],[weight]]</f>
        <v>1.0537355521767434E-3</v>
      </c>
      <c r="Q58">
        <f>0.9155*Table2[[#This Row],[J56]]*Table2[[#This Row],[weight]]</f>
        <v>8.3451274273475568E-4</v>
      </c>
      <c r="R58">
        <f>0.9155*Table2[[#This Row],[J67]]*Table2[[#This Row],[weight]]</f>
        <v>4.3363508701534245E-4</v>
      </c>
      <c r="S58">
        <f>0.9155*Table2[[#This Row],[J67'']]*Table2[[#This Row],[weight]]</f>
        <v>2.5711147473112543E-3</v>
      </c>
      <c r="T58">
        <f>0.9155*Table2[[#This Row],[J77'']]*Table2[[#This Row],[weight]]</f>
        <v>-2.9481688166336281E-3</v>
      </c>
    </row>
    <row r="59" spans="1:30" x14ac:dyDescent="0.25">
      <c r="A59" t="s">
        <v>64</v>
      </c>
      <c r="B59">
        <v>9.093</v>
      </c>
      <c r="C59">
        <v>8.0120000000000005</v>
      </c>
      <c r="D59">
        <v>2.827</v>
      </c>
      <c r="E59">
        <v>4.9349999999999996</v>
      </c>
      <c r="F59">
        <v>3.2650000000000001</v>
      </c>
      <c r="G59">
        <v>1.4370000000000001</v>
      </c>
      <c r="H59">
        <v>-13.628</v>
      </c>
      <c r="I59">
        <v>10.891999999999999</v>
      </c>
      <c r="J59" s="9">
        <f>chloroform!J64</f>
        <v>1.4063658816845204E-3</v>
      </c>
      <c r="K59" t="str">
        <f>chloroform!F64</f>
        <v>12C5</v>
      </c>
      <c r="M59">
        <f>0.9155*Table2[[#This Row],[J1,2]]*Table2[[#This Row],[weight]]</f>
        <v>1.1707491782855049E-2</v>
      </c>
      <c r="N59">
        <f>0.9155*Table2[[#This Row],[J2,3]]*Table2[[#This Row],[weight]]</f>
        <v>1.0315674053033614E-2</v>
      </c>
      <c r="O59">
        <f>0.9155*Table2[[#This Row],[J34]]*Table2[[#This Row],[weight]]</f>
        <v>3.6398415561565184E-3</v>
      </c>
      <c r="P59">
        <f>0.9155*Table2[[#This Row],[J45]]*Table2[[#This Row],[weight]]</f>
        <v>6.3539505057065493E-3</v>
      </c>
      <c r="Q59">
        <f>0.9155*Table2[[#This Row],[J56]]*Table2[[#This Row],[weight]]</f>
        <v>4.2037788046873133E-3</v>
      </c>
      <c r="R59">
        <f>0.9155*Table2[[#This Row],[J67]]*Table2[[#This Row],[weight]]</f>
        <v>1.8501776852482903E-3</v>
      </c>
      <c r="S59">
        <f>0.9155*Table2[[#This Row],[J67'']]*Table2[[#This Row],[weight]]</f>
        <v>1.4023754591318285E-2</v>
      </c>
      <c r="T59">
        <f>0.9155*Table2[[#This Row],[J77'']]*Table2[[#This Row],[weight]]</f>
        <v>-1.7546431102688727E-2</v>
      </c>
    </row>
    <row r="60" spans="1:30" x14ac:dyDescent="0.25">
      <c r="A60" t="s">
        <v>106</v>
      </c>
      <c r="B60">
        <v>9.7249999999999996</v>
      </c>
      <c r="C60">
        <v>7.1920000000000002</v>
      </c>
      <c r="D60">
        <v>2.306</v>
      </c>
      <c r="E60">
        <v>6.1420000000000003</v>
      </c>
      <c r="F60">
        <v>3.9159999999999999</v>
      </c>
      <c r="G60">
        <v>0.90700000000000003</v>
      </c>
      <c r="H60">
        <v>-14.128</v>
      </c>
      <c r="I60">
        <v>11.035</v>
      </c>
      <c r="J60" s="9">
        <f>chloroform!J65</f>
        <v>7.7444052990598996E-5</v>
      </c>
      <c r="K60" t="str">
        <f>chloroform!F65</f>
        <v>12C5</v>
      </c>
      <c r="M60">
        <f>0.9155*Table2[[#This Row],[J1,2]]*Table2[[#This Row],[weight]]</f>
        <v>6.8950279673788805E-4</v>
      </c>
      <c r="N60">
        <f>0.9155*Table2[[#This Row],[J2,3]]*Table2[[#This Row],[weight]]</f>
        <v>5.0991301944872916E-4</v>
      </c>
      <c r="O60">
        <f>0.9155*Table2[[#This Row],[J34]]*Table2[[#This Row],[weight]]</f>
        <v>1.6349547036273215E-4</v>
      </c>
      <c r="P60">
        <f>0.9155*Table2[[#This Row],[J45]]*Table2[[#This Row],[weight]]</f>
        <v>4.3546798741019119E-4</v>
      </c>
      <c r="Q60">
        <f>0.9155*Table2[[#This Row],[J56]]*Table2[[#This Row],[weight]]</f>
        <v>2.7764451948849049E-4</v>
      </c>
      <c r="R60">
        <f>0.9155*Table2[[#This Row],[J67]]*Table2[[#This Row],[weight]]</f>
        <v>6.4306327675194301E-5</v>
      </c>
      <c r="S60">
        <f>0.9155*Table2[[#This Row],[J67'']]*Table2[[#This Row],[weight]]</f>
        <v>7.8238183670977846E-4</v>
      </c>
      <c r="T60">
        <f>0.9155*Table2[[#This Row],[J77'']]*Table2[[#This Row],[weight]]</f>
        <v>-1.0016756310861578E-3</v>
      </c>
    </row>
    <row r="61" spans="1:30" x14ac:dyDescent="0.25">
      <c r="A61" t="s">
        <v>107</v>
      </c>
      <c r="B61">
        <v>9.9260000000000002</v>
      </c>
      <c r="C61">
        <v>5.8330000000000002</v>
      </c>
      <c r="D61">
        <v>0.61599999999999999</v>
      </c>
      <c r="E61">
        <v>4.4269999999999996</v>
      </c>
      <c r="F61">
        <v>4.6479999999999997</v>
      </c>
      <c r="G61">
        <v>5.8810000000000002</v>
      </c>
      <c r="H61">
        <v>-14.12</v>
      </c>
      <c r="I61">
        <v>0.35099999999999998</v>
      </c>
      <c r="J61" s="9">
        <f>chloroform!J66</f>
        <v>0</v>
      </c>
      <c r="K61" t="str">
        <f>chloroform!F66</f>
        <v>12C5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</row>
    <row r="62" spans="1:30" x14ac:dyDescent="0.25">
      <c r="A62" t="s">
        <v>65</v>
      </c>
      <c r="B62">
        <v>9.1530000000000005</v>
      </c>
      <c r="C62">
        <v>7.7469999999999999</v>
      </c>
      <c r="D62">
        <v>2.589</v>
      </c>
      <c r="E62">
        <v>4.9530000000000003</v>
      </c>
      <c r="F62">
        <v>3.5190000000000001</v>
      </c>
      <c r="G62">
        <v>1.2230000000000001</v>
      </c>
      <c r="H62">
        <v>-14.904999999999999</v>
      </c>
      <c r="I62">
        <v>11.329000000000001</v>
      </c>
      <c r="J62" s="9">
        <f>chloroform!J67</f>
        <v>1.1444734703283932E-3</v>
      </c>
      <c r="K62" t="str">
        <f>chloroform!F67</f>
        <v>12C5</v>
      </c>
      <c r="M62">
        <f>0.9155*Table2[[#This Row],[J1,2]]*Table2[[#This Row],[weight]]</f>
        <v>9.5901972744698999E-3</v>
      </c>
      <c r="N62">
        <f>0.9155*Table2[[#This Row],[J2,3]]*Table2[[#This Row],[weight]]</f>
        <v>8.1170390347774842E-3</v>
      </c>
      <c r="O62">
        <f>0.9155*Table2[[#This Row],[J34]]*Table2[[#This Row],[weight]]</f>
        <v>2.7126647813397321E-3</v>
      </c>
      <c r="P62">
        <f>0.9155*Table2[[#This Row],[J45]]*Table2[[#This Row],[weight]]</f>
        <v>5.1895823337101948E-3</v>
      </c>
      <c r="Q62">
        <f>0.9155*Table2[[#This Row],[J56]]*Table2[[#This Row],[weight]]</f>
        <v>3.6870866610793814E-3</v>
      </c>
      <c r="R62">
        <f>0.9155*Table2[[#This Row],[J67]]*Table2[[#This Row],[weight]]</f>
        <v>1.2814171601307426E-3</v>
      </c>
      <c r="S62">
        <f>0.9155*Table2[[#This Row],[J67'']]*Table2[[#This Row],[weight]]</f>
        <v>1.187013491996826E-2</v>
      </c>
      <c r="T62">
        <f>0.9155*Table2[[#This Row],[J77'']]*Table2[[#This Row],[weight]]</f>
        <v>-1.5616944212386522E-2</v>
      </c>
    </row>
    <row r="63" spans="1:30" x14ac:dyDescent="0.25">
      <c r="A63" t="s">
        <v>108</v>
      </c>
      <c r="B63">
        <v>6.8360000000000003</v>
      </c>
      <c r="C63">
        <v>3.69</v>
      </c>
      <c r="D63">
        <v>12.138999999999999</v>
      </c>
      <c r="E63">
        <v>10.254</v>
      </c>
      <c r="F63">
        <v>11.066000000000001</v>
      </c>
      <c r="G63">
        <v>2.4900000000000002</v>
      </c>
      <c r="H63">
        <v>-12.907999999999999</v>
      </c>
      <c r="I63">
        <v>1.468</v>
      </c>
      <c r="J63" s="9">
        <f>chloroform!J68</f>
        <v>2.0931650468068507E-4</v>
      </c>
      <c r="K63" t="str">
        <f>chloroform!F68</f>
        <v>5C12</v>
      </c>
      <c r="M63">
        <f>0.9155*Table2[[#This Row],[J1,2]]*Table2[[#This Row],[weight]]</f>
        <v>1.309977621600403E-3</v>
      </c>
      <c r="N63">
        <f>0.9155*Table2[[#This Row],[J2,3]]*Table2[[#This Row],[weight]]</f>
        <v>7.0711196952976687E-4</v>
      </c>
      <c r="O63">
        <f>0.9155*Table2[[#This Row],[J34]]*Table2[[#This Row],[weight]]</f>
        <v>2.3261875875668944E-3</v>
      </c>
      <c r="P63">
        <f>0.9155*Table2[[#This Row],[J45]]*Table2[[#This Row],[weight]]</f>
        <v>1.9649664324006043E-3</v>
      </c>
      <c r="Q63">
        <f>0.9155*Table2[[#This Row],[J56]]*Table2[[#This Row],[weight]]</f>
        <v>2.1205693915491604E-3</v>
      </c>
      <c r="R63">
        <f>0.9155*Table2[[#This Row],[J67]]*Table2[[#This Row],[weight]]</f>
        <v>4.7715685748756631E-4</v>
      </c>
      <c r="S63">
        <f>0.9155*Table2[[#This Row],[J67'']]*Table2[[#This Row],[weight]]</f>
        <v>2.8131175373162542E-4</v>
      </c>
      <c r="T63">
        <f>0.9155*Table2[[#This Row],[J77'']]*Table2[[#This Row],[weight]]</f>
        <v>-2.4735504885339378E-3</v>
      </c>
    </row>
    <row r="64" spans="1:30" x14ac:dyDescent="0.25">
      <c r="A64" t="s">
        <v>109</v>
      </c>
      <c r="B64">
        <v>7.8159999999999998</v>
      </c>
      <c r="C64">
        <v>8.5660000000000007</v>
      </c>
      <c r="D64">
        <v>6.1180000000000003</v>
      </c>
      <c r="E64">
        <v>1.002</v>
      </c>
      <c r="F64">
        <v>10.753</v>
      </c>
      <c r="G64">
        <v>2.1549999999999998</v>
      </c>
      <c r="H64">
        <v>-13.507999999999999</v>
      </c>
      <c r="I64">
        <v>1.6220000000000001</v>
      </c>
      <c r="J64" s="9">
        <f>chloroform!J69</f>
        <v>3.6497613817224059E-5</v>
      </c>
      <c r="K64" t="str">
        <f>chloroform!F69</f>
        <v>4H6</v>
      </c>
      <c r="M64">
        <f>0.9155*Table2[[#This Row],[J1,2]]*Table2[[#This Row],[weight]]</f>
        <v>2.6116042755460996E-4</v>
      </c>
      <c r="N64">
        <f>0.9155*Table2[[#This Row],[J2,3]]*Table2[[#This Row],[weight]]</f>
        <v>2.862206016418615E-4</v>
      </c>
      <c r="O64">
        <f>0.9155*Table2[[#This Row],[J34]]*Table2[[#This Row],[weight]]</f>
        <v>2.0442419342107268E-4</v>
      </c>
      <c r="P64">
        <f>0.9155*Table2[[#This Row],[J45]]*Table2[[#This Row],[weight]]</f>
        <v>3.3480392580567966E-5</v>
      </c>
      <c r="Q64">
        <f>0.9155*Table2[[#This Row],[J56]]*Table2[[#This Row],[weight]]</f>
        <v>3.5929606928028669E-4</v>
      </c>
      <c r="R64">
        <f>0.9155*Table2[[#This Row],[J67]]*Table2[[#This Row],[weight]]</f>
        <v>7.2006233544035878E-5</v>
      </c>
      <c r="S64">
        <f>0.9155*Table2[[#This Row],[J67'']]*Table2[[#This Row],[weight]]</f>
        <v>5.4196803159362511E-5</v>
      </c>
      <c r="T64">
        <f>0.9155*Table2[[#This Row],[J77'']]*Table2[[#This Row],[weight]]</f>
        <v>-4.5135044209412373E-4</v>
      </c>
    </row>
    <row r="65" spans="1:20" x14ac:dyDescent="0.25">
      <c r="A65" t="s">
        <v>66</v>
      </c>
      <c r="B65">
        <v>9.4280000000000008</v>
      </c>
      <c r="C65">
        <v>2.9249999999999998</v>
      </c>
      <c r="D65">
        <v>9.5860000000000003</v>
      </c>
      <c r="E65">
        <v>11.978999999999999</v>
      </c>
      <c r="F65">
        <v>9.7940000000000005</v>
      </c>
      <c r="G65">
        <v>10.282</v>
      </c>
      <c r="H65">
        <v>-11.757999999999999</v>
      </c>
      <c r="I65">
        <v>2.0059999999999998</v>
      </c>
      <c r="J65" s="9">
        <f>chloroform!J70</f>
        <v>0</v>
      </c>
      <c r="K65" t="str">
        <f>chloroform!F70</f>
        <v>5C12</v>
      </c>
      <c r="M65">
        <f>0.9155*Table2[[#This Row],[J1,2]]*Table2[[#This Row],[weight]]</f>
        <v>0</v>
      </c>
      <c r="N65">
        <f>0.9155*Table2[[#This Row],[J2,3]]*Table2[[#This Row],[weight]]</f>
        <v>0</v>
      </c>
      <c r="O65">
        <f>0.9155*Table2[[#This Row],[J34]]*Table2[[#This Row],[weight]]</f>
        <v>0</v>
      </c>
      <c r="P65">
        <f>0.9155*Table2[[#This Row],[J45]]*Table2[[#This Row],[weight]]</f>
        <v>0</v>
      </c>
      <c r="Q65">
        <f>0.9155*Table2[[#This Row],[J56]]*Table2[[#This Row],[weight]]</f>
        <v>0</v>
      </c>
      <c r="R65">
        <f>0.9155*Table2[[#This Row],[J67]]*Table2[[#This Row],[weight]]</f>
        <v>0</v>
      </c>
      <c r="S65">
        <f>0.9155*Table2[[#This Row],[J67'']]*Table2[[#This Row],[weight]]</f>
        <v>0</v>
      </c>
      <c r="T65">
        <f>0.9155*Table2[[#This Row],[J77'']]*Table2[[#This Row],[weight]]</f>
        <v>0</v>
      </c>
    </row>
    <row r="66" spans="1:20" x14ac:dyDescent="0.25">
      <c r="A66" t="s">
        <v>110</v>
      </c>
      <c r="B66">
        <v>6.9189999999999996</v>
      </c>
      <c r="C66">
        <v>3.4630000000000001</v>
      </c>
      <c r="D66">
        <v>10.888</v>
      </c>
      <c r="E66">
        <v>10.045</v>
      </c>
      <c r="F66">
        <v>10.724</v>
      </c>
      <c r="G66">
        <v>11.218</v>
      </c>
      <c r="H66">
        <v>-13.159000000000001</v>
      </c>
      <c r="I66">
        <v>2.1509999999999998</v>
      </c>
      <c r="J66" s="9">
        <f>chloroform!J71</f>
        <v>7.1608732171488852E-5</v>
      </c>
      <c r="K66" t="str">
        <f>chloroform!F71</f>
        <v>5C12</v>
      </c>
      <c r="M66">
        <f>0.9155*Table2[[#This Row],[J1,2]]*Table2[[#This Row],[weight]]</f>
        <v>4.5359437878244343E-4</v>
      </c>
      <c r="N66">
        <f>0.9155*Table2[[#This Row],[J2,3]]*Table2[[#This Row],[weight]]</f>
        <v>2.2702664167128223E-4</v>
      </c>
      <c r="O66">
        <f>0.9155*Table2[[#This Row],[J34]]*Table2[[#This Row],[weight]]</f>
        <v>7.1379326437104275E-4</v>
      </c>
      <c r="P66">
        <f>0.9155*Table2[[#This Row],[J45]]*Table2[[#This Row],[weight]]</f>
        <v>6.585280437736154E-4</v>
      </c>
      <c r="Q66">
        <f>0.9155*Table2[[#This Row],[J56]]*Table2[[#This Row],[weight]]</f>
        <v>7.0304178610535101E-4</v>
      </c>
      <c r="R66">
        <f>0.9155*Table2[[#This Row],[J67]]*Table2[[#This Row],[weight]]</f>
        <v>7.3542733649103196E-4</v>
      </c>
      <c r="S66">
        <f>0.9155*Table2[[#This Row],[J67'']]*Table2[[#This Row],[weight]]</f>
        <v>1.4101481554574876E-4</v>
      </c>
      <c r="T66">
        <f>0.9155*Table2[[#This Row],[J77'']]*Table2[[#This Row],[weight]]</f>
        <v>-8.6267501523315136E-4</v>
      </c>
    </row>
    <row r="67" spans="1:20" x14ac:dyDescent="0.25">
      <c r="A67" t="s">
        <v>111</v>
      </c>
      <c r="B67">
        <v>7.5730000000000004</v>
      </c>
      <c r="C67">
        <v>8.327</v>
      </c>
      <c r="D67">
        <v>6.367</v>
      </c>
      <c r="E67">
        <v>1.2649999999999999</v>
      </c>
      <c r="F67">
        <v>9.9410000000000007</v>
      </c>
      <c r="G67">
        <v>11.356</v>
      </c>
      <c r="H67">
        <v>-12.144</v>
      </c>
      <c r="I67">
        <v>2.9430000000000001</v>
      </c>
      <c r="J67" s="9">
        <f>chloroform!J72</f>
        <v>0</v>
      </c>
      <c r="K67" t="str">
        <f>chloroform!F72</f>
        <v>4H6</v>
      </c>
      <c r="M67">
        <f>0.9155*Table2[[#This Row],[J1,2]]*Table2[[#This Row],[weight]]</f>
        <v>0</v>
      </c>
      <c r="N67">
        <f>0.9155*Table2[[#This Row],[J2,3]]*Table2[[#This Row],[weight]]</f>
        <v>0</v>
      </c>
      <c r="O67">
        <f>0.9155*Table2[[#This Row],[J34]]*Table2[[#This Row],[weight]]</f>
        <v>0</v>
      </c>
      <c r="P67">
        <f>0.9155*Table2[[#This Row],[J45]]*Table2[[#This Row],[weight]]</f>
        <v>0</v>
      </c>
      <c r="Q67">
        <f>0.9155*Table2[[#This Row],[J56]]*Table2[[#This Row],[weight]]</f>
        <v>0</v>
      </c>
      <c r="R67">
        <f>0.9155*Table2[[#This Row],[J67]]*Table2[[#This Row],[weight]]</f>
        <v>0</v>
      </c>
      <c r="S67">
        <f>0.9155*Table2[[#This Row],[J67'']]*Table2[[#This Row],[weight]]</f>
        <v>0</v>
      </c>
      <c r="T67">
        <f>0.9155*Table2[[#This Row],[J77'']]*Table2[[#This Row],[weight]]</f>
        <v>0</v>
      </c>
    </row>
    <row r="68" spans="1:20" x14ac:dyDescent="0.25">
      <c r="A68" t="s">
        <v>112</v>
      </c>
      <c r="B68">
        <v>7.4660000000000002</v>
      </c>
      <c r="C68">
        <v>5.6509999999999998</v>
      </c>
      <c r="D68">
        <v>9.8309999999999995</v>
      </c>
      <c r="E68">
        <v>12.021000000000001</v>
      </c>
      <c r="F68">
        <v>6.8220000000000001</v>
      </c>
      <c r="G68">
        <v>13.111000000000001</v>
      </c>
      <c r="H68">
        <v>-11.866</v>
      </c>
      <c r="I68">
        <v>5.2990000000000004</v>
      </c>
      <c r="J68" s="17">
        <f>chloroform!J73</f>
        <v>0</v>
      </c>
      <c r="K68" t="str">
        <f>chloroform!F73</f>
        <v>56TH</v>
      </c>
      <c r="M68">
        <f>0.9155*Table2[[#This Row],[J1,2]]*Table2[[#This Row],[weight]]</f>
        <v>0</v>
      </c>
      <c r="N68">
        <f>0.9155*Table2[[#This Row],[J2,3]]*Table2[[#This Row],[weight]]</f>
        <v>0</v>
      </c>
      <c r="O68">
        <f>0.9155*Table2[[#This Row],[J34]]*Table2[[#This Row],[weight]]</f>
        <v>0</v>
      </c>
      <c r="P68">
        <f>0.9155*Table2[[#This Row],[J45]]*Table2[[#This Row],[weight]]</f>
        <v>0</v>
      </c>
      <c r="Q68">
        <f>0.9155*Table2[[#This Row],[J56]]*Table2[[#This Row],[weight]]</f>
        <v>0</v>
      </c>
      <c r="R68">
        <f>0.9155*Table2[[#This Row],[J67]]*Table2[[#This Row],[weight]]</f>
        <v>0</v>
      </c>
      <c r="S68">
        <f>0.9155*Table2[[#This Row],[J67'']]*Table2[[#This Row],[weight]]</f>
        <v>0</v>
      </c>
      <c r="T68">
        <f>0.9155*Table2[[#This Row],[J77'']]*Table2[[#This Row],[weight]]</f>
        <v>0</v>
      </c>
    </row>
    <row r="69" spans="1:20" x14ac:dyDescent="0.25">
      <c r="A69" t="s">
        <v>113</v>
      </c>
      <c r="B69">
        <v>7.6929999999999996</v>
      </c>
      <c r="C69">
        <v>8.3089999999999993</v>
      </c>
      <c r="D69">
        <v>6.141</v>
      </c>
      <c r="E69">
        <v>1.3120000000000001</v>
      </c>
      <c r="F69">
        <v>11.090999999999999</v>
      </c>
      <c r="G69">
        <v>1.319</v>
      </c>
      <c r="H69">
        <v>-13.228999999999999</v>
      </c>
      <c r="I69">
        <v>11.021000000000001</v>
      </c>
      <c r="J69" s="17">
        <f>chloroform!J74</f>
        <v>3.4860906506056372E-5</v>
      </c>
      <c r="K69" t="str">
        <f>chloroform!F74</f>
        <v>4H6</v>
      </c>
      <c r="M69">
        <f>0.9155*Table2[[#This Row],[J1,2]]*Table2[[#This Row],[weight]]</f>
        <v>2.4552332515912438E-4</v>
      </c>
      <c r="N69">
        <f>0.9155*Table2[[#This Row],[J2,3]]*Table2[[#This Row],[weight]]</f>
        <v>2.6518306366140189E-4</v>
      </c>
      <c r="O69">
        <f>0.9155*Table2[[#This Row],[J34]]*Table2[[#This Row],[weight]]</f>
        <v>1.9599099698455519E-4</v>
      </c>
      <c r="P69">
        <f>0.9155*Table2[[#This Row],[J45]]*Table2[[#This Row],[weight]]</f>
        <v>4.1872689797058525E-5</v>
      </c>
      <c r="Q69">
        <f>0.9155*Table2[[#This Row],[J56]]*Table2[[#This Row],[weight]]</f>
        <v>3.5397103852071344E-4</v>
      </c>
      <c r="R69">
        <f>0.9155*Table2[[#This Row],[J67]]*Table2[[#This Row],[weight]]</f>
        <v>4.2096095916402592E-5</v>
      </c>
      <c r="S69">
        <f>0.9155*Table2[[#This Row],[J67'']]*Table2[[#This Row],[weight]]</f>
        <v>3.5173697732727288E-4</v>
      </c>
      <c r="T69">
        <f>0.9155*Table2[[#This Row],[J77'']]*Table2[[#This Row],[weight]]</f>
        <v>-4.2220565040037135E-4</v>
      </c>
    </row>
    <row r="70" spans="1:20" x14ac:dyDescent="0.25">
      <c r="A70" t="s">
        <v>121</v>
      </c>
      <c r="B70">
        <v>7.6760000000000002</v>
      </c>
      <c r="C70">
        <v>8.3049999999999997</v>
      </c>
      <c r="D70">
        <v>6.2050000000000001</v>
      </c>
      <c r="E70">
        <v>1.274</v>
      </c>
      <c r="F70">
        <v>10.272</v>
      </c>
      <c r="G70">
        <v>11.433999999999999</v>
      </c>
      <c r="H70">
        <v>-11.637</v>
      </c>
      <c r="I70">
        <v>4.8479999999999999</v>
      </c>
      <c r="J70" s="17">
        <f>chloroform!J75</f>
        <v>0</v>
      </c>
      <c r="K70" t="str">
        <f>chloroform!F75</f>
        <v>4H6</v>
      </c>
      <c r="M70">
        <f>0.9155*Table2[[#This Row],[J1,2]]*Table2[[#This Row],[weight]]</f>
        <v>0</v>
      </c>
      <c r="N70">
        <f>0.9155*Table2[[#This Row],[J2,3]]*Table2[[#This Row],[weight]]</f>
        <v>0</v>
      </c>
      <c r="O70">
        <f>0.9155*Table2[[#This Row],[J34]]*Table2[[#This Row],[weight]]</f>
        <v>0</v>
      </c>
      <c r="P70">
        <f>0.9155*Table2[[#This Row],[J45]]*Table2[[#This Row],[weight]]</f>
        <v>0</v>
      </c>
      <c r="Q70">
        <f>0.9155*Table2[[#This Row],[J56]]*Table2[[#This Row],[weight]]</f>
        <v>0</v>
      </c>
      <c r="R70">
        <f>0.9155*Table2[[#This Row],[J67]]*Table2[[#This Row],[weight]]</f>
        <v>0</v>
      </c>
      <c r="S70">
        <f>0.9155*Table2[[#This Row],[J67'']]*Table2[[#This Row],[weight]]</f>
        <v>0</v>
      </c>
      <c r="T70">
        <f>0.9155*Table2[[#This Row],[J77'']]*Table2[[#This Row],[weight]]</f>
        <v>0</v>
      </c>
    </row>
    <row r="71" spans="1:20" ht="15.75" thickBot="1" x14ac:dyDescent="0.3">
      <c r="M71">
        <f>SUM(M2:M70)</f>
        <v>7.3356485108401488</v>
      </c>
      <c r="N71">
        <f t="shared" ref="N71:T71" si="1">SUM(N2:N70)</f>
        <v>7.498945665048117</v>
      </c>
      <c r="O71">
        <f t="shared" si="1"/>
        <v>5.4285519347618996</v>
      </c>
      <c r="P71">
        <f t="shared" si="1"/>
        <v>2.0833927974995157</v>
      </c>
      <c r="Q71">
        <f t="shared" si="1"/>
        <v>10.485212936407832</v>
      </c>
      <c r="R71">
        <f t="shared" si="1"/>
        <v>1.6560387049950609</v>
      </c>
      <c r="S71">
        <f t="shared" si="1"/>
        <v>5.4388211808770217</v>
      </c>
      <c r="T71">
        <f t="shared" si="1"/>
        <v>-12.322522718696233</v>
      </c>
    </row>
    <row r="72" spans="1:20" x14ac:dyDescent="0.25">
      <c r="M72" s="15">
        <v>6.85</v>
      </c>
      <c r="N72" s="16">
        <v>6.58</v>
      </c>
      <c r="O72" s="16">
        <v>6.31</v>
      </c>
      <c r="P72" s="16">
        <v>4.34</v>
      </c>
      <c r="Q72" s="16">
        <v>9.89</v>
      </c>
      <c r="R72" s="16">
        <v>2.37</v>
      </c>
      <c r="S72" s="16">
        <v>5.32</v>
      </c>
      <c r="T72">
        <v>-12.36</v>
      </c>
    </row>
    <row r="73" spans="1:20" ht="15.75" thickBot="1" x14ac:dyDescent="0.3">
      <c r="R73" t="s">
        <v>87</v>
      </c>
      <c r="S73">
        <f>SQRT(SUMXMY2(M71:S71,M72:S72)/7)</f>
        <v>1.0574686765329475</v>
      </c>
    </row>
    <row r="74" spans="1:20" x14ac:dyDescent="0.25">
      <c r="E74" s="15">
        <v>6.85</v>
      </c>
      <c r="J74" s="4"/>
      <c r="S74">
        <f>SQRT(SUMXMY2(M71:Q71,M72:Q72)/5)</f>
        <v>1.2086207684090378</v>
      </c>
    </row>
    <row r="75" spans="1:20" x14ac:dyDescent="0.25">
      <c r="E75" s="16">
        <v>6.58</v>
      </c>
    </row>
    <row r="76" spans="1:20" x14ac:dyDescent="0.25">
      <c r="E76" s="16">
        <v>6.31</v>
      </c>
    </row>
    <row r="77" spans="1:20" x14ac:dyDescent="0.25">
      <c r="E77" s="16">
        <v>4.34</v>
      </c>
    </row>
    <row r="78" spans="1:20" x14ac:dyDescent="0.25">
      <c r="E78" s="16">
        <v>9.89</v>
      </c>
      <c r="M78">
        <v>7.3356485108401488</v>
      </c>
      <c r="N78">
        <v>7.498945665048117</v>
      </c>
      <c r="O78">
        <v>5.4285519347618996</v>
      </c>
      <c r="P78">
        <v>2.0833927974995157</v>
      </c>
      <c r="Q78">
        <v>10.485212936407832</v>
      </c>
      <c r="R78">
        <v>1.6560387049950609</v>
      </c>
      <c r="S78">
        <v>5.4388211808770217</v>
      </c>
    </row>
    <row r="79" spans="1:20" x14ac:dyDescent="0.25">
      <c r="E79" s="16">
        <v>2.37</v>
      </c>
      <c r="M79">
        <v>6.85</v>
      </c>
      <c r="N79">
        <v>6.58</v>
      </c>
      <c r="O79">
        <v>6.31</v>
      </c>
      <c r="P79">
        <v>4.34</v>
      </c>
      <c r="Q79">
        <v>9.89</v>
      </c>
      <c r="R79">
        <v>2.37</v>
      </c>
      <c r="S79">
        <v>5.32</v>
      </c>
    </row>
    <row r="80" spans="1:20" x14ac:dyDescent="0.25">
      <c r="E80" s="16">
        <v>5.32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71"/>
  <sheetViews>
    <sheetView zoomScaleNormal="100" workbookViewId="0">
      <selection activeCell="T70" sqref="K2:T70"/>
    </sheetView>
  </sheetViews>
  <sheetFormatPr defaultRowHeight="15" x14ac:dyDescent="0.25"/>
  <cols>
    <col min="11" max="11" width="10.5703125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7.2418196729090584E-2</v>
      </c>
      <c r="D1" t="s">
        <v>11</v>
      </c>
      <c r="E1" t="s">
        <v>19</v>
      </c>
      <c r="G1">
        <f>COUNTIF(Table3[classification],E1)</f>
        <v>11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1.7153030246199366E-2</v>
      </c>
      <c r="M2">
        <f>Table3[[#This Row],[weight]]*(0.9155*Table2[[#This Row],[J2,3]]-B$9)^2</f>
        <v>0.4851386467462957</v>
      </c>
      <c r="N2">
        <f>Table3[[#This Row],[weight]]*(0.9155*Table2[[#This Row],[J34]]-C$9)^2</f>
        <v>0.13831297855345048</v>
      </c>
      <c r="O2">
        <f>Table3[[#This Row],[weight]]*(0.9155*Table2[[#This Row],[J45]]-D$9)^2</f>
        <v>1.7054307899086494</v>
      </c>
      <c r="P2">
        <f>Table3[[#This Row],[weight]]*(0.9155*Table2[[#This Row],[J56]]-E$9)^2</f>
        <v>5.1031490334300787E-2</v>
      </c>
      <c r="Q2">
        <f>Table3[[#This Row],[weight]]*(0.9155*Table2[[#This Row],[J67]]-F$9)^2</f>
        <v>3.6879738265131461E-2</v>
      </c>
      <c r="R2">
        <f>Table3[[#This Row],[weight]]*(0.9155*Table2[[#This Row],[J67'']]-G$9)^2</f>
        <v>0.31033218535293627</v>
      </c>
      <c r="S2">
        <f>chloroform!J7</f>
        <v>1.8726746259493821E-2</v>
      </c>
      <c r="T2" t="str">
        <f>chloroform!F7</f>
        <v>4H6</v>
      </c>
    </row>
    <row r="3" spans="1:20" x14ac:dyDescent="0.25">
      <c r="K3">
        <f>chloroform!E8</f>
        <v>3</v>
      </c>
      <c r="L3">
        <f>Table3[[#This Row],[weight]]*(0.9155*Table2[[#This Row],[J1,2]]-A$9)^2</f>
        <v>1.5111199175658138E-2</v>
      </c>
      <c r="M3">
        <f>Table3[[#This Row],[weight]]*(0.9155*Table2[[#This Row],[J2,3]]-B$9)^2</f>
        <v>0.49895009364893306</v>
      </c>
      <c r="N3">
        <f>Table3[[#This Row],[weight]]*(0.9155*Table2[[#This Row],[J34]]-C$9)^2</f>
        <v>0.23137909380832253</v>
      </c>
      <c r="O3">
        <f>Table3[[#This Row],[weight]]*(0.9155*Table2[[#This Row],[J45]]-D$9)^2</f>
        <v>2.1821116592178167</v>
      </c>
      <c r="P3">
        <f>Table3[[#This Row],[weight]]*(0.9155*Table2[[#This Row],[J56]]-E$9)^2</f>
        <v>3.0606098176205618E-2</v>
      </c>
      <c r="Q3">
        <f>Table3[[#This Row],[weight]]*(0.9155*Table2[[#This Row],[J67]]-F$9)^2</f>
        <v>5.6150778746968992E-2</v>
      </c>
      <c r="R3">
        <f>Table3[[#This Row],[weight]]*(0.9155*Table2[[#This Row],[J67'']]-G$9)^2</f>
        <v>0.34962744245331057</v>
      </c>
      <c r="S3">
        <f>chloroform!J8</f>
        <v>2.2387921992346793E-2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4.3470836228944224E-2</v>
      </c>
      <c r="M4">
        <f>Table3[[#This Row],[weight]]*(0.9155*Table2[[#This Row],[J2,3]]-B$9)^2</f>
        <v>2.0288531262763185</v>
      </c>
      <c r="N4">
        <f>Table3[[#This Row],[weight]]*(0.9155*Table2[[#This Row],[J34]]-C$9)^2</f>
        <v>0.58053470689795894</v>
      </c>
      <c r="O4">
        <f>Table3[[#This Row],[weight]]*(0.9155*Table2[[#This Row],[J45]]-D$9)^2</f>
        <v>6.9162277154999199</v>
      </c>
      <c r="P4">
        <f>Table3[[#This Row],[weight]]*(0.9155*Table2[[#This Row],[J56]]-E$9)^2</f>
        <v>0.12088908220063156</v>
      </c>
      <c r="Q4">
        <f>Table3[[#This Row],[weight]]*(0.9155*Table2[[#This Row],[J67]]-F$9)^2</f>
        <v>0.24369079496974577</v>
      </c>
      <c r="R4">
        <f>Table3[[#This Row],[weight]]*(0.9155*Table2[[#This Row],[J67'']]-G$9)^2</f>
        <v>0.39495244900219534</v>
      </c>
      <c r="S4">
        <f>chloroform!J9</f>
        <v>6.97377022375536E-2</v>
      </c>
      <c r="T4" t="str">
        <f>chloroform!F9</f>
        <v>4H6</v>
      </c>
    </row>
    <row r="5" spans="1:20" x14ac:dyDescent="0.25">
      <c r="A5">
        <f>SUMIF(Table1[Classification],E1,Table2[J1,23])/$B$1</f>
        <v>7.9853537166042319</v>
      </c>
      <c r="B5">
        <f>SUMIF(Table1[Classification],E1,Table2[J2,34])/$B$1</f>
        <v>2.7715861259013681</v>
      </c>
      <c r="C5">
        <f>SUMIF(Table1[Classification],E1,Table2[J345])/$B$1</f>
        <v>8.6611184254919511</v>
      </c>
      <c r="D5">
        <f>SUMIF(Table1[Classification],E1,Table2[J456])/$B$1</f>
        <v>10.386196658751766</v>
      </c>
      <c r="E5">
        <f>SUMIF(Table1[Classification],E1,Table2[J567])/$B$1</f>
        <v>9.4377606968730667</v>
      </c>
      <c r="F5">
        <f>SUMIF(Table1[Classification],E1,Table2[J678])/$B$1</f>
        <v>2.7518710083219542</v>
      </c>
      <c r="G5">
        <f>SUMIF(Table1[Classification],E1,Table2[J67''9])/$B$1</f>
        <v>5.3707282444567106</v>
      </c>
      <c r="K5">
        <f>chloroform!E10</f>
        <v>6</v>
      </c>
      <c r="L5">
        <f>Table3[[#This Row],[weight]]*(0.9155*Table2[[#This Row],[J1,2]]-A$9)^2</f>
        <v>3.6759200386356772E-2</v>
      </c>
      <c r="M5">
        <f>Table3[[#This Row],[weight]]*(0.9155*Table2[[#This Row],[J2,3]]-B$9)^2</f>
        <v>2.3277161926856667</v>
      </c>
      <c r="N5">
        <f>Table3[[#This Row],[weight]]*(0.9155*Table2[[#This Row],[J34]]-C$9)^2</f>
        <v>1.107826662345941</v>
      </c>
      <c r="O5">
        <f>Table3[[#This Row],[weight]]*(0.9155*Table2[[#This Row],[J45]]-D$9)^2</f>
        <v>9.171529592093421</v>
      </c>
      <c r="P5">
        <f>Table3[[#This Row],[weight]]*(0.9155*Table2[[#This Row],[J56]]-E$9)^2</f>
        <v>0.1694073064973888</v>
      </c>
      <c r="Q5">
        <f>Table3[[#This Row],[weight]]*(0.9155*Table2[[#This Row],[J67]]-F$9)^2</f>
        <v>0.24784484880651336</v>
      </c>
      <c r="R5">
        <f>Table3[[#This Row],[weight]]*(0.9155*Table2[[#This Row],[J67'']]-G$9)^2</f>
        <v>0.6963875079171804</v>
      </c>
      <c r="S5">
        <f>chloroform!J10</f>
        <v>9.0175843062160255E-2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1.9820091294750283E-5</v>
      </c>
      <c r="M6">
        <f>Table3[[#This Row],[weight]]*(0.9155*Table2[[#This Row],[J2,3]]-B$9)^2</f>
        <v>8.3736004641873737E-2</v>
      </c>
      <c r="N6">
        <f>Table3[[#This Row],[weight]]*(0.9155*Table2[[#This Row],[J34]]-C$9)^2</f>
        <v>8.1137934036916159E-2</v>
      </c>
      <c r="O6">
        <f>Table3[[#This Row],[weight]]*(0.9155*Table2[[#This Row],[J45]]-D$9)^2</f>
        <v>4.3043630229709896E-2</v>
      </c>
      <c r="P6">
        <f>Table3[[#This Row],[weight]]*(0.9155*Table2[[#This Row],[J56]]-E$9)^2</f>
        <v>2.3876018480016512E-3</v>
      </c>
      <c r="Q6">
        <f>Table3[[#This Row],[weight]]*(0.9155*Table2[[#This Row],[J67]]-F$9)^2</f>
        <v>3.1158598452268251E-3</v>
      </c>
      <c r="R6">
        <f>Table3[[#This Row],[weight]]*(0.9155*Table2[[#This Row],[J67'']]-G$9)^2</f>
        <v>2.3043467854379857E-2</v>
      </c>
      <c r="S6">
        <f>chloroform!J11</f>
        <v>2.2553882580080651E-3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1.9691476679800944E-2</v>
      </c>
      <c r="M7">
        <f>Table3[[#This Row],[weight]]*(0.9155*Table2[[#This Row],[J2,3]]-B$9)^2</f>
        <v>1.6167453261548326</v>
      </c>
      <c r="N7">
        <f>Table3[[#This Row],[weight]]*(0.9155*Table2[[#This Row],[J34]]-C$9)^2</f>
        <v>0.67315939496068511</v>
      </c>
      <c r="O7">
        <f>Table3[[#This Row],[weight]]*(0.9155*Table2[[#This Row],[J45]]-D$9)^2</f>
        <v>5.1861083830255943</v>
      </c>
      <c r="P7">
        <f>Table3[[#This Row],[weight]]*(0.9155*Table2[[#This Row],[J56]]-E$9)^2</f>
        <v>8.8349818182581891E-2</v>
      </c>
      <c r="Q7">
        <f>Table3[[#This Row],[weight]]*(0.9155*Table2[[#This Row],[J67]]-F$9)^2</f>
        <v>0.11561774628721598</v>
      </c>
      <c r="R7">
        <f>Table3[[#This Row],[weight]]*(0.9155*Table2[[#This Row],[J67'']]-G$9)^2</f>
        <v>0.45587376986456696</v>
      </c>
      <c r="S7">
        <f>chloroform!J12</f>
        <v>5.2119931562090403E-2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3.9980492016406348E-2</v>
      </c>
      <c r="M8">
        <f>Table3[[#This Row],[weight]]*(0.9155*Table2[[#This Row],[J2,3]]-B$9)^2</f>
        <v>1.3078251933672227</v>
      </c>
      <c r="N8">
        <f>Table3[[#This Row],[weight]]*(0.9155*Table2[[#This Row],[J34]]-C$9)^2</f>
        <v>0.36454432163021666</v>
      </c>
      <c r="O8">
        <f>Table3[[#This Row],[weight]]*(0.9155*Table2[[#This Row],[J45]]-D$9)^2</f>
        <v>4.5094406578129327</v>
      </c>
      <c r="P8">
        <f>Table3[[#This Row],[weight]]*(0.9155*Table2[[#This Row],[J56]]-E$9)^2</f>
        <v>8.5341077054793532E-2</v>
      </c>
      <c r="Q8">
        <f>Table3[[#This Row],[weight]]*(0.9155*Table2[[#This Row],[J67]]-F$9)^2</f>
        <v>6.8692439987754709E-3</v>
      </c>
      <c r="R8">
        <f>Table3[[#This Row],[weight]]*(0.9155*Table2[[#This Row],[J67'']]-G$9)^2</f>
        <v>0.88255215937493359</v>
      </c>
      <c r="S8">
        <f>chloroform!J13</f>
        <v>4.9026248301890757E-2</v>
      </c>
      <c r="T8" t="str">
        <f>chloroform!F13</f>
        <v>4H6</v>
      </c>
    </row>
    <row r="9" spans="1:20" x14ac:dyDescent="0.25">
      <c r="A9">
        <f>A5</f>
        <v>7.9853537166042319</v>
      </c>
      <c r="B9">
        <f t="shared" ref="B9:G9" si="0">B5</f>
        <v>2.7715861259013681</v>
      </c>
      <c r="C9">
        <f t="shared" si="0"/>
        <v>8.6611184254919511</v>
      </c>
      <c r="D9">
        <f t="shared" si="0"/>
        <v>10.386196658751766</v>
      </c>
      <c r="E9">
        <f t="shared" si="0"/>
        <v>9.4377606968730667</v>
      </c>
      <c r="F9">
        <f t="shared" si="0"/>
        <v>2.7518710083219542</v>
      </c>
      <c r="G9">
        <f t="shared" si="0"/>
        <v>5.3707282444567106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2.0919976488759985E-6</v>
      </c>
      <c r="M10">
        <f>Table3[[#This Row],[weight]]*(0.9155*Table2[[#This Row],[J2,3]]-B$9)^2</f>
        <v>0.37826435743591313</v>
      </c>
      <c r="N10">
        <f>Table3[[#This Row],[weight]]*(0.9155*Table2[[#This Row],[J34]]-C$9)^2</f>
        <v>0.53357848052014401</v>
      </c>
      <c r="O10">
        <f>Table3[[#This Row],[weight]]*(0.9155*Table2[[#This Row],[J45]]-D$9)^2</f>
        <v>0.25506745373223444</v>
      </c>
      <c r="P10">
        <f>Table3[[#This Row],[weight]]*(0.9155*Table2[[#This Row],[J56]]-E$9)^2</f>
        <v>5.3476210774546767E-3</v>
      </c>
      <c r="Q10">
        <f>Table3[[#This Row],[weight]]*(0.9155*Table2[[#This Row],[J67]]-F$9)^2</f>
        <v>1.1919690620402089E-6</v>
      </c>
      <c r="R10">
        <f>Table3[[#This Row],[weight]]*(0.9155*Table2[[#This Row],[J67'']]-G$9)^2</f>
        <v>0.3381087115990658</v>
      </c>
      <c r="S10">
        <f>chloroform!J15</f>
        <v>1.2043398259747991E-2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5.5945832593694643E-2</v>
      </c>
      <c r="M11">
        <f>Table3[[#This Row],[weight]]*(0.9155*Table2[[#This Row],[J2,3]]-B$9)^2</f>
        <v>2.4324593099547798</v>
      </c>
      <c r="N11">
        <f>Table3[[#This Row],[weight]]*(0.9155*Table2[[#This Row],[J34]]-C$9)^2</f>
        <v>1.1504152147686186</v>
      </c>
      <c r="O11">
        <f>Table3[[#This Row],[weight]]*(0.9155*Table2[[#This Row],[J45]]-D$9)^2</f>
        <v>10.133214851483338</v>
      </c>
      <c r="P11">
        <f>Table3[[#This Row],[weight]]*(0.9155*Table2[[#This Row],[J56]]-E$9)^2</f>
        <v>0.2208695468723984</v>
      </c>
      <c r="Q11">
        <f>Table3[[#This Row],[weight]]*(0.9155*Table2[[#This Row],[J67]]-F$9)^2</f>
        <v>3.0684045123963621E-2</v>
      </c>
      <c r="R11">
        <f>Table3[[#This Row],[weight]]*(0.9155*Table2[[#This Row],[J67'']]-G$9)^2</f>
        <v>1.6989820335118286</v>
      </c>
      <c r="S11">
        <f>chloroform!J16</f>
        <v>0.10039536964142365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9.9212747948529592E-7</v>
      </c>
      <c r="M12">
        <f>Table3[[#This Row],[weight]]*(0.9155*Table2[[#This Row],[J2,3]]-B$9)^2</f>
        <v>1.1982991172518098</v>
      </c>
      <c r="N12">
        <f>Table3[[#This Row],[weight]]*(0.9155*Table2[[#This Row],[J34]]-C$9)^2</f>
        <v>1.5969218914351524</v>
      </c>
      <c r="O12">
        <f>Table3[[#This Row],[weight]]*(0.9155*Table2[[#This Row],[J45]]-D$9)^2</f>
        <v>0.93113957652086554</v>
      </c>
      <c r="P12">
        <f>Table3[[#This Row],[weight]]*(0.9155*Table2[[#This Row],[J56]]-E$9)^2</f>
        <v>7.2425731208397008E-6</v>
      </c>
      <c r="Q12">
        <f>Table3[[#This Row],[weight]]*(0.9155*Table2[[#This Row],[J67]]-F$9)^2</f>
        <v>2.8265806427010438E-2</v>
      </c>
      <c r="R12">
        <f>Table3[[#This Row],[weight]]*(0.9155*Table2[[#This Row],[J67'']]-G$9)^2</f>
        <v>0.49530142457481785</v>
      </c>
      <c r="S12">
        <f>chloroform!J17</f>
        <v>3.7695088429460434E-2</v>
      </c>
      <c r="T12" t="str">
        <f>chloroform!F17</f>
        <v>45TH</v>
      </c>
    </row>
    <row r="13" spans="1:20" x14ac:dyDescent="0.25">
      <c r="A13">
        <f>SQRT(SUMIF($T$2:$T$70,$E$1,L$2:L$70)/(($G$1-1)*$B$1/$G$1))</f>
        <v>0.83886160767769624</v>
      </c>
      <c r="B13">
        <f>SQRT(SUMIF($T$2:$T$70,$E$1,M$2:M$70)/(($G$1-1)*$B$1/$G$1))</f>
        <v>0.38261342570402312</v>
      </c>
      <c r="C13">
        <f>SQRT(SUMIF($T$2:$T$46,$E$1,N$2:N$46)/(($G$1-1)*$B$1/$G$1))</f>
        <v>1.0212929656929941</v>
      </c>
      <c r="D13">
        <f t="shared" ref="D13:E13" si="1">SQRT(SUMIF($T$2:$T$46,$E$1,O$2:O$46)/(($G$1-1)*$B$1/$G$1))</f>
        <v>0.3485223090932284</v>
      </c>
      <c r="E13">
        <f t="shared" si="1"/>
        <v>0.40103706492624641</v>
      </c>
      <c r="F13">
        <f>SQRT(SUMIF($T$2:$T$70,$E$1,Q$2:Q$70)/(($G$1-1)*$B$1/$G$1))</f>
        <v>2.4779269801375965</v>
      </c>
      <c r="G13">
        <f>SQRT(SUMIF($T$2:$T$70,$E$1,R$2:R$70)/(($G$1-1)*$B$1/$G$1))</f>
        <v>4.3651341991756931</v>
      </c>
      <c r="K13">
        <f>chloroform!E18</f>
        <v>19</v>
      </c>
      <c r="L13">
        <f>Table3[[#This Row],[weight]]*(0.9155*Table2[[#This Row],[J1,2]]-A$9)^2</f>
        <v>2.0255624984396709E-5</v>
      </c>
      <c r="M13">
        <f>Table3[[#This Row],[weight]]*(0.9155*Table2[[#This Row],[J2,3]]-B$9)^2</f>
        <v>2.0350910796028176E-3</v>
      </c>
      <c r="N13">
        <f>Table3[[#This Row],[weight]]*(0.9155*Table2[[#This Row],[J34]]-C$9)^2</f>
        <v>1.2754283218134934E-2</v>
      </c>
      <c r="O13">
        <f>Table3[[#This Row],[weight]]*(0.9155*Table2[[#This Row],[J45]]-D$9)^2</f>
        <v>8.3110322930064467E-3</v>
      </c>
      <c r="P13">
        <f>Table3[[#This Row],[weight]]*(0.9155*Table2[[#This Row],[J56]]-E$9)^2</f>
        <v>0.2020925792547362</v>
      </c>
      <c r="Q13">
        <f>Table3[[#This Row],[weight]]*(0.9155*Table2[[#This Row],[J67]]-F$9)^2</f>
        <v>0.18959294529866283</v>
      </c>
      <c r="R13">
        <f>Table3[[#This Row],[weight]]*(0.9155*Table2[[#This Row],[J67'']]-G$9)^2</f>
        <v>3.5698702637023254E-5</v>
      </c>
      <c r="S13">
        <f>chloroform!J18</f>
        <v>2.3878120405735437E-3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6.4725633387727202E-2</v>
      </c>
      <c r="M14">
        <f>Table3[[#This Row],[weight]]*(0.9155*Table2[[#This Row],[J2,3]]-B$9)^2</f>
        <v>2.5878714615412277</v>
      </c>
      <c r="N14">
        <f>Table3[[#This Row],[weight]]*(0.9155*Table2[[#This Row],[J34]]-C$9)^2</f>
        <v>0.71721558274077091</v>
      </c>
      <c r="O14">
        <f>Table3[[#This Row],[weight]]*(0.9155*Table2[[#This Row],[J45]]-D$9)^2</f>
        <v>8.702928087100597</v>
      </c>
      <c r="P14">
        <f>Table3[[#This Row],[weight]]*(0.9155*Table2[[#This Row],[J56]]-E$9)^2</f>
        <v>0.17082847747627289</v>
      </c>
      <c r="Q14">
        <f>Table3[[#This Row],[weight]]*(0.9155*Table2[[#This Row],[J67]]-F$9)^2</f>
        <v>9.8762112914710015E-2</v>
      </c>
      <c r="R14">
        <f>Table3[[#This Row],[weight]]*(0.9155*Table2[[#This Row],[J67'']]-G$9)^2</f>
        <v>1.1016021352888168</v>
      </c>
      <c r="S14">
        <f>chloroform!J19</f>
        <v>9.3791979980002799E-2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0</v>
      </c>
      <c r="M15">
        <f>Table3[[#This Row],[weight]]*(0.9155*Table2[[#This Row],[J2,3]]-B$9)^2</f>
        <v>0</v>
      </c>
      <c r="N15">
        <f>Table3[[#This Row],[weight]]*(0.9155*Table2[[#This Row],[J34]]-C$9)^2</f>
        <v>0</v>
      </c>
      <c r="O15">
        <f>Table3[[#This Row],[weight]]*(0.9155*Table2[[#This Row],[J45]]-D$9)^2</f>
        <v>0</v>
      </c>
      <c r="P15">
        <f>Table3[[#This Row],[weight]]*(0.9155*Table2[[#This Row],[J56]]-E$9)^2</f>
        <v>0</v>
      </c>
      <c r="Q15">
        <f>Table3[[#This Row],[weight]]*(0.9155*Table2[[#This Row],[J67]]-F$9)^2</f>
        <v>0</v>
      </c>
      <c r="R15">
        <f>Table3[[#This Row],[weight]]*(0.9155*Table2[[#This Row],[J67'']]-G$9)^2</f>
        <v>0</v>
      </c>
      <c r="S15">
        <f>chloroform!J20</f>
        <v>0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2.8480497916793526E-6</v>
      </c>
      <c r="M16">
        <f>Table3[[#This Row],[weight]]*(0.9155*Table2[[#This Row],[J2,3]]-B$9)^2</f>
        <v>7.9727499746137728E-3</v>
      </c>
      <c r="N16">
        <f>Table3[[#This Row],[weight]]*(0.9155*Table2[[#This Row],[J34]]-C$9)^2</f>
        <v>7.8863076047504185E-3</v>
      </c>
      <c r="O16">
        <f>Table3[[#This Row],[weight]]*(0.9155*Table2[[#This Row],[J45]]-D$9)^2</f>
        <v>3.5526948584540148E-3</v>
      </c>
      <c r="P16">
        <f>Table3[[#This Row],[weight]]*(0.9155*Table2[[#This Row],[J56]]-E$9)^2</f>
        <v>3.6927481923672219E-4</v>
      </c>
      <c r="Q16">
        <f>Table3[[#This Row],[weight]]*(0.9155*Table2[[#This Row],[J67]]-F$9)^2</f>
        <v>7.8691043108914004E-5</v>
      </c>
      <c r="R16">
        <f>Table3[[#This Row],[weight]]*(0.9155*Table2[[#This Row],[J67'']]-G$9)^2</f>
        <v>6.1384287692849574E-3</v>
      </c>
      <c r="S16">
        <f>chloroform!J21</f>
        <v>2.1610368011094235E-4</v>
      </c>
      <c r="T16" t="str">
        <f>chloroform!F21</f>
        <v>45TH</v>
      </c>
    </row>
    <row r="17" spans="11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>
        <f>chloroform!E23</f>
        <v>24</v>
      </c>
      <c r="L18">
        <f>Table3[[#This Row],[weight]]*(0.9155*Table2[[#This Row],[J1,2]]-A$9)^2</f>
        <v>4.2245822263135774E-6</v>
      </c>
      <c r="M18">
        <f>Table3[[#This Row],[weight]]*(0.9155*Table2[[#This Row],[J2,3]]-B$9)^2</f>
        <v>8.2940754974697439E-3</v>
      </c>
      <c r="N18">
        <f>Table3[[#This Row],[weight]]*(0.9155*Table2[[#This Row],[J34]]-C$9)^2</f>
        <v>7.8003058919158888E-3</v>
      </c>
      <c r="O18">
        <f>Table3[[#This Row],[weight]]*(0.9155*Table2[[#This Row],[J45]]-D$9)^2</f>
        <v>4.4667356971768053E-3</v>
      </c>
      <c r="P18">
        <f>Table3[[#This Row],[weight]]*(0.9155*Table2[[#This Row],[J56]]-E$9)^2</f>
        <v>5.5574782384572866E-5</v>
      </c>
      <c r="Q18">
        <f>Table3[[#This Row],[weight]]*(0.9155*Table2[[#This Row],[J67]]-F$9)^2</f>
        <v>1.1646478229916983E-2</v>
      </c>
      <c r="R18">
        <f>Table3[[#This Row],[weight]]*(0.9155*Table2[[#This Row],[J67'']]-G$9)^2</f>
        <v>1.9924383721978008E-3</v>
      </c>
      <c r="S18">
        <f>chloroform!J23</f>
        <v>2.2583330833935605E-4</v>
      </c>
      <c r="T18" t="str">
        <f>chloroform!F23</f>
        <v>45TH</v>
      </c>
    </row>
    <row r="19" spans="11:20" x14ac:dyDescent="0.25">
      <c r="K19">
        <f>chloroform!E24</f>
        <v>26</v>
      </c>
      <c r="L19">
        <f>Table3[[#This Row],[weight]]*(0.9155*Table2[[#This Row],[J1,2]]-A$9)^2</f>
        <v>1.041808909318609E-5</v>
      </c>
      <c r="M19">
        <f>Table3[[#This Row],[weight]]*(0.9155*Table2[[#This Row],[J2,3]]-B$9)^2</f>
        <v>0.11365860139446751</v>
      </c>
      <c r="N19">
        <f>Table3[[#This Row],[weight]]*(0.9155*Table2[[#This Row],[J34]]-C$9)^2</f>
        <v>0.17231570873981769</v>
      </c>
      <c r="O19">
        <f>Table3[[#This Row],[weight]]*(0.9155*Table2[[#This Row],[J45]]-D$9)^2</f>
        <v>2.6548311874855547E-2</v>
      </c>
      <c r="P19">
        <f>Table3[[#This Row],[weight]]*(0.9155*Table2[[#This Row],[J56]]-E$9)^2</f>
        <v>8.265491886833903E-3</v>
      </c>
      <c r="Q19">
        <f>Table3[[#This Row],[weight]]*(0.9155*Table2[[#This Row],[J67]]-F$9)^2</f>
        <v>2.920015791735489E-3</v>
      </c>
      <c r="R19">
        <f>Table3[[#This Row],[weight]]*(0.9155*Table2[[#This Row],[J67'']]-G$9)^2</f>
        <v>4.3725952210358639E-2</v>
      </c>
      <c r="S19">
        <f>chloroform!J24</f>
        <v>3.4988345041332821E-3</v>
      </c>
      <c r="T19" t="str">
        <f>chloroform!F24</f>
        <v>45TH</v>
      </c>
    </row>
    <row r="20" spans="11:20" x14ac:dyDescent="0.25">
      <c r="K20">
        <f>chloroform!E25</f>
        <v>27</v>
      </c>
      <c r="L20">
        <f>Table3[[#This Row],[weight]]*(0.9155*Table2[[#This Row],[J1,2]]-A$9)^2</f>
        <v>7.2539746585768936E-2</v>
      </c>
      <c r="M20">
        <f>Table3[[#This Row],[weight]]*(0.9155*Table2[[#This Row],[J2,3]]-B$9)^2</f>
        <v>2.0821736594579519</v>
      </c>
      <c r="N20">
        <f>Table3[[#This Row],[weight]]*(0.9155*Table2[[#This Row],[J34]]-C$9)^2</f>
        <v>0.59272187589336656</v>
      </c>
      <c r="O20">
        <f>Table3[[#This Row],[weight]]*(0.9155*Table2[[#This Row],[J45]]-D$9)^2</f>
        <v>7.265000230859517</v>
      </c>
      <c r="P20">
        <f>Table3[[#This Row],[weight]]*(0.9155*Table2[[#This Row],[J56]]-E$9)^2</f>
        <v>0.23042222485866709</v>
      </c>
      <c r="Q20">
        <f>Table3[[#This Row],[weight]]*(0.9155*Table2[[#This Row],[J67]]-F$9)^2</f>
        <v>0.19906623073788393</v>
      </c>
      <c r="R20">
        <f>Table3[[#This Row],[weight]]*(0.9155*Table2[[#This Row],[J67'']]-G$9)^2</f>
        <v>1.6739074535427378</v>
      </c>
      <c r="S20">
        <f>chloroform!J25</f>
        <v>8.0576373460553866E-2</v>
      </c>
      <c r="T20" t="str">
        <f>chloroform!F25</f>
        <v>4H6</v>
      </c>
    </row>
    <row r="21" spans="11:20" x14ac:dyDescent="0.25">
      <c r="K21">
        <f>chloroform!E26</f>
        <v>30</v>
      </c>
      <c r="L21">
        <f>Table3[[#This Row],[weight]]*(0.9155*Table2[[#This Row],[J1,2]]-A$9)^2</f>
        <v>3.5069373570936994E-5</v>
      </c>
      <c r="M21">
        <f>Table3[[#This Row],[weight]]*(0.9155*Table2[[#This Row],[J2,3]]-B$9)^2</f>
        <v>4.1140288309493887E-4</v>
      </c>
      <c r="N21">
        <f>Table3[[#This Row],[weight]]*(0.9155*Table2[[#This Row],[J34]]-C$9)^2</f>
        <v>3.5986143413297787E-3</v>
      </c>
      <c r="O21">
        <f>Table3[[#This Row],[weight]]*(0.9155*Table2[[#This Row],[J45]]-D$9)^2</f>
        <v>1.6054957920663014E-3</v>
      </c>
      <c r="P21">
        <f>Table3[[#This Row],[weight]]*(0.9155*Table2[[#This Row],[J56]]-E$9)^2</f>
        <v>4.8087840931208978E-2</v>
      </c>
      <c r="Q21">
        <f>Table3[[#This Row],[weight]]*(0.9155*Table2[[#This Row],[J67]]-F$9)^2</f>
        <v>4.0389110355769919E-2</v>
      </c>
      <c r="R21">
        <f>Table3[[#This Row],[weight]]*(0.9155*Table2[[#This Row],[J67'']]-G$9)^2</f>
        <v>1.9649080509952697E-3</v>
      </c>
      <c r="S21">
        <f>chloroform!J26</f>
        <v>5.5979160194186085E-4</v>
      </c>
      <c r="T21" t="str">
        <f>chloroform!F26</f>
        <v>6H4</v>
      </c>
    </row>
    <row r="22" spans="11:20" x14ac:dyDescent="0.25">
      <c r="K22">
        <f>chloroform!E27</f>
        <v>33</v>
      </c>
      <c r="L22">
        <f>Table3[[#This Row],[weight]]*(0.9155*Table2[[#This Row],[J1,2]]-A$9)^2</f>
        <v>8.9029722839642764E-6</v>
      </c>
      <c r="M22">
        <f>Table3[[#This Row],[weight]]*(0.9155*Table2[[#This Row],[J2,3]]-B$9)^2</f>
        <v>3.4367442175042395E-2</v>
      </c>
      <c r="N22">
        <f>Table3[[#This Row],[weight]]*(0.9155*Table2[[#This Row],[J34]]-C$9)^2</f>
        <v>3.5498749523063589E-2</v>
      </c>
      <c r="O22">
        <f>Table3[[#This Row],[weight]]*(0.9155*Table2[[#This Row],[J45]]-D$9)^2</f>
        <v>1.4591615826146322E-2</v>
      </c>
      <c r="P22">
        <f>Table3[[#This Row],[weight]]*(0.9155*Table2[[#This Row],[J56]]-E$9)^2</f>
        <v>1.0727071744823149E-3</v>
      </c>
      <c r="Q22">
        <f>Table3[[#This Row],[weight]]*(0.9155*Table2[[#This Row],[J67]]-F$9)^2</f>
        <v>6.7029327413105745E-4</v>
      </c>
      <c r="R22">
        <f>Table3[[#This Row],[weight]]*(0.9155*Table2[[#This Row],[J67'']]-G$9)^2</f>
        <v>2.6457290177333059E-2</v>
      </c>
      <c r="S22">
        <f>chloroform!J27</f>
        <v>9.2095950357425885E-4</v>
      </c>
      <c r="T22" t="str">
        <f>chloroform!F27</f>
        <v>45TH</v>
      </c>
    </row>
    <row r="23" spans="11:20" x14ac:dyDescent="0.25">
      <c r="K23">
        <f>chloroform!E28</f>
        <v>34</v>
      </c>
      <c r="L23">
        <f>Table3[[#This Row],[weight]]*(0.9155*Table2[[#This Row],[J1,2]]-A$9)^2</f>
        <v>2.1203871164475051E-5</v>
      </c>
      <c r="M23">
        <f>Table3[[#This Row],[weight]]*(0.9155*Table2[[#This Row],[J2,3]]-B$9)^2</f>
        <v>2.4885127495166438E-4</v>
      </c>
      <c r="N23">
        <f>Table3[[#This Row],[weight]]*(0.9155*Table2[[#This Row],[J34]]-C$9)^2</f>
        <v>2.7400206042652725E-3</v>
      </c>
      <c r="O23">
        <f>Table3[[#This Row],[weight]]*(0.9155*Table2[[#This Row],[J45]]-D$9)^2</f>
        <v>4.771278713546591E-4</v>
      </c>
      <c r="P23">
        <f>Table3[[#This Row],[weight]]*(0.9155*Table2[[#This Row],[J56]]-E$9)^2</f>
        <v>3.3216223243003128E-2</v>
      </c>
      <c r="Q23">
        <f>Table3[[#This Row],[weight]]*(0.9155*Table2[[#This Row],[J67]]-F$9)^2</f>
        <v>1.1664833937029342E-3</v>
      </c>
      <c r="R23">
        <f>Table3[[#This Row],[weight]]*(0.9155*Table2[[#This Row],[J67'']]-G$9)^2</f>
        <v>1.0557974127161909E-3</v>
      </c>
      <c r="S23">
        <f>chloroform!J28</f>
        <v>4.3057306913062875E-4</v>
      </c>
      <c r="T23" t="str">
        <f>chloroform!F28</f>
        <v>6H4</v>
      </c>
    </row>
    <row r="24" spans="11:20" x14ac:dyDescent="0.25">
      <c r="K24">
        <f>chloroform!E29</f>
        <v>38</v>
      </c>
      <c r="L24">
        <f>Table3[[#This Row],[weight]]*(0.9155*Table2[[#This Row],[J1,2]]-A$9)^2</f>
        <v>3.0295221296253702E-5</v>
      </c>
      <c r="M24">
        <f>Table3[[#This Row],[weight]]*(0.9155*Table2[[#This Row],[J2,3]]-B$9)^2</f>
        <v>0.87805270549843228</v>
      </c>
      <c r="N24">
        <f>Table3[[#This Row],[weight]]*(0.9155*Table2[[#This Row],[J34]]-C$9)^2</f>
        <v>1.2443936616957698</v>
      </c>
      <c r="O24">
        <f>Table3[[#This Row],[weight]]*(0.9155*Table2[[#This Row],[J45]]-D$9)^2</f>
        <v>0.48950486540136889</v>
      </c>
      <c r="P24">
        <f>Table3[[#This Row],[weight]]*(0.9155*Table2[[#This Row],[J56]]-E$9)^2</f>
        <v>5.8318789255078565E-3</v>
      </c>
      <c r="Q24">
        <f>Table3[[#This Row],[weight]]*(0.9155*Table2[[#This Row],[J67]]-F$9)^2</f>
        <v>1.6717986686639832E-2</v>
      </c>
      <c r="R24">
        <f>Table3[[#This Row],[weight]]*(0.9155*Table2[[#This Row],[J67'']]-G$9)^2</f>
        <v>0.3634876640551693</v>
      </c>
      <c r="S24">
        <f>chloroform!J29</f>
        <v>2.6977702923286898E-2</v>
      </c>
      <c r="T24" t="str">
        <f>chloroform!F29</f>
        <v>45TH</v>
      </c>
    </row>
    <row r="25" spans="11:20" x14ac:dyDescent="0.25">
      <c r="K25">
        <f>chloroform!E30</f>
        <v>39</v>
      </c>
      <c r="L25">
        <f>Table3[[#This Row],[weight]]*(0.9155*Table2[[#This Row],[J1,2]]-A$9)^2</f>
        <v>8.3099955241313514E-2</v>
      </c>
      <c r="M25">
        <f>Table3[[#This Row],[weight]]*(0.9155*Table2[[#This Row],[J2,3]]-B$9)^2</f>
        <v>2.8944423080429496</v>
      </c>
      <c r="N25">
        <f>Table3[[#This Row],[weight]]*(0.9155*Table2[[#This Row],[J34]]-C$9)^2</f>
        <v>1.3919848948350078</v>
      </c>
      <c r="O25">
        <f>Table3[[#This Row],[weight]]*(0.9155*Table2[[#This Row],[J45]]-D$9)^2</f>
        <v>12.514549743324022</v>
      </c>
      <c r="P25">
        <f>Table3[[#This Row],[weight]]*(0.9155*Table2[[#This Row],[J56]]-E$9)^2</f>
        <v>0.45501929520029316</v>
      </c>
      <c r="Q25">
        <f>Table3[[#This Row],[weight]]*(0.9155*Table2[[#This Row],[J67]]-F$9)^2</f>
        <v>0.29479955699202154</v>
      </c>
      <c r="R25">
        <f>Table3[[#This Row],[weight]]*(0.9155*Table2[[#This Row],[J67'']]-G$9)^2</f>
        <v>2.7789855460304134</v>
      </c>
      <c r="S25">
        <f>chloroform!J30</f>
        <v>0.127049524467722</v>
      </c>
      <c r="T25" t="str">
        <f>chloroform!F30</f>
        <v>4H6</v>
      </c>
    </row>
    <row r="26" spans="11:20" x14ac:dyDescent="0.25">
      <c r="K26">
        <f>chloroform!E31</f>
        <v>41</v>
      </c>
      <c r="L26">
        <f>Table3[[#This Row],[weight]]*(0.9155*Table2[[#This Row],[J1,2]]-A$9)^2</f>
        <v>6.6116718037676062E-2</v>
      </c>
      <c r="M26">
        <f>Table3[[#This Row],[weight]]*(0.9155*Table2[[#This Row],[J2,3]]-B$9)^2</f>
        <v>2.092347068860438</v>
      </c>
      <c r="N26">
        <f>Table3[[#This Row],[weight]]*(0.9155*Table2[[#This Row],[J34]]-C$9)^2</f>
        <v>0.78834862486432788</v>
      </c>
      <c r="O26">
        <f>Table3[[#This Row],[weight]]*(0.9155*Table2[[#This Row],[J45]]-D$9)^2</f>
        <v>7.8221047284138905</v>
      </c>
      <c r="P26">
        <f>Table3[[#This Row],[weight]]*(0.9155*Table2[[#This Row],[J56]]-E$9)^2</f>
        <v>0.1964804287244504</v>
      </c>
      <c r="Q26">
        <f>Table3[[#This Row],[weight]]*(0.9155*Table2[[#This Row],[J67]]-F$9)^2</f>
        <v>0.19595581068547002</v>
      </c>
      <c r="R26">
        <f>Table3[[#This Row],[weight]]*(0.9155*Table2[[#This Row],[J67'']]-G$9)^2</f>
        <v>1.7463235842449989</v>
      </c>
      <c r="S26">
        <f>chloroform!J31</f>
        <v>8.0911768100308368E-2</v>
      </c>
      <c r="T26" t="str">
        <f>chloroform!F31</f>
        <v>4H6</v>
      </c>
    </row>
    <row r="27" spans="11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>
        <f>chloroform!E33</f>
        <v>48</v>
      </c>
      <c r="L28">
        <f>Table3[[#This Row],[weight]]*(0.9155*Table2[[#This Row],[J1,2]]-A$9)^2</f>
        <v>2.0432366323848868E-2</v>
      </c>
      <c r="M28">
        <f>Table3[[#This Row],[weight]]*(0.9155*Table2[[#This Row],[J2,3]]-B$9)^2</f>
        <v>0.10770566516926014</v>
      </c>
      <c r="N28">
        <f>Table3[[#This Row],[weight]]*(0.9155*Table2[[#This Row],[J34]]-C$9)^2</f>
        <v>9.6525362530907079E-3</v>
      </c>
      <c r="O28">
        <f>Table3[[#This Row],[weight]]*(0.9155*Table2[[#This Row],[J45]]-D$9)^2</f>
        <v>2.0650811865199682E-3</v>
      </c>
      <c r="P28">
        <f>Table3[[#This Row],[weight]]*(0.9155*Table2[[#This Row],[J56]]-E$9)^2</f>
        <v>3.0395510274796568E-2</v>
      </c>
      <c r="Q28">
        <f>Table3[[#This Row],[weight]]*(0.9155*Table2[[#This Row],[J67]]-F$9)^2</f>
        <v>1.1622686151281559E-2</v>
      </c>
      <c r="R28">
        <f>Table3[[#This Row],[weight]]*(0.9155*Table2[[#This Row],[J67'']]-G$9)^2</f>
        <v>0.32020469664070644</v>
      </c>
      <c r="S28">
        <f>chloroform!J33</f>
        <v>1.2775133820605666E-2</v>
      </c>
      <c r="T28" t="str">
        <f>chloroform!F33</f>
        <v>56TH</v>
      </c>
    </row>
    <row r="29" spans="11:20" x14ac:dyDescent="0.25">
      <c r="K29">
        <f>chloroform!E34</f>
        <v>57</v>
      </c>
      <c r="L29">
        <f>Table3[[#This Row],[weight]]*(0.9155*Table2[[#This Row],[J1,2]]-A$9)^2</f>
        <v>2.6486579340584278E-5</v>
      </c>
      <c r="M29">
        <f>Table3[[#This Row],[weight]]*(0.9155*Table2[[#This Row],[J2,3]]-B$9)^2</f>
        <v>6.7912498450836212E-4</v>
      </c>
      <c r="N29">
        <f>Table3[[#This Row],[weight]]*(0.9155*Table2[[#This Row],[J34]]-C$9)^2</f>
        <v>6.2253754517587198E-3</v>
      </c>
      <c r="O29">
        <f>Table3[[#This Row],[weight]]*(0.9155*Table2[[#This Row],[J45]]-D$9)^2</f>
        <v>1.3087695048782237E-2</v>
      </c>
      <c r="P29">
        <f>Table3[[#This Row],[weight]]*(0.9155*Table2[[#This Row],[J56]]-E$9)^2</f>
        <v>6.7456250609531351E-2</v>
      </c>
      <c r="Q29">
        <f>Table3[[#This Row],[weight]]*(0.9155*Table2[[#This Row],[J67]]-F$9)^2</f>
        <v>1.2462992828175768E-4</v>
      </c>
      <c r="R29">
        <f>Table3[[#This Row],[weight]]*(0.9155*Table2[[#This Row],[J67'']]-G$9)^2</f>
        <v>3.7686108287250136E-2</v>
      </c>
      <c r="S29">
        <f>chloroform!J34</f>
        <v>8.3446191868302429E-4</v>
      </c>
      <c r="T29" t="str">
        <f>chloroform!F34</f>
        <v>6H4</v>
      </c>
    </row>
    <row r="30" spans="11:20" x14ac:dyDescent="0.25">
      <c r="K30">
        <f>chloroform!E35</f>
        <v>59</v>
      </c>
      <c r="L30">
        <f>Table3[[#This Row],[weight]]*(0.9155*Table2[[#This Row],[J1,2]]-A$9)^2</f>
        <v>7.3910832888695569E-5</v>
      </c>
      <c r="M30">
        <f>Table3[[#This Row],[weight]]*(0.9155*Table2[[#This Row],[J2,3]]-B$9)^2</f>
        <v>1.1841895702644185E-5</v>
      </c>
      <c r="N30">
        <f>Table3[[#This Row],[weight]]*(0.9155*Table2[[#This Row],[J34]]-C$9)^2</f>
        <v>1.3633836595152693E-4</v>
      </c>
      <c r="O30">
        <f>Table3[[#This Row],[weight]]*(0.9155*Table2[[#This Row],[J45]]-D$9)^2</f>
        <v>4.4613864332400666E-3</v>
      </c>
      <c r="P30">
        <f>Table3[[#This Row],[weight]]*(0.9155*Table2[[#This Row],[J56]]-E$9)^2</f>
        <v>9.5525514878202415E-4</v>
      </c>
      <c r="Q30">
        <f>Table3[[#This Row],[weight]]*(0.9155*Table2[[#This Row],[J67]]-F$9)^2</f>
        <v>1.7283475374663026E-4</v>
      </c>
      <c r="R30">
        <f>Table3[[#This Row],[weight]]*(0.9155*Table2[[#This Row],[J67'']]-G$9)^2</f>
        <v>7.8958499426530731E-4</v>
      </c>
      <c r="S30">
        <f>chloroform!J35</f>
        <v>5.0795088160469441E-5</v>
      </c>
      <c r="T30" t="str">
        <f>chloroform!F35</f>
        <v>45TH</v>
      </c>
    </row>
    <row r="31" spans="11:20" x14ac:dyDescent="0.25">
      <c r="K31">
        <f>chloroform!E36</f>
        <v>72</v>
      </c>
      <c r="L31">
        <f>Table3[[#This Row],[weight]]*(0.9155*Table2[[#This Row],[J1,2]]-A$9)^2</f>
        <v>1.1135246279768913E-3</v>
      </c>
      <c r="M31">
        <f>Table3[[#This Row],[weight]]*(0.9155*Table2[[#This Row],[J2,3]]-B$9)^2</f>
        <v>6.37924957542092E-2</v>
      </c>
      <c r="N31">
        <f>Table3[[#This Row],[weight]]*(0.9155*Table2[[#This Row],[J34]]-C$9)^2</f>
        <v>3.1750520613418827E-2</v>
      </c>
      <c r="O31">
        <f>Table3[[#This Row],[weight]]*(0.9155*Table2[[#This Row],[J45]]-D$9)^2</f>
        <v>0.24885795363581861</v>
      </c>
      <c r="P31">
        <f>Table3[[#This Row],[weight]]*(0.9155*Table2[[#This Row],[J56]]-E$9)^2</f>
        <v>6.3673335782000835E-3</v>
      </c>
      <c r="Q31">
        <f>Table3[[#This Row],[weight]]*(0.9155*Table2[[#This Row],[J67]]-F$9)^2</f>
        <v>6.8264483488401834E-2</v>
      </c>
      <c r="R31">
        <f>Table3[[#This Row],[weight]]*(0.9155*Table2[[#This Row],[J67'']]-G$9)^2</f>
        <v>5.5922611582743552E-2</v>
      </c>
      <c r="S31">
        <f>chloroform!J36</f>
        <v>2.4633282831997422E-3</v>
      </c>
      <c r="T31" t="str">
        <f>chloroform!F36</f>
        <v>4H6</v>
      </c>
    </row>
    <row r="32" spans="11:20" x14ac:dyDescent="0.25">
      <c r="K32">
        <f>chloroform!E37</f>
        <v>73</v>
      </c>
      <c r="L32">
        <f>Table3[[#This Row],[weight]]*(0.9155*Table2[[#This Row],[J1,2]]-A$9)^2</f>
        <v>2.1478532576731772E-2</v>
      </c>
      <c r="M32">
        <f>Table3[[#This Row],[weight]]*(0.9155*Table2[[#This Row],[J2,3]]-B$9)^2</f>
        <v>1.6182792745562929E-3</v>
      </c>
      <c r="N32">
        <f>Table3[[#This Row],[weight]]*(0.9155*Table2[[#This Row],[J34]]-C$9)^2</f>
        <v>3.5800360511158008E-2</v>
      </c>
      <c r="O32">
        <f>Table3[[#This Row],[weight]]*(0.9155*Table2[[#This Row],[J45]]-D$9)^2</f>
        <v>4.1866588813915589E-3</v>
      </c>
      <c r="P32">
        <f>Table3[[#This Row],[weight]]*(0.9155*Table2[[#This Row],[J56]]-E$9)^2</f>
        <v>4.0281245688192201E-3</v>
      </c>
      <c r="Q32">
        <f>Table3[[#This Row],[weight]]*(0.9155*Table2[[#This Row],[J67]]-F$9)^2</f>
        <v>3.0168116727374582E-2</v>
      </c>
      <c r="R32">
        <f>Table3[[#This Row],[weight]]*(0.9155*Table2[[#This Row],[J67'']]-G$9)^2</f>
        <v>0.43834709708318664</v>
      </c>
      <c r="S32">
        <f>chloroform!J37</f>
        <v>3.4201849845768455E-2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1.2095493680700077E-4</v>
      </c>
      <c r="M33">
        <f>Table3[[#This Row],[weight]]*(0.9155*Table2[[#This Row],[J2,3]]-B$9)^2</f>
        <v>1.7680542732902365E-5</v>
      </c>
      <c r="N33">
        <f>Table3[[#This Row],[weight]]*(0.9155*Table2[[#This Row],[J34]]-C$9)^2</f>
        <v>2.4354567625869809E-4</v>
      </c>
      <c r="O33">
        <f>Table3[[#This Row],[weight]]*(0.9155*Table2[[#This Row],[J45]]-D$9)^2</f>
        <v>6.3779330950364818E-3</v>
      </c>
      <c r="P33">
        <f>Table3[[#This Row],[weight]]*(0.9155*Table2[[#This Row],[J56]]-E$9)^2</f>
        <v>1.4758283407044091E-3</v>
      </c>
      <c r="Q33">
        <f>Table3[[#This Row],[weight]]*(0.9155*Table2[[#This Row],[J67]]-F$9)^2</f>
        <v>1.1138734398444898E-4</v>
      </c>
      <c r="R33">
        <f>Table3[[#This Row],[weight]]*(0.9155*Table2[[#This Row],[J67'']]-G$9)^2</f>
        <v>1.8617401562507168E-3</v>
      </c>
      <c r="S33">
        <f>chloroform!J38</f>
        <v>7.3043412281397076E-5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4.2896862238743441E-6</v>
      </c>
      <c r="M34">
        <f>Table3[[#This Row],[weight]]*(0.9155*Table2[[#This Row],[J2,3]]-B$9)^2</f>
        <v>0.68044126958173645</v>
      </c>
      <c r="N34">
        <f>Table3[[#This Row],[weight]]*(0.9155*Table2[[#This Row],[J34]]-C$9)^2</f>
        <v>0.98562912132985314</v>
      </c>
      <c r="O34">
        <f>Table3[[#This Row],[weight]]*(0.9155*Table2[[#This Row],[J45]]-D$9)^2</f>
        <v>0.39198181079393946</v>
      </c>
      <c r="P34">
        <f>Table3[[#This Row],[weight]]*(0.9155*Table2[[#This Row],[J56]]-E$9)^2</f>
        <v>5.6612856396245819E-3</v>
      </c>
      <c r="Q34">
        <f>Table3[[#This Row],[weight]]*(0.9155*Table2[[#This Row],[J67]]-F$9)^2</f>
        <v>1.228001311902671E-2</v>
      </c>
      <c r="R34">
        <f>Table3[[#This Row],[weight]]*(0.9155*Table2[[#This Row],[J67'']]-G$9)^2</f>
        <v>0.65914142564211065</v>
      </c>
      <c r="S34">
        <f>chloroform!J39</f>
        <v>2.1020730544865893E-2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9.1258514677540971E-7</v>
      </c>
      <c r="M35">
        <f>Table3[[#This Row],[weight]]*(0.9155*Table2[[#This Row],[J2,3]]-B$9)^2</f>
        <v>2.0138199558354395E-3</v>
      </c>
      <c r="N35">
        <f>Table3[[#This Row],[weight]]*(0.9155*Table2[[#This Row],[J34]]-C$9)^2</f>
        <v>2.8857472776254939E-3</v>
      </c>
      <c r="O35">
        <f>Table3[[#This Row],[weight]]*(0.9155*Table2[[#This Row],[J45]]-D$9)^2</f>
        <v>3.1049652036595765E-3</v>
      </c>
      <c r="P35">
        <f>Table3[[#This Row],[weight]]*(0.9155*Table2[[#This Row],[J56]]-E$9)^2</f>
        <v>3.7025787344775692E-3</v>
      </c>
      <c r="Q35">
        <f>Table3[[#This Row],[weight]]*(0.9155*Table2[[#This Row],[J67]]-F$9)^2</f>
        <v>7.467800095751936E-3</v>
      </c>
      <c r="R35">
        <f>Table3[[#This Row],[weight]]*(0.9155*Table2[[#This Row],[J67'']]-G$9)^2</f>
        <v>4.3929191136200299E-6</v>
      </c>
      <c r="S35">
        <f>chloroform!J40</f>
        <v>8.2900781620253312E-5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1.9459266256293788E-2</v>
      </c>
      <c r="M38">
        <f>Table3[[#This Row],[weight]]*(0.9155*Table2[[#This Row],[J2,3]]-B$9)^2</f>
        <v>1.6075231409276817E-3</v>
      </c>
      <c r="N38">
        <f>Table3[[#This Row],[weight]]*(0.9155*Table2[[#This Row],[J34]]-C$9)^2</f>
        <v>3.2180517738598556E-2</v>
      </c>
      <c r="O38">
        <f>Table3[[#This Row],[weight]]*(0.9155*Table2[[#This Row],[J45]]-D$9)^2</f>
        <v>3.6850750089607292E-3</v>
      </c>
      <c r="P38">
        <f>Table3[[#This Row],[weight]]*(0.9155*Table2[[#This Row],[J56]]-E$9)^2</f>
        <v>6.5600604218343855E-3</v>
      </c>
      <c r="Q38">
        <f>Table3[[#This Row],[weight]]*(0.9155*Table2[[#This Row],[J67]]-F$9)^2</f>
        <v>8.9967420027000818E-3</v>
      </c>
      <c r="R38">
        <f>Table3[[#This Row],[weight]]*(0.9155*Table2[[#This Row],[J67'']]-G$9)^2</f>
        <v>0.65408654908955732</v>
      </c>
      <c r="S38">
        <f>chloroform!J43</f>
        <v>2.7229119744419213E-2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5.6654145865708621E-5</v>
      </c>
      <c r="M42">
        <f>Table3[[#This Row],[weight]]*(0.9155*Table2[[#This Row],[J2,3]]-B$9)^2</f>
        <v>0.39174294681949962</v>
      </c>
      <c r="N42">
        <f>Table3[[#This Row],[weight]]*(0.9155*Table2[[#This Row],[J34]]-C$9)^2</f>
        <v>0.43820566861169313</v>
      </c>
      <c r="O42">
        <f>Table3[[#This Row],[weight]]*(0.9155*Table2[[#This Row],[J45]]-D$9)^2</f>
        <v>0.19643979416206964</v>
      </c>
      <c r="P42">
        <f>Table3[[#This Row],[weight]]*(0.9155*Table2[[#This Row],[J56]]-E$9)^2</f>
        <v>1.4992043455247172E-3</v>
      </c>
      <c r="Q42">
        <f>Table3[[#This Row],[weight]]*(0.9155*Table2[[#This Row],[J67]]-F$9)^2</f>
        <v>5.0856044232136033E-4</v>
      </c>
      <c r="R42">
        <f>Table3[[#This Row],[weight]]*(0.9155*Table2[[#This Row],[J67'']]-G$9)^2</f>
        <v>0.31301618472275816</v>
      </c>
      <c r="S42">
        <f>chloroform!J47</f>
        <v>9.9563621398811759E-3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8.2289275397063807E-4</v>
      </c>
      <c r="M43">
        <f>Table3[[#This Row],[weight]]*(0.9155*Table2[[#This Row],[J2,3]]-B$9)^2</f>
        <v>2.7866925831883662E-5</v>
      </c>
      <c r="N43">
        <f>Table3[[#This Row],[weight]]*(0.9155*Table2[[#This Row],[J34]]-C$9)^2</f>
        <v>6.8732793243079105E-4</v>
      </c>
      <c r="O43">
        <f>Table3[[#This Row],[weight]]*(0.9155*Table2[[#This Row],[J45]]-D$9)^2</f>
        <v>1.2506522964006672E-4</v>
      </c>
      <c r="P43">
        <f>Table3[[#This Row],[weight]]*(0.9155*Table2[[#This Row],[J56]]-E$9)^2</f>
        <v>6.1609500954930221E-8</v>
      </c>
      <c r="Q43">
        <f>Table3[[#This Row],[weight]]*(0.9155*Table2[[#This Row],[J67]]-F$9)^2</f>
        <v>2.4961019681009715E-3</v>
      </c>
      <c r="R43">
        <f>Table3[[#This Row],[weight]]*(0.9155*Table2[[#This Row],[J67'']]-G$9)^2</f>
        <v>5.3732592066429927E-3</v>
      </c>
      <c r="S43">
        <f>chloroform!J48</f>
        <v>8.797775676616489E-4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1.3443859833277015E-6</v>
      </c>
      <c r="M45">
        <f>Table3[[#This Row],[weight]]*(0.9155*Table2[[#This Row],[J2,3]]-B$9)^2</f>
        <v>1.0008456543109074E-2</v>
      </c>
      <c r="N45">
        <f>Table3[[#This Row],[weight]]*(0.9155*Table2[[#This Row],[J34]]-C$9)^2</f>
        <v>1.484501699513446E-2</v>
      </c>
      <c r="O45">
        <f>Table3[[#This Row],[weight]]*(0.9155*Table2[[#This Row],[J45]]-D$9)^2</f>
        <v>1.5521872004676333E-2</v>
      </c>
      <c r="P45">
        <f>Table3[[#This Row],[weight]]*(0.9155*Table2[[#This Row],[J56]]-E$9)^2</f>
        <v>1.775196353062132E-2</v>
      </c>
      <c r="Q45">
        <f>Table3[[#This Row],[weight]]*(0.9155*Table2[[#This Row],[J67]]-F$9)^2</f>
        <v>8.0179212712543329E-4</v>
      </c>
      <c r="R45">
        <f>Table3[[#This Row],[weight]]*(0.9155*Table2[[#This Row],[J67'']]-G$9)^2</f>
        <v>8.3322472049254248E-3</v>
      </c>
      <c r="S45">
        <f>chloroform!J50</f>
        <v>4.0926614405763966E-4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3.9545989100244856E-3</v>
      </c>
      <c r="M46">
        <f>Table3[[#This Row],[weight]]*(0.9155*Table2[[#This Row],[J2,3]]-B$9)^2</f>
        <v>1.850155732284001E-2</v>
      </c>
      <c r="N46">
        <f>Table3[[#This Row],[weight]]*(0.9155*Table2[[#This Row],[J34]]-C$9)^2</f>
        <v>3.5449259092108143E-3</v>
      </c>
      <c r="O46">
        <f>Table3[[#This Row],[weight]]*(0.9155*Table2[[#This Row],[J45]]-D$9)^2</f>
        <v>1.0776884750461747E-3</v>
      </c>
      <c r="P46">
        <f>Table3[[#This Row],[weight]]*(0.9155*Table2[[#This Row],[J56]]-E$9)^2</f>
        <v>1.1659210848050581E-2</v>
      </c>
      <c r="Q46">
        <f>Table3[[#This Row],[weight]]*(0.9155*Table2[[#This Row],[J67]]-F$9)^2</f>
        <v>9.6001893128187313E-3</v>
      </c>
      <c r="R46">
        <f>Table3[[#This Row],[weight]]*(0.9155*Table2[[#This Row],[J67'']]-G$9)^2</f>
        <v>5.3081436590235419E-2</v>
      </c>
      <c r="S46">
        <f>chloroform!J51</f>
        <v>3.2689873553548628E-3</v>
      </c>
      <c r="T46" t="str">
        <f>chloroform!F51</f>
        <v>56TH</v>
      </c>
    </row>
    <row r="47" spans="11:20" x14ac:dyDescent="0.25">
      <c r="K47">
        <f>chloroform!E52</f>
        <v>136</v>
      </c>
      <c r="L47" s="4">
        <f>Table3[[#This Row],[weight]]*(0.9155*Table2[[#This Row],[J1,2]]-A$9)^2</f>
        <v>2.3536248179684049E-4</v>
      </c>
      <c r="M47" s="4">
        <f>Table3[[#This Row],[weight]]*(0.9155*Table2[[#This Row],[J2,3]]-B$9)^2</f>
        <v>1.3716468569400894E-5</v>
      </c>
      <c r="N47" s="4">
        <f>Table3[[#This Row],[weight]]*(0.9155*Table2[[#This Row],[J34]]-C$9)^2</f>
        <v>3.4122019887285817E-4</v>
      </c>
      <c r="O47" s="4">
        <f>Table3[[#This Row],[weight]]*(0.9155*Table2[[#This Row],[J45]]-D$9)^2</f>
        <v>1.0172537133825472E-4</v>
      </c>
      <c r="P47" s="4">
        <f>Table3[[#This Row],[weight]]*(0.9155*Table2[[#This Row],[J56]]-E$9)^2</f>
        <v>4.7393901011341796E-4</v>
      </c>
      <c r="Q47" s="4">
        <f>Table3[[#This Row],[weight]]*(0.9155*Table2[[#This Row],[J67]]-F$9)^2</f>
        <v>2.5902042329135878E-4</v>
      </c>
      <c r="R47" s="4">
        <f>Table3[[#This Row],[weight]]*(0.9155*Table2[[#This Row],[J67'']]-G$9)^2</f>
        <v>2.9876617195217735E-2</v>
      </c>
      <c r="S47">
        <f>chloroform!J52</f>
        <v>1.1479041648005052E-3</v>
      </c>
      <c r="T47" t="str">
        <f>chloroform!F52</f>
        <v>5C12</v>
      </c>
    </row>
    <row r="48" spans="11:20" x14ac:dyDescent="0.25">
      <c r="K48">
        <f>chloroform!E53</f>
        <v>142</v>
      </c>
      <c r="L48" s="4">
        <f>Table3[[#This Row],[weight]]*(0.9155*Table2[[#This Row],[J1,2]]-A$9)^2</f>
        <v>2.7956694627796356E-3</v>
      </c>
      <c r="M48" s="4">
        <f>Table3[[#This Row],[weight]]*(0.9155*Table2[[#This Row],[J2,3]]-B$9)^2</f>
        <v>8.5426277046578313E-4</v>
      </c>
      <c r="N48" s="4">
        <f>Table3[[#This Row],[weight]]*(0.9155*Table2[[#This Row],[J34]]-C$9)^2</f>
        <v>8.852951791573976E-3</v>
      </c>
      <c r="O48" s="4">
        <f>Table3[[#This Row],[weight]]*(0.9155*Table2[[#This Row],[J45]]-D$9)^2</f>
        <v>1.1960567443128731E-4</v>
      </c>
      <c r="P48" s="4">
        <f>Table3[[#This Row],[weight]]*(0.9155*Table2[[#This Row],[J56]]-E$9)^2</f>
        <v>8.4424359201884579E-4</v>
      </c>
      <c r="Q48" s="4">
        <f>Table3[[#This Row],[weight]]*(0.9155*Table2[[#This Row],[J67]]-F$9)^2</f>
        <v>0.33279487196755914</v>
      </c>
      <c r="R48" s="4">
        <f>Table3[[#This Row],[weight]]*(0.9155*Table2[[#This Row],[J67'']]-G$9)^2</f>
        <v>7.1935145324181105E-2</v>
      </c>
      <c r="S48">
        <f>chloroform!J53</f>
        <v>6.897703231285998E-3</v>
      </c>
      <c r="T48" t="str">
        <f>chloroform!F53</f>
        <v>5C12</v>
      </c>
    </row>
    <row r="49" spans="11:20" x14ac:dyDescent="0.25">
      <c r="K49">
        <f>chloroform!E54</f>
        <v>143</v>
      </c>
      <c r="L49" s="4">
        <f>Table3[[#This Row],[weight]]*(0.9155*Table2[[#This Row],[J1,2]]-A$9)^2</f>
        <v>1.4541792859620684E-5</v>
      </c>
      <c r="M49" s="4">
        <f>Table3[[#This Row],[weight]]*(0.9155*Table2[[#This Row],[J2,3]]-B$9)^2</f>
        <v>2.9988490431045083E-3</v>
      </c>
      <c r="N49" s="4">
        <f>Table3[[#This Row],[weight]]*(0.9155*Table2[[#This Row],[J34]]-C$9)^2</f>
        <v>5.6463585048124989E-3</v>
      </c>
      <c r="O49" s="4">
        <f>Table3[[#This Row],[weight]]*(0.9155*Table2[[#This Row],[J45]]-D$9)^2</f>
        <v>8.3235062878156971E-5</v>
      </c>
      <c r="P49" s="4">
        <f>Table3[[#This Row],[weight]]*(0.9155*Table2[[#This Row],[J56]]-E$9)^2</f>
        <v>2.9191552587825122E-4</v>
      </c>
      <c r="Q49" s="4">
        <f>Table3[[#This Row],[weight]]*(0.9155*Table2[[#This Row],[J67]]-F$9)^2</f>
        <v>4.2528339638019871E-3</v>
      </c>
      <c r="R49" s="4">
        <f>Table3[[#This Row],[weight]]*(0.9155*Table2[[#This Row],[J67'']]-G$9)^2</f>
        <v>1.0999917035434648E-3</v>
      </c>
      <c r="S49">
        <f>chloroform!J54</f>
        <v>8.4696381353338763E-5</v>
      </c>
      <c r="T49" t="str">
        <f>chloroform!F54</f>
        <v>45TH</v>
      </c>
    </row>
    <row r="50" spans="11:20" x14ac:dyDescent="0.25">
      <c r="K50">
        <f>chloroform!E55</f>
        <v>144</v>
      </c>
      <c r="L50" s="4">
        <f>Table3[[#This Row],[weight]]*(0.9155*Table2[[#This Row],[J1,2]]-A$9)^2</f>
        <v>9.2598701302471116E-6</v>
      </c>
      <c r="M50" s="4">
        <f>Table3[[#This Row],[weight]]*(0.9155*Table2[[#This Row],[J2,3]]-B$9)^2</f>
        <v>1.7101472899021541E-3</v>
      </c>
      <c r="N50" s="4">
        <f>Table3[[#This Row],[weight]]*(0.9155*Table2[[#This Row],[J34]]-C$9)^2</f>
        <v>3.5325093407390907E-3</v>
      </c>
      <c r="O50" s="4">
        <f>Table3[[#This Row],[weight]]*(0.9155*Table2[[#This Row],[J45]]-D$9)^2</f>
        <v>3.29387695692228E-3</v>
      </c>
      <c r="P50" s="4">
        <f>Table3[[#This Row],[weight]]*(0.9155*Table2[[#This Row],[J56]]-E$9)^2</f>
        <v>3.670467239780041E-3</v>
      </c>
      <c r="Q50" s="4">
        <f>Table3[[#This Row],[weight]]*(0.9155*Table2[[#This Row],[J67]]-F$9)^2</f>
        <v>7.976907456421262E-3</v>
      </c>
      <c r="R50" s="4">
        <f>Table3[[#This Row],[weight]]*(0.9155*Table2[[#This Row],[J67'']]-G$9)^2</f>
        <v>2.5183911807664948E-5</v>
      </c>
      <c r="S50">
        <f>chloroform!J55</f>
        <v>8.7368604714424999E-5</v>
      </c>
      <c r="T50" t="str">
        <f>chloroform!F55</f>
        <v>12C5</v>
      </c>
    </row>
    <row r="51" spans="11:20" x14ac:dyDescent="0.25">
      <c r="K51">
        <f>chloroform!E56</f>
        <v>145</v>
      </c>
      <c r="L51" s="4">
        <f>Table3[[#This Row],[weight]]*(0.9155*Table2[[#This Row],[J1,2]]-A$9)^2</f>
        <v>4.2899332575328426E-5</v>
      </c>
      <c r="M51" s="4">
        <f>Table3[[#This Row],[weight]]*(0.9155*Table2[[#This Row],[J2,3]]-B$9)^2</f>
        <v>5.2098922396980425E-3</v>
      </c>
      <c r="N51" s="4">
        <f>Table3[[#This Row],[weight]]*(0.9155*Table2[[#This Row],[J34]]-C$9)^2</f>
        <v>9.3144023475275044E-3</v>
      </c>
      <c r="O51" s="4">
        <f>Table3[[#This Row],[weight]]*(0.9155*Table2[[#This Row],[J45]]-D$9)^2</f>
        <v>8.7733165635983552E-3</v>
      </c>
      <c r="P51" s="4">
        <f>Table3[[#This Row],[weight]]*(0.9155*Table2[[#This Row],[J56]]-E$9)^2</f>
        <v>1.1725332281812505E-2</v>
      </c>
      <c r="Q51" s="4">
        <f>Table3[[#This Row],[weight]]*(0.9155*Table2[[#This Row],[J67]]-F$9)^2</f>
        <v>2.464804755035678E-2</v>
      </c>
      <c r="R51" s="4">
        <f>Table3[[#This Row],[weight]]*(0.9155*Table2[[#This Row],[J67'']]-G$9)^2</f>
        <v>3.7988631095310094E-5</v>
      </c>
      <c r="S51">
        <f>chloroform!J56</f>
        <v>2.6010177331636683E-4</v>
      </c>
      <c r="T51" t="str">
        <f>chloroform!F56</f>
        <v>5C12</v>
      </c>
    </row>
    <row r="52" spans="11:20" x14ac:dyDescent="0.25">
      <c r="K52">
        <f>chloroform!E57</f>
        <v>166</v>
      </c>
      <c r="L52" s="4">
        <f>Table3[[#This Row],[weight]]*(0.9155*Table2[[#This Row],[J1,2]]-A$9)^2</f>
        <v>6.6225627855335807E-4</v>
      </c>
      <c r="M52" s="4">
        <f>Table3[[#This Row],[weight]]*(0.9155*Table2[[#This Row],[J2,3]]-B$9)^2</f>
        <v>2.1755093542211046E-4</v>
      </c>
      <c r="N52" s="4">
        <f>Table3[[#This Row],[weight]]*(0.9155*Table2[[#This Row],[J34]]-C$9)^2</f>
        <v>1.7741257331020696E-3</v>
      </c>
      <c r="O52" s="4">
        <f>Table3[[#This Row],[weight]]*(0.9155*Table2[[#This Row],[J45]]-D$9)^2</f>
        <v>3.6669567848422095E-4</v>
      </c>
      <c r="P52" s="4">
        <f>Table3[[#This Row],[weight]]*(0.9155*Table2[[#This Row],[J56]]-E$9)^2</f>
        <v>1.9612855626330943E-3</v>
      </c>
      <c r="Q52" s="4">
        <f>Table3[[#This Row],[weight]]*(0.9155*Table2[[#This Row],[J67]]-F$9)^2</f>
        <v>7.3555463674412642E-4</v>
      </c>
      <c r="R52" s="4">
        <f>Table3[[#This Row],[weight]]*(0.9155*Table2[[#This Row],[J67'']]-G$9)^2</f>
        <v>4.9758419962941051E-2</v>
      </c>
      <c r="S52">
        <f>chloroform!J57</f>
        <v>1.488423496675755E-3</v>
      </c>
      <c r="T52" t="str">
        <f>chloroform!F57</f>
        <v>5C12</v>
      </c>
    </row>
    <row r="53" spans="11:20" x14ac:dyDescent="0.25">
      <c r="K53">
        <f>chloroform!E58</f>
        <v>173</v>
      </c>
      <c r="L53" s="4">
        <f>Table3[[#This Row],[weight]]*(0.9155*Table2[[#This Row],[J1,2]]-A$9)^2</f>
        <v>2.8803113286727748E-5</v>
      </c>
      <c r="M53" s="4">
        <f>Table3[[#This Row],[weight]]*(0.9155*Table2[[#This Row],[J2,3]]-B$9)^2</f>
        <v>6.3731177886907527E-3</v>
      </c>
      <c r="N53" s="4">
        <f>Table3[[#This Row],[weight]]*(0.9155*Table2[[#This Row],[J34]]-C$9)^2</f>
        <v>1.2332263603632647E-2</v>
      </c>
      <c r="O53" s="4">
        <f>Table3[[#This Row],[weight]]*(0.9155*Table2[[#This Row],[J45]]-D$9)^2</f>
        <v>1.0691626987141274E-2</v>
      </c>
      <c r="P53" s="4">
        <f>Table3[[#This Row],[weight]]*(0.9155*Table2[[#This Row],[J56]]-E$9)^2</f>
        <v>1.2279572008149055E-2</v>
      </c>
      <c r="Q53" s="4">
        <f>Table3[[#This Row],[weight]]*(0.9155*Table2[[#This Row],[J67]]-F$9)^2</f>
        <v>7.793122850245002E-4</v>
      </c>
      <c r="R53" s="4">
        <f>Table3[[#This Row],[weight]]*(0.9155*Table2[[#This Row],[J67'']]-G$9)^2</f>
        <v>7.8562573699742892E-3</v>
      </c>
      <c r="S53">
        <f>chloroform!J58</f>
        <v>3.1252425246208461E-4</v>
      </c>
      <c r="T53" t="str">
        <f>chloroform!F58</f>
        <v>12C5</v>
      </c>
    </row>
    <row r="54" spans="11:20" x14ac:dyDescent="0.25">
      <c r="K54">
        <f>chloroform!E59</f>
        <v>191</v>
      </c>
      <c r="L54" s="4">
        <f>Table3[[#This Row],[weight]]*(0.9155*Table2[[#This Row],[J1,2]]-A$9)^2</f>
        <v>5.5630083157261706E-7</v>
      </c>
      <c r="M54" s="4">
        <f>Table3[[#This Row],[weight]]*(0.9155*Table2[[#This Row],[J2,3]]-B$9)^2</f>
        <v>1.9692044093490729E-3</v>
      </c>
      <c r="N54" s="4">
        <f>Table3[[#This Row],[weight]]*(0.9155*Table2[[#This Row],[J34]]-C$9)^2</f>
        <v>2.778793083633426E-3</v>
      </c>
      <c r="O54" s="4">
        <f>Table3[[#This Row],[weight]]*(0.9155*Table2[[#This Row],[J45]]-D$9)^2</f>
        <v>3.0692036074574454E-3</v>
      </c>
      <c r="P54" s="4">
        <f>Table3[[#This Row],[weight]]*(0.9155*Table2[[#This Row],[J56]]-E$9)^2</f>
        <v>3.6597945210885131E-3</v>
      </c>
      <c r="Q54" s="4">
        <f>Table3[[#This Row],[weight]]*(0.9155*Table2[[#This Row],[J67]]-F$9)^2</f>
        <v>7.3792603807438951E-3</v>
      </c>
      <c r="R54" s="4">
        <f>Table3[[#This Row],[weight]]*(0.9155*Table2[[#This Row],[J67'']]-G$9)^2</f>
        <v>6.035852339317762E-6</v>
      </c>
      <c r="S54">
        <f>chloroform!J59</f>
        <v>8.0853744788159199E-5</v>
      </c>
      <c r="T54" t="str">
        <f>chloroform!F59</f>
        <v>12C5</v>
      </c>
    </row>
    <row r="55" spans="11:20" x14ac:dyDescent="0.25">
      <c r="K55">
        <f>chloroform!E60</f>
        <v>193</v>
      </c>
      <c r="L55" s="4">
        <f>Table3[[#This Row],[weight]]*(0.9155*Table2[[#This Row],[J1,2]]-A$9)^2</f>
        <v>1.3051016983515052E-4</v>
      </c>
      <c r="M55" s="4">
        <f>Table3[[#This Row],[weight]]*(0.9155*Table2[[#This Row],[J2,3]]-B$9)^2</f>
        <v>1.9167004402772005E-2</v>
      </c>
      <c r="N55" s="4">
        <f>Table3[[#This Row],[weight]]*(0.9155*Table2[[#This Row],[J34]]-C$9)^2</f>
        <v>3.9991744674213861E-2</v>
      </c>
      <c r="O55" s="4">
        <f>Table3[[#This Row],[weight]]*(0.9155*Table2[[#This Row],[J45]]-D$9)^2</f>
        <v>3.603898790920268E-2</v>
      </c>
      <c r="P55" s="4">
        <f>Table3[[#This Row],[weight]]*(0.9155*Table2[[#This Row],[J56]]-E$9)^2</f>
        <v>4.0830445030056055E-2</v>
      </c>
      <c r="Q55" s="4">
        <f>Table3[[#This Row],[weight]]*(0.9155*Table2[[#This Row],[J67]]-F$9)^2</f>
        <v>1.9552326766617877E-3</v>
      </c>
      <c r="R55" s="4">
        <f>Table3[[#This Row],[weight]]*(0.9155*Table2[[#This Row],[J67'']]-G$9)^2</f>
        <v>2.1569906881543012E-2</v>
      </c>
      <c r="S55">
        <f>chloroform!J60</f>
        <v>1.0205980132888574E-3</v>
      </c>
      <c r="T55" t="str">
        <f>chloroform!F60</f>
        <v>12C5</v>
      </c>
    </row>
    <row r="56" spans="11:20" x14ac:dyDescent="0.25">
      <c r="K56">
        <f>chloroform!E61</f>
        <v>197</v>
      </c>
      <c r="L56" s="4">
        <f>Table3[[#This Row],[weight]]*(0.9155*Table2[[#This Row],[J1,2]]-A$9)^2</f>
        <v>0</v>
      </c>
      <c r="M56" s="4">
        <f>Table3[[#This Row],[weight]]*(0.9155*Table2[[#This Row],[J2,3]]-B$9)^2</f>
        <v>0</v>
      </c>
      <c r="N56" s="4">
        <f>Table3[[#This Row],[weight]]*(0.9155*Table2[[#This Row],[J34]]-C$9)^2</f>
        <v>0</v>
      </c>
      <c r="O56" s="4">
        <f>Table3[[#This Row],[weight]]*(0.9155*Table2[[#This Row],[J45]]-D$9)^2</f>
        <v>0</v>
      </c>
      <c r="P56" s="4">
        <f>Table3[[#This Row],[weight]]*(0.9155*Table2[[#This Row],[J56]]-E$9)^2</f>
        <v>0</v>
      </c>
      <c r="Q56" s="4">
        <f>Table3[[#This Row],[weight]]*(0.9155*Table2[[#This Row],[J67]]-F$9)^2</f>
        <v>0</v>
      </c>
      <c r="R56" s="4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 s="4">
        <f>Table3[[#This Row],[weight]]*(0.9155*Table2[[#This Row],[J1,2]]-A$9)^2</f>
        <v>1.079600774868474E-5</v>
      </c>
      <c r="M57" s="4">
        <f>Table3[[#This Row],[weight]]*(0.9155*Table2[[#This Row],[J2,3]]-B$9)^2</f>
        <v>2.4194036598643203E-7</v>
      </c>
      <c r="N57" s="4">
        <f>Table3[[#This Row],[weight]]*(0.9155*Table2[[#This Row],[J34]]-C$9)^2</f>
        <v>3.2376610364414711E-8</v>
      </c>
      <c r="O57" s="4">
        <f>Table3[[#This Row],[weight]]*(0.9155*Table2[[#This Row],[J45]]-D$9)^2</f>
        <v>7.0936838933569086E-6</v>
      </c>
      <c r="P57" s="4">
        <f>Table3[[#This Row],[weight]]*(0.9155*Table2[[#This Row],[J56]]-E$9)^2</f>
        <v>2.3930460001697438E-5</v>
      </c>
      <c r="Q57" s="4">
        <f>Table3[[#This Row],[weight]]*(0.9155*Table2[[#This Row],[J67]]-F$9)^2</f>
        <v>4.0531969425412472E-5</v>
      </c>
      <c r="R57" s="4">
        <f>Table3[[#This Row],[weight]]*(0.9155*Table2[[#This Row],[J67'']]-G$9)^2</f>
        <v>8.0329882934862627E-4</v>
      </c>
      <c r="S57">
        <f>chloroform!J62</f>
        <v>3.2391668310451144E-5</v>
      </c>
      <c r="T57" t="str">
        <f>chloroform!F62</f>
        <v>5C12</v>
      </c>
    </row>
    <row r="58" spans="11:20" x14ac:dyDescent="0.25">
      <c r="K58">
        <f>chloroform!E63</f>
        <v>212</v>
      </c>
      <c r="L58" s="4">
        <f>Table3[[#This Row],[weight]]*(0.9155*Table2[[#This Row],[J1,2]]-A$9)^2</f>
        <v>1.3487879591202904E-5</v>
      </c>
      <c r="M58" s="4">
        <f>Table3[[#This Row],[weight]]*(0.9155*Table2[[#This Row],[J2,3]]-B$9)^2</f>
        <v>4.9689157930751906E-3</v>
      </c>
      <c r="N58" s="4">
        <f>Table3[[#This Row],[weight]]*(0.9155*Table2[[#This Row],[J34]]-C$9)^2</f>
        <v>1.1257170145859972E-2</v>
      </c>
      <c r="O58" s="4">
        <f>Table3[[#This Row],[weight]]*(0.9155*Table2[[#This Row],[J45]]-D$9)^2</f>
        <v>9.5405813775517861E-3</v>
      </c>
      <c r="P58" s="4">
        <f>Table3[[#This Row],[weight]]*(0.9155*Table2[[#This Row],[J56]]-E$9)^2</f>
        <v>9.3184662401575528E-3</v>
      </c>
      <c r="Q58" s="4">
        <f>Table3[[#This Row],[weight]]*(0.9155*Table2[[#This Row],[J67]]-F$9)^2</f>
        <v>2.5972782732617769E-4</v>
      </c>
      <c r="R58" s="4">
        <f>Table3[[#This Row],[weight]]*(0.9155*Table2[[#This Row],[J67'']]-G$9)^2</f>
        <v>6.0195746912376086E-3</v>
      </c>
      <c r="S58">
        <f>chloroform!J63</f>
        <v>2.5021621641221084E-4</v>
      </c>
      <c r="T58" t="str">
        <f>chloroform!F63</f>
        <v>12C5</v>
      </c>
    </row>
    <row r="59" spans="11:20" x14ac:dyDescent="0.25">
      <c r="K59">
        <f>chloroform!E64</f>
        <v>215</v>
      </c>
      <c r="L59" s="4">
        <f>Table3[[#This Row],[weight]]*(0.9155*Table2[[#This Row],[J1,2]]-A$9)^2</f>
        <v>1.618954960551866E-4</v>
      </c>
      <c r="M59" s="4">
        <f>Table3[[#This Row],[weight]]*(0.9155*Table2[[#This Row],[J2,3]]-B$9)^2</f>
        <v>2.9287032832221997E-2</v>
      </c>
      <c r="N59" s="4">
        <f>Table3[[#This Row],[weight]]*(0.9155*Table2[[#This Row],[J34]]-C$9)^2</f>
        <v>5.1868641504056248E-2</v>
      </c>
      <c r="O59" s="4">
        <f>Table3[[#This Row],[weight]]*(0.9155*Table2[[#This Row],[J45]]-D$9)^2</f>
        <v>4.8429362424448189E-2</v>
      </c>
      <c r="P59" s="4">
        <f>Table3[[#This Row],[weight]]*(0.9155*Table2[[#This Row],[J56]]-E$9)^2</f>
        <v>5.8483905279982179E-2</v>
      </c>
      <c r="Q59" s="4">
        <f>Table3[[#This Row],[weight]]*(0.9155*Table2[[#This Row],[J67]]-F$9)^2</f>
        <v>2.901263244386948E-3</v>
      </c>
      <c r="R59" s="4">
        <f>Table3[[#This Row],[weight]]*(0.9155*Table2[[#This Row],[J67'']]-G$9)^2</f>
        <v>2.977031885937495E-2</v>
      </c>
      <c r="S59">
        <f>chloroform!J64</f>
        <v>1.4063658816845204E-3</v>
      </c>
      <c r="T59" t="str">
        <f>chloroform!F64</f>
        <v>12C5</v>
      </c>
    </row>
    <row r="60" spans="11:20" x14ac:dyDescent="0.25">
      <c r="K60">
        <f>chloroform!E65</f>
        <v>219</v>
      </c>
      <c r="L60" s="4">
        <f>Table3[[#This Row],[weight]]*(0.9155*Table2[[#This Row],[J1,2]]-A$9)^2</f>
        <v>6.5247438635435449E-5</v>
      </c>
      <c r="M60" s="4">
        <f>Table3[[#This Row],[weight]]*(0.9155*Table2[[#This Row],[J2,3]]-B$9)^2</f>
        <v>1.1257735363693021E-3</v>
      </c>
      <c r="N60" s="4">
        <f>Table3[[#This Row],[weight]]*(0.9155*Table2[[#This Row],[J34]]-C$9)^2</f>
        <v>3.3225185522174458E-3</v>
      </c>
      <c r="O60" s="4">
        <f>Table3[[#This Row],[weight]]*(0.9155*Table2[[#This Row],[J45]]-D$9)^2</f>
        <v>1.7570532208862279E-3</v>
      </c>
      <c r="P60" s="4">
        <f>Table3[[#This Row],[weight]]*(0.9155*Table2[[#This Row],[J56]]-E$9)^2</f>
        <v>2.6527423099871037E-3</v>
      </c>
      <c r="Q60" s="4">
        <f>Table3[[#This Row],[weight]]*(0.9155*Table2[[#This Row],[J67]]-F$9)^2</f>
        <v>2.8593973164646068E-4</v>
      </c>
      <c r="R60" s="4">
        <f>Table3[[#This Row],[weight]]*(0.9155*Table2[[#This Row],[J67'']]-G$9)^2</f>
        <v>1.7339774693032838E-3</v>
      </c>
      <c r="S60">
        <f>chloroform!J65</f>
        <v>7.7444052990598996E-5</v>
      </c>
      <c r="T60" t="str">
        <f>chloroform!F65</f>
        <v>12C5</v>
      </c>
    </row>
    <row r="61" spans="11:20" x14ac:dyDescent="0.25">
      <c r="K61">
        <f>chloroform!E66</f>
        <v>220</v>
      </c>
      <c r="L61" s="4">
        <f>Table3[[#This Row],[weight]]*(0.9155*Table2[[#This Row],[J1,2]]-A$9)^2</f>
        <v>0</v>
      </c>
      <c r="M61" s="4">
        <f>Table3[[#This Row],[weight]]*(0.9155*Table2[[#This Row],[J2,3]]-B$9)^2</f>
        <v>0</v>
      </c>
      <c r="N61" s="4">
        <f>Table3[[#This Row],[weight]]*(0.9155*Table2[[#This Row],[J34]]-C$9)^2</f>
        <v>0</v>
      </c>
      <c r="O61" s="4">
        <f>Table3[[#This Row],[weight]]*(0.9155*Table2[[#This Row],[J45]]-D$9)^2</f>
        <v>0</v>
      </c>
      <c r="P61" s="4">
        <f>Table3[[#This Row],[weight]]*(0.9155*Table2[[#This Row],[J56]]-E$9)^2</f>
        <v>0</v>
      </c>
      <c r="Q61" s="4">
        <f>Table3[[#This Row],[weight]]*(0.9155*Table2[[#This Row],[J67]]-F$9)^2</f>
        <v>0</v>
      </c>
      <c r="R61" s="4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 s="4">
        <f>Table3[[#This Row],[weight]]*(0.9155*Table2[[#This Row],[J1,2]]-A$9)^2</f>
        <v>1.7785994480898955E-4</v>
      </c>
      <c r="M62" s="4">
        <f>Table3[[#This Row],[weight]]*(0.9155*Table2[[#This Row],[J2,3]]-B$9)^2</f>
        <v>2.1366457605023689E-2</v>
      </c>
      <c r="N62" s="4">
        <f>Table3[[#This Row],[weight]]*(0.9155*Table2[[#This Row],[J34]]-C$9)^2</f>
        <v>4.5292862015433769E-2</v>
      </c>
      <c r="O62" s="4">
        <f>Table3[[#This Row],[weight]]*(0.9155*Table2[[#This Row],[J45]]-D$9)^2</f>
        <v>3.9189847206019111E-2</v>
      </c>
      <c r="P62" s="4">
        <f>Table3[[#This Row],[weight]]*(0.9155*Table2[[#This Row],[J56]]-E$9)^2</f>
        <v>4.4222569996651126E-2</v>
      </c>
      <c r="Q62" s="4">
        <f>Table3[[#This Row],[weight]]*(0.9155*Table2[[#This Row],[J67]]-F$9)^2</f>
        <v>3.0490194699065317E-3</v>
      </c>
      <c r="R62" s="4">
        <f>Table3[[#This Row],[weight]]*(0.9155*Table2[[#This Row],[J67'']]-G$9)^2</f>
        <v>2.8622953599856421E-2</v>
      </c>
      <c r="S62">
        <f>chloroform!J67</f>
        <v>1.1444734703283932E-3</v>
      </c>
      <c r="T62" t="str">
        <f>chloroform!F67</f>
        <v>12C5</v>
      </c>
    </row>
    <row r="63" spans="11:20" x14ac:dyDescent="0.25">
      <c r="K63">
        <f>chloroform!E68</f>
        <v>272</v>
      </c>
      <c r="L63" s="4">
        <f>Table3[[#This Row],[weight]]*(0.9155*Table2[[#This Row],[J1,2]]-A$9)^2</f>
        <v>6.2428944858654279E-4</v>
      </c>
      <c r="M63" s="4">
        <f>Table3[[#This Row],[weight]]*(0.9155*Table2[[#This Row],[J2,3]]-B$9)^2</f>
        <v>7.7023099758852543E-5</v>
      </c>
      <c r="N63" s="4">
        <f>Table3[[#This Row],[weight]]*(0.9155*Table2[[#This Row],[J34]]-C$9)^2</f>
        <v>1.2586141411019892E-3</v>
      </c>
      <c r="O63" s="4">
        <f>Table3[[#This Row],[weight]]*(0.9155*Table2[[#This Row],[J45]]-D$9)^2</f>
        <v>2.0875576963053528E-4</v>
      </c>
      <c r="P63" s="4">
        <f>Table3[[#This Row],[weight]]*(0.9155*Table2[[#This Row],[J56]]-E$9)^2</f>
        <v>1.0057113376466842E-4</v>
      </c>
      <c r="Q63" s="4">
        <f>Table3[[#This Row],[weight]]*(0.9155*Table2[[#This Row],[J67]]-F$9)^2</f>
        <v>4.6686921928407585E-5</v>
      </c>
      <c r="R63" s="4">
        <f>Table3[[#This Row],[weight]]*(0.9155*Table2[[#This Row],[J67'']]-G$9)^2</f>
        <v>3.3940484556764599E-3</v>
      </c>
      <c r="S63">
        <f>chloroform!J68</f>
        <v>2.0931650468068507E-4</v>
      </c>
      <c r="T63" t="str">
        <f>chloroform!F68</f>
        <v>5C12</v>
      </c>
    </row>
    <row r="64" spans="11:20" x14ac:dyDescent="0.25">
      <c r="K64">
        <f>chloroform!E69</f>
        <v>276</v>
      </c>
      <c r="L64" s="4">
        <f>Table3[[#This Row],[weight]]*(0.9155*Table2[[#This Row],[J1,2]]-A$9)^2</f>
        <v>2.5131436674945254E-5</v>
      </c>
      <c r="M64" s="4">
        <f>Table3[[#This Row],[weight]]*(0.9155*Table2[[#This Row],[J2,3]]-B$9)^2</f>
        <v>9.3838471975361663E-4</v>
      </c>
      <c r="N64" s="4">
        <f>Table3[[#This Row],[weight]]*(0.9155*Table2[[#This Row],[J34]]-C$9)^2</f>
        <v>3.417690315912999E-4</v>
      </c>
      <c r="O64" s="4">
        <f>Table3[[#This Row],[weight]]*(0.9155*Table2[[#This Row],[J45]]-D$9)^2</f>
        <v>3.2723547717611098E-3</v>
      </c>
      <c r="P64" s="4">
        <f>Table3[[#This Row],[weight]]*(0.9155*Table2[[#This Row],[J56]]-E$9)^2</f>
        <v>6.0342360873183471E-6</v>
      </c>
      <c r="Q64" s="4">
        <f>Table3[[#This Row],[weight]]*(0.9155*Table2[[#This Row],[J67]]-F$9)^2</f>
        <v>2.2146457782474025E-5</v>
      </c>
      <c r="R64" s="4">
        <f>Table3[[#This Row],[weight]]*(0.9155*Table2[[#This Row],[J67'']]-G$9)^2</f>
        <v>5.5108997179413696E-4</v>
      </c>
      <c r="S64">
        <f>chloroform!J69</f>
        <v>3.6497613817224059E-5</v>
      </c>
      <c r="T64" t="str">
        <f>chloroform!F69</f>
        <v>4H6</v>
      </c>
    </row>
    <row r="65" spans="11:20" x14ac:dyDescent="0.25">
      <c r="K65">
        <f>chloroform!E70</f>
        <v>278</v>
      </c>
      <c r="L65" s="4">
        <f>Table3[[#This Row],[weight]]*(0.9155*Table2[[#This Row],[J1,2]]-A$9)^2</f>
        <v>0</v>
      </c>
      <c r="M65" s="4">
        <f>Table3[[#This Row],[weight]]*(0.9155*Table2[[#This Row],[J2,3]]-B$9)^2</f>
        <v>0</v>
      </c>
      <c r="N65" s="4">
        <f>Table3[[#This Row],[weight]]*(0.9155*Table2[[#This Row],[J34]]-C$9)^2</f>
        <v>0</v>
      </c>
      <c r="O65" s="4">
        <f>Table3[[#This Row],[weight]]*(0.9155*Table2[[#This Row],[J45]]-D$9)^2</f>
        <v>0</v>
      </c>
      <c r="P65" s="4">
        <f>Table3[[#This Row],[weight]]*(0.9155*Table2[[#This Row],[J56]]-E$9)^2</f>
        <v>0</v>
      </c>
      <c r="Q65" s="4">
        <f>Table3[[#This Row],[weight]]*(0.9155*Table2[[#This Row],[J67]]-F$9)^2</f>
        <v>0</v>
      </c>
      <c r="R65" s="4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 s="4">
        <f>Table3[[#This Row],[weight]]*(0.9155*Table2[[#This Row],[J1,2]]-A$9)^2</f>
        <v>1.951933330526733E-4</v>
      </c>
      <c r="M66" s="4">
        <f>Table3[[#This Row],[weight]]*(0.9155*Table2[[#This Row],[J2,3]]-B$9)^2</f>
        <v>1.1388206103205285E-5</v>
      </c>
      <c r="N66" s="4">
        <f>Table3[[#This Row],[weight]]*(0.9155*Table2[[#This Row],[J34]]-C$9)^2</f>
        <v>1.222966406602888E-4</v>
      </c>
      <c r="O66" s="4">
        <f>Table3[[#This Row],[weight]]*(0.9155*Table2[[#This Row],[J45]]-D$9)^2</f>
        <v>1.0140498225518364E-4</v>
      </c>
      <c r="P66" s="4">
        <f>Table3[[#This Row],[weight]]*(0.9155*Table2[[#This Row],[J56]]-E$9)^2</f>
        <v>1.0343637472464197E-5</v>
      </c>
      <c r="Q66" s="4">
        <f>Table3[[#This Row],[weight]]*(0.9155*Table2[[#This Row],[J67]]-F$9)^2</f>
        <v>4.0475726931498441E-3</v>
      </c>
      <c r="R66" s="4">
        <f>Table3[[#This Row],[weight]]*(0.9155*Table2[[#This Row],[J67'']]-G$9)^2</f>
        <v>8.2852154376151577E-4</v>
      </c>
      <c r="S66">
        <f>chloroform!J71</f>
        <v>7.1608732171488852E-5</v>
      </c>
      <c r="T66" t="str">
        <f>chloroform!F71</f>
        <v>5C12</v>
      </c>
    </row>
    <row r="67" spans="11:20" x14ac:dyDescent="0.25">
      <c r="K67">
        <f>chloroform!E72</f>
        <v>290</v>
      </c>
      <c r="L67" s="4">
        <f>Table3[[#This Row],[weight]]*(0.9155*Table2[[#This Row],[J1,2]]-A$9)^2</f>
        <v>0</v>
      </c>
      <c r="M67" s="4">
        <f>Table3[[#This Row],[weight]]*(0.9155*Table2[[#This Row],[J2,3]]-B$9)^2</f>
        <v>0</v>
      </c>
      <c r="N67" s="4">
        <f>Table3[[#This Row],[weight]]*(0.9155*Table2[[#This Row],[J34]]-C$9)^2</f>
        <v>0</v>
      </c>
      <c r="O67" s="4">
        <f>Table3[[#This Row],[weight]]*(0.9155*Table2[[#This Row],[J45]]-D$9)^2</f>
        <v>0</v>
      </c>
      <c r="P67" s="4">
        <f>Table3[[#This Row],[weight]]*(0.9155*Table2[[#This Row],[J56]]-E$9)^2</f>
        <v>0</v>
      </c>
      <c r="Q67" s="4">
        <f>Table3[[#This Row],[weight]]*(0.9155*Table2[[#This Row],[J67]]-F$9)^2</f>
        <v>0</v>
      </c>
      <c r="R67" s="4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 s="4">
        <f>Table3[[#This Row],[weight]]*(0.9155*Table2[[#This Row],[J1,2]]-A$9)^2</f>
        <v>0</v>
      </c>
      <c r="M68" s="4">
        <f>Table3[[#This Row],[weight]]*(0.9155*Table2[[#This Row],[J2,3]]-B$9)^2</f>
        <v>0</v>
      </c>
      <c r="N68" s="4">
        <f>Table3[[#This Row],[weight]]*(0.9155*Table2[[#This Row],[J34]]-C$9)^2</f>
        <v>0</v>
      </c>
      <c r="O68" s="4">
        <f>Table3[[#This Row],[weight]]*(0.9155*Table2[[#This Row],[J45]]-D$9)^2</f>
        <v>0</v>
      </c>
      <c r="P68" s="4">
        <f>Table3[[#This Row],[weight]]*(0.9155*Table2[[#This Row],[J56]]-E$9)^2</f>
        <v>0</v>
      </c>
      <c r="Q68" s="4">
        <f>Table3[[#This Row],[weight]]*(0.9155*Table2[[#This Row],[J67]]-F$9)^2</f>
        <v>0</v>
      </c>
      <c r="R68" s="4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 s="4">
        <f>Table3[[#This Row],[weight]]*(0.9155*Table2[[#This Row],[J1,2]]-A$9)^2</f>
        <v>3.0961392905132329E-5</v>
      </c>
      <c r="M69" s="4">
        <f>Table3[[#This Row],[weight]]*(0.9155*Table2[[#This Row],[J2,3]]-B$9)^2</f>
        <v>8.1505352721967465E-4</v>
      </c>
      <c r="N69" s="4">
        <f>Table3[[#This Row],[weight]]*(0.9155*Table2[[#This Row],[J34]]-C$9)^2</f>
        <v>3.2196561055786675E-4</v>
      </c>
      <c r="O69" s="4">
        <f>Table3[[#This Row],[weight]]*(0.9155*Table2[[#This Row],[J45]]-D$9)^2</f>
        <v>2.9410522058615648E-3</v>
      </c>
      <c r="P69" s="4">
        <f>Table3[[#This Row],[weight]]*(0.9155*Table2[[#This Row],[J56]]-E$9)^2</f>
        <v>1.7874139185077348E-5</v>
      </c>
      <c r="Q69" s="4">
        <f>Table3[[#This Row],[weight]]*(0.9155*Table2[[#This Row],[J67]]-F$9)^2</f>
        <v>8.3141322506213286E-5</v>
      </c>
      <c r="R69" s="4">
        <f>Table3[[#This Row],[weight]]*(0.9155*Table2[[#This Row],[J67'']]-G$9)^2</f>
        <v>7.7631526443471812E-4</v>
      </c>
      <c r="S69">
        <f>chloroform!J74</f>
        <v>3.4860906506056372E-5</v>
      </c>
      <c r="T69" t="str">
        <f>chloroform!F74</f>
        <v>4H6</v>
      </c>
    </row>
    <row r="70" spans="11:20" x14ac:dyDescent="0.25">
      <c r="K70">
        <f>chloroform!E75</f>
        <v>396</v>
      </c>
      <c r="L70" s="4">
        <f>Table3[[#This Row],[weight]]*(0.9155*Table2[[#This Row],[J1,2]]-A$9)^2</f>
        <v>0</v>
      </c>
      <c r="M70" s="4">
        <f>Table3[[#This Row],[weight]]*(0.9155*Table2[[#This Row],[J2,3]]-B$9)^2</f>
        <v>0</v>
      </c>
      <c r="N70" s="4">
        <f>Table3[[#This Row],[weight]]*(0.9155*Table2[[#This Row],[J34]]-C$9)^2</f>
        <v>0</v>
      </c>
      <c r="O70" s="4">
        <f>Table3[[#This Row],[weight]]*(0.9155*Table2[[#This Row],[J45]]-D$9)^2</f>
        <v>0</v>
      </c>
      <c r="P70" s="4">
        <f>Table3[[#This Row],[weight]]*(0.9155*Table2[[#This Row],[J56]]-E$9)^2</f>
        <v>0</v>
      </c>
      <c r="Q70" s="4">
        <f>Table3[[#This Row],[weight]]*(0.9155*Table2[[#This Row],[J67]]-F$9)^2</f>
        <v>0</v>
      </c>
      <c r="R70" s="4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  <row r="71" spans="11:20" x14ac:dyDescent="0.25">
      <c r="L71" s="4"/>
      <c r="M71" s="4"/>
      <c r="N71" s="4"/>
      <c r="O71" s="4"/>
      <c r="P71" s="4"/>
      <c r="Q71" s="4"/>
      <c r="R71" s="4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70"/>
  <sheetViews>
    <sheetView topLeftCell="A55" workbookViewId="0">
      <selection activeCell="K2" sqref="K2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0.78743409586906932</v>
      </c>
      <c r="D1" t="s">
        <v>11</v>
      </c>
      <c r="E1" t="s">
        <v>17</v>
      </c>
      <c r="G1">
        <f>COUNTIF(Table3[classification],E1)</f>
        <v>17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4.4540221058295999E-4</v>
      </c>
      <c r="M2">
        <f>Table3[[#This Row],[weight]]*(0.9155*Table2[[#This Row],[J2,3]]-B$9)^2</f>
        <v>1.0723312008132385E-7</v>
      </c>
      <c r="N2">
        <f>Table3[[#This Row],[weight]]*(0.9155*Table2[[#This Row],[J34]]-C$9)^2</f>
        <v>3.112907411257118E-3</v>
      </c>
      <c r="O2">
        <f>Table3[[#This Row],[weight]]*(0.9155*Table2[[#This Row],[J45]]-D$9)^2</f>
        <v>1.716087284882644E-3</v>
      </c>
      <c r="P2">
        <f>Table3[[#This Row],[weight]]*(0.9155*Table2[[#This Row],[J56]]-E$9)^2</f>
        <v>3.8262939911878647E-4</v>
      </c>
      <c r="Q2">
        <f>Table3[[#This Row],[weight]]*(0.9155*Table2[[#This Row],[J67]]-F$9)^2</f>
        <v>2.055773548370105E-4</v>
      </c>
      <c r="R2">
        <f>Table3[[#This Row],[weight]]*(0.9155*Table2[[#This Row],[J67'']]-G$9)^2</f>
        <v>0.31476354857004479</v>
      </c>
      <c r="S2">
        <f>chloroform!J7</f>
        <v>1.8726746259493821E-2</v>
      </c>
      <c r="T2" t="str">
        <f>chloroform!F7</f>
        <v>4H6</v>
      </c>
    </row>
    <row r="3" spans="1:20" x14ac:dyDescent="0.25">
      <c r="A3" t="s">
        <v>91</v>
      </c>
      <c r="K3">
        <f>chloroform!E8</f>
        <v>3</v>
      </c>
      <c r="L3">
        <f>Table3[[#This Row],[weight]]*(0.9155*Table2[[#This Row],[J1,2]]-A$9)^2</f>
        <v>7.8519045928548679E-6</v>
      </c>
      <c r="M3">
        <f>Table3[[#This Row],[weight]]*(0.9155*Table2[[#This Row],[J2,3]]-B$9)^2</f>
        <v>3.0080749216848533E-3</v>
      </c>
      <c r="N3">
        <f>Table3[[#This Row],[weight]]*(0.9155*Table2[[#This Row],[J34]]-C$9)^2</f>
        <v>1.7895619108987794E-4</v>
      </c>
      <c r="O3">
        <f>Table3[[#This Row],[weight]]*(0.9155*Table2[[#This Row],[J45]]-D$9)^2</f>
        <v>1.6154153367863292E-5</v>
      </c>
      <c r="P3">
        <f>Table3[[#This Row],[weight]]*(0.9155*Table2[[#This Row],[J56]]-E$9)^2</f>
        <v>2.5669503648625756E-3</v>
      </c>
      <c r="Q3">
        <f>Table3[[#This Row],[weight]]*(0.9155*Table2[[#This Row],[J67]]-F$9)^2</f>
        <v>1.8200954541709178E-3</v>
      </c>
      <c r="R3">
        <f>Table3[[#This Row],[weight]]*(0.9155*Table2[[#This Row],[J67'']]-G$9)^2</f>
        <v>0.35477082448922598</v>
      </c>
      <c r="S3">
        <f>chloroform!J8</f>
        <v>2.2387921992346793E-2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1.2363678419233067E-5</v>
      </c>
      <c r="M4">
        <f>Table3[[#This Row],[weight]]*(0.9155*Table2[[#This Row],[J2,3]]-B$9)^2</f>
        <v>6.5444336319201374E-3</v>
      </c>
      <c r="N4">
        <f>Table3[[#This Row],[weight]]*(0.9155*Table2[[#This Row],[J34]]-C$9)^2</f>
        <v>4.0227195894425609E-3</v>
      </c>
      <c r="O4">
        <f>Table3[[#This Row],[weight]]*(0.9155*Table2[[#This Row],[J45]]-D$9)^2</f>
        <v>8.8920150379959422E-4</v>
      </c>
      <c r="P4">
        <f>Table3[[#This Row],[weight]]*(0.9155*Table2[[#This Row],[J56]]-E$9)^2</f>
        <v>2.5498614657932816E-3</v>
      </c>
      <c r="Q4">
        <f>Table3[[#This Row],[weight]]*(0.9155*Table2[[#This Row],[J67]]-F$9)^2</f>
        <v>2.2718575752236746E-2</v>
      </c>
      <c r="R4">
        <f>Table3[[#This Row],[weight]]*(0.9155*Table2[[#This Row],[J67'']]-G$9)^2</f>
        <v>0.38539798862645802</v>
      </c>
      <c r="S4">
        <f>chloroform!J9</f>
        <v>6.97377022375536E-2</v>
      </c>
      <c r="T4" t="str">
        <f>chloroform!F9</f>
        <v>4H6</v>
      </c>
    </row>
    <row r="5" spans="1:20" x14ac:dyDescent="0.25">
      <c r="A5">
        <f>SUMIF(Table1[Classification],E1,Table2[J1,23])/$B$1</f>
        <v>7.1825150348733535</v>
      </c>
      <c r="B5">
        <f>SUMIF(Table1[Classification],E1,Table2[J2,34])/$B$1</f>
        <v>7.859005551741113</v>
      </c>
      <c r="C5">
        <f>SUMIF(Table1[Classification],E1,Table2[J345])/$B$1</f>
        <v>5.5357154601088059</v>
      </c>
      <c r="D5">
        <f>SUMIF(Table1[Classification],E1,Table2[J456])/$B$1</f>
        <v>0.54045730600900632</v>
      </c>
      <c r="E5">
        <f>SUMIF(Table1[Classification],E1,Table2[J567])/$B$1</f>
        <v>10.945594608717762</v>
      </c>
      <c r="F5">
        <f>SUMIF(Table1[Classification],E1,Table2[J678])/$B$1</f>
        <v>1.4533062115439548</v>
      </c>
      <c r="G5">
        <f>SUMIF(Table1[Classification],E1,Table2[J67''9])/$B$1</f>
        <v>5.3417667713363235</v>
      </c>
      <c r="K5">
        <f>chloroform!E10</f>
        <v>6</v>
      </c>
      <c r="L5">
        <f>Table3[[#This Row],[weight]]*(0.9155*Table2[[#This Row],[J1,2]]-A$9)^2</f>
        <v>2.4363986381515409E-3</v>
      </c>
      <c r="M5">
        <f>Table3[[#This Row],[weight]]*(0.9155*Table2[[#This Row],[J2,3]]-B$9)^2</f>
        <v>4.1233214219171415E-6</v>
      </c>
      <c r="N5">
        <f>Table3[[#This Row],[weight]]*(0.9155*Table2[[#This Row],[J34]]-C$9)^2</f>
        <v>1.2995325012409206E-2</v>
      </c>
      <c r="O5">
        <f>Table3[[#This Row],[weight]]*(0.9155*Table2[[#This Row],[J45]]-D$9)^2</f>
        <v>5.1620528088670509E-3</v>
      </c>
      <c r="P5">
        <f>Table3[[#This Row],[weight]]*(0.9155*Table2[[#This Row],[J56]]-E$9)^2</f>
        <v>1.6974954484172548E-3</v>
      </c>
      <c r="Q5">
        <f>Table3[[#This Row],[weight]]*(0.9155*Table2[[#This Row],[J67]]-F$9)^2</f>
        <v>1.1640329348211626E-2</v>
      </c>
      <c r="R5">
        <f>Table3[[#This Row],[weight]]*(0.9155*Table2[[#This Row],[J67'']]-G$9)^2</f>
        <v>0.6819480042085666</v>
      </c>
      <c r="S5">
        <f>chloroform!J10</f>
        <v>9.0175843062160255E-2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1.1340445570860373E-3</v>
      </c>
      <c r="M6">
        <f>Table3[[#This Row],[weight]]*(0.9155*Table2[[#This Row],[J2,3]]-B$9)^2</f>
        <v>2.2815401972929392E-3</v>
      </c>
      <c r="N6">
        <f>Table3[[#This Row],[weight]]*(0.9155*Table2[[#This Row],[J34]]-C$9)^2</f>
        <v>1.8610122832051327E-2</v>
      </c>
      <c r="O6">
        <f>Table3[[#This Row],[weight]]*(0.9155*Table2[[#This Row],[J45]]-D$9)^2</f>
        <v>6.7659142988142115E-2</v>
      </c>
      <c r="P6">
        <f>Table3[[#This Row],[weight]]*(0.9155*Table2[[#This Row],[J56]]-E$9)^2</f>
        <v>1.4513388310588005E-2</v>
      </c>
      <c r="Q6">
        <f>Table3[[#This Row],[weight]]*(0.9155*Table2[[#This Row],[J67]]-F$9)^2</f>
        <v>3.4224371319274952E-5</v>
      </c>
      <c r="R6">
        <f>Table3[[#This Row],[weight]]*(0.9155*Table2[[#This Row],[J67'']]-G$9)^2</f>
        <v>2.2627783897030511E-2</v>
      </c>
      <c r="S6">
        <f>chloroform!J11</f>
        <v>2.2553882580080651E-3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1.84556707242706E-3</v>
      </c>
      <c r="M7">
        <f>Table3[[#This Row],[weight]]*(0.9155*Table2[[#This Row],[J2,3]]-B$9)^2</f>
        <v>1.2114487084849565E-2</v>
      </c>
      <c r="N7">
        <f>Table3[[#This Row],[weight]]*(0.9155*Table2[[#This Row],[J34]]-C$9)^2</f>
        <v>1.1436159008664968E-2</v>
      </c>
      <c r="O7">
        <f>Table3[[#This Row],[weight]]*(0.9155*Table2[[#This Row],[J45]]-D$9)^2</f>
        <v>8.7268530355096659E-4</v>
      </c>
      <c r="P7">
        <f>Table3[[#This Row],[weight]]*(0.9155*Table2[[#This Row],[J56]]-E$9)^2</f>
        <v>2.208844328774474E-3</v>
      </c>
      <c r="Q7">
        <f>Table3[[#This Row],[weight]]*(0.9155*Table2[[#This Row],[J67]]-F$9)^2</f>
        <v>1.8980381075713395E-3</v>
      </c>
      <c r="R7">
        <f>Table3[[#This Row],[weight]]*(0.9155*Table2[[#This Row],[J67'']]-G$9)^2</f>
        <v>0.44698906113742126</v>
      </c>
      <c r="S7">
        <f>chloroform!J12</f>
        <v>5.2119931562090403E-2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4.9229461307414256E-4</v>
      </c>
      <c r="M8">
        <f>Table3[[#This Row],[weight]]*(0.9155*Table2[[#This Row],[J2,3]]-B$9)^2</f>
        <v>2.9419000793423693E-4</v>
      </c>
      <c r="N8">
        <f>Table3[[#This Row],[weight]]*(0.9155*Table2[[#This Row],[J34]]-C$9)^2</f>
        <v>7.7876488518887742E-3</v>
      </c>
      <c r="O8">
        <f>Table3[[#This Row],[weight]]*(0.9155*Table2[[#This Row],[J45]]-D$9)^2</f>
        <v>3.1907376426827563E-3</v>
      </c>
      <c r="P8">
        <f>Table3[[#This Row],[weight]]*(0.9155*Table2[[#This Row],[J56]]-E$9)^2</f>
        <v>1.7414512376099196E-3</v>
      </c>
      <c r="Q8">
        <f>Table3[[#This Row],[weight]]*(0.9155*Table2[[#This Row],[J67]]-F$9)^2</f>
        <v>4.1879841627686432E-2</v>
      </c>
      <c r="R8">
        <f>Table3[[#This Row],[weight]]*(0.9155*Table2[[#This Row],[J67'']]-G$9)^2</f>
        <v>0.87054472040131337</v>
      </c>
      <c r="S8">
        <f>chloroform!J13</f>
        <v>4.9026248301890757E-2</v>
      </c>
      <c r="T8" t="str">
        <f>chloroform!F13</f>
        <v>4H6</v>
      </c>
    </row>
    <row r="9" spans="1:20" x14ac:dyDescent="0.25">
      <c r="A9">
        <f>A5</f>
        <v>7.1825150348733535</v>
      </c>
      <c r="B9">
        <f t="shared" ref="B9:G9" si="0">B5</f>
        <v>7.859005551741113</v>
      </c>
      <c r="C9">
        <f>C5</f>
        <v>5.5357154601088059</v>
      </c>
      <c r="D9">
        <f t="shared" si="0"/>
        <v>0.54045730600900632</v>
      </c>
      <c r="E9">
        <f t="shared" si="0"/>
        <v>10.945594608717762</v>
      </c>
      <c r="F9">
        <f t="shared" si="0"/>
        <v>1.4533062115439548</v>
      </c>
      <c r="G9">
        <f t="shared" si="0"/>
        <v>5.3417667713363235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7.5097968489091522E-3</v>
      </c>
      <c r="M10">
        <f>Table3[[#This Row],[weight]]*(0.9155*Table2[[#This Row],[J2,3]]-B$9)^2</f>
        <v>3.2178718683509924E-3</v>
      </c>
      <c r="N10">
        <f>Table3[[#This Row],[weight]]*(0.9155*Table2[[#This Row],[J34]]-C$9)^2</f>
        <v>0.15013709796697189</v>
      </c>
      <c r="O10">
        <f>Table3[[#This Row],[weight]]*(0.9155*Table2[[#This Row],[J45]]-D$9)^2</f>
        <v>0.33114639659122891</v>
      </c>
      <c r="P10">
        <f>Table3[[#This Row],[weight]]*(0.9155*Table2[[#This Row],[J56]]-E$9)^2</f>
        <v>5.6930327204633223E-2</v>
      </c>
      <c r="Q10">
        <f>Table3[[#This Row],[weight]]*(0.9155*Table2[[#This Row],[J67]]-F$9)^2</f>
        <v>1.9998447462893896E-2</v>
      </c>
      <c r="R10">
        <f>Table3[[#This Row],[weight]]*(0.9155*Table2[[#This Row],[J67'']]-G$9)^2</f>
        <v>0.34181499521006581</v>
      </c>
      <c r="S10">
        <f>chloroform!J15</f>
        <v>1.2043398259747991E-2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3.18713741200954E-4</v>
      </c>
      <c r="M11">
        <f>Table3[[#This Row],[weight]]*(0.9155*Table2[[#This Row],[J2,3]]-B$9)^2</f>
        <v>2.738021944282278E-3</v>
      </c>
      <c r="N11">
        <f>Table3[[#This Row],[weight]]*(0.9155*Table2[[#This Row],[J34]]-C$9)^2</f>
        <v>6.7704986788701899E-3</v>
      </c>
      <c r="O11">
        <f>Table3[[#This Row],[weight]]*(0.9155*Table2[[#This Row],[J45]]-D$9)^2</f>
        <v>4.0482799716121164E-3</v>
      </c>
      <c r="P11">
        <f>Table3[[#This Row],[weight]]*(0.9155*Table2[[#This Row],[J56]]-E$9)^2</f>
        <v>6.0731104039380665E-5</v>
      </c>
      <c r="Q11">
        <f>Table3[[#This Row],[weight]]*(0.9155*Table2[[#This Row],[J67]]-F$9)^2</f>
        <v>5.5830413228141883E-2</v>
      </c>
      <c r="R11">
        <f>Table3[[#This Row],[weight]]*(0.9155*Table2[[#This Row],[J67'']]-G$9)^2</f>
        <v>1.6751439998653705</v>
      </c>
      <c r="S11">
        <f>chloroform!J16</f>
        <v>0.10039536964142365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2.4607875751248291E-2</v>
      </c>
      <c r="M12">
        <f>Table3[[#This Row],[weight]]*(0.9155*Table2[[#This Row],[J2,3]]-B$9)^2</f>
        <v>1.1435023612750428E-2</v>
      </c>
      <c r="N12">
        <f>Table3[[#This Row],[weight]]*(0.9155*Table2[[#This Row],[J34]]-C$9)^2</f>
        <v>0.43150420089148656</v>
      </c>
      <c r="O12">
        <f>Table3[[#This Row],[weight]]*(0.9155*Table2[[#This Row],[J45]]-D$9)^2</f>
        <v>0.89608282384211235</v>
      </c>
      <c r="P12">
        <f>Table3[[#This Row],[weight]]*(0.9155*Table2[[#This Row],[J56]]-E$9)^2</f>
        <v>8.4133709265804282E-2</v>
      </c>
      <c r="Q12">
        <f>Table3[[#This Row],[weight]]*(0.9155*Table2[[#This Row],[J67]]-F$9)^2</f>
        <v>7.0551387401865881E-3</v>
      </c>
      <c r="R12">
        <f>Table3[[#This Row],[weight]]*(0.9155*Table2[[#This Row],[J67'']]-G$9)^2</f>
        <v>0.48741846301474712</v>
      </c>
      <c r="S12">
        <f>chloroform!J17</f>
        <v>3.7695088429460434E-2</v>
      </c>
      <c r="T12" t="str">
        <f>chloroform!F17</f>
        <v>45TH</v>
      </c>
    </row>
    <row r="13" spans="1:20" x14ac:dyDescent="0.25">
      <c r="A13">
        <f>SQRT(SUMIF($T$2:$T$46,$E$1,L$2:L$46)/(($G$1-1)*$B$1/$G$1))</f>
        <v>0.10533127758766032</v>
      </c>
      <c r="B13">
        <f>SQRT(SUMIF($T$2:$T$46,$E$1,M$2:M$46)/(($G$1-1)*$B$1/$G$1))</f>
        <v>0.23181350480064961</v>
      </c>
      <c r="C13">
        <f>SQRT(SUMIF($T$2:$T$46,$E$1,N$2:N$46)/(($G$1-1)*$B$1/$G$1))</f>
        <v>0.3225151813704254</v>
      </c>
      <c r="D13">
        <f t="shared" ref="D13:F13" si="1">SQRT(SUMIF($T$2:$T$46,$E$1,O$2:O$46)/(($G$1-1)*$B$1/$G$1))</f>
        <v>0.20436149581981702</v>
      </c>
      <c r="E13">
        <f t="shared" si="1"/>
        <v>0.21821077795230318</v>
      </c>
      <c r="F13">
        <f t="shared" si="1"/>
        <v>0.6000569034398141</v>
      </c>
      <c r="G13">
        <f>SQRT(SUMIF($T$2:$T$46,$E$1,R$2:R$46)/(($G$1-1)*$B$1/$G$1))</f>
        <v>4.0481100750189674</v>
      </c>
      <c r="K13">
        <f>chloroform!E18</f>
        <v>19</v>
      </c>
      <c r="L13">
        <f>Table3[[#This Row],[weight]]*(0.9155*Table2[[#This Row],[J1,2]]-A$9)^2</f>
        <v>1.9124469591889166E-3</v>
      </c>
      <c r="M13">
        <f>Table3[[#This Row],[weight]]*(0.9155*Table2[[#This Row],[J2,3]]-B$9)^2</f>
        <v>8.6265548680284021E-2</v>
      </c>
      <c r="N13">
        <f>Table3[[#This Row],[weight]]*(0.9155*Table2[[#This Row],[J34]]-C$9)^2</f>
        <v>7.0574406873635032E-2</v>
      </c>
      <c r="O13">
        <f>Table3[[#This Row],[weight]]*(0.9155*Table2[[#This Row],[J45]]-D$9)^2</f>
        <v>0.15206068234338405</v>
      </c>
      <c r="P13">
        <f>Table3[[#This Row],[weight]]*(0.9155*Table2[[#This Row],[J56]]-E$9)^2</f>
        <v>0.2737672824486217</v>
      </c>
      <c r="Q13">
        <f>Table3[[#This Row],[weight]]*(0.9155*Table2[[#This Row],[J67]]-F$9)^2</f>
        <v>0.24887866569325243</v>
      </c>
      <c r="R13">
        <f>Table3[[#This Row],[weight]]*(0.9155*Table2[[#This Row],[J67'']]-G$9)^2</f>
        <v>5.4612817899431821E-5</v>
      </c>
      <c r="S13">
        <f>chloroform!J18</f>
        <v>2.3878120405735437E-3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7.2917238390133107E-5</v>
      </c>
      <c r="M14">
        <f>Table3[[#This Row],[weight]]*(0.9155*Table2[[#This Row],[J2,3]]-B$9)^2</f>
        <v>2.5643915476778962E-3</v>
      </c>
      <c r="N14">
        <f>Table3[[#This Row],[weight]]*(0.9155*Table2[[#This Row],[J34]]-C$9)^2</f>
        <v>1.2162501232857417E-2</v>
      </c>
      <c r="O14">
        <f>Table3[[#This Row],[weight]]*(0.9155*Table2[[#This Row],[J45]]-D$9)^2</f>
        <v>4.2552161353747488E-3</v>
      </c>
      <c r="P14">
        <f>Table3[[#This Row],[weight]]*(0.9155*Table2[[#This Row],[J56]]-E$9)^2</f>
        <v>2.3490791314026041E-3</v>
      </c>
      <c r="Q14">
        <f>Table3[[#This Row],[weight]]*(0.9155*Table2[[#This Row],[J67]]-F$9)^2</f>
        <v>6.9601068164201378E-3</v>
      </c>
      <c r="R14">
        <f>Table3[[#This Row],[weight]]*(0.9155*Table2[[#This Row],[J67'']]-G$9)^2</f>
        <v>1.0830622538181665</v>
      </c>
      <c r="S14">
        <f>chloroform!J19</f>
        <v>9.3791979980002799E-2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0</v>
      </c>
      <c r="M15">
        <f>Table3[[#This Row],[weight]]*(0.9155*Table2[[#This Row],[J2,3]]-B$9)^2</f>
        <v>0</v>
      </c>
      <c r="N15">
        <f>Table3[[#This Row],[weight]]*(0.9155*Table2[[#This Row],[J34]]-C$9)^2</f>
        <v>0</v>
      </c>
      <c r="O15">
        <f>Table3[[#This Row],[weight]]*(0.9155*Table2[[#This Row],[J45]]-D$9)^2</f>
        <v>0</v>
      </c>
      <c r="P15">
        <f>Table3[[#This Row],[weight]]*(0.9155*Table2[[#This Row],[J56]]-E$9)^2</f>
        <v>0</v>
      </c>
      <c r="Q15">
        <f>Table3[[#This Row],[weight]]*(0.9155*Table2[[#This Row],[J67]]-F$9)^2</f>
        <v>0</v>
      </c>
      <c r="R15">
        <f>Table3[[#This Row],[weight]]*(0.9155*Table2[[#This Row],[J67'']]-G$9)^2</f>
        <v>0</v>
      </c>
      <c r="S15">
        <f>chloroform!J20</f>
        <v>0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1.0230281861683722E-4</v>
      </c>
      <c r="M16">
        <f>Table3[[#This Row],[weight]]*(0.9155*Table2[[#This Row],[J2,3]]-B$9)^2</f>
        <v>2.1033190792419672E-4</v>
      </c>
      <c r="N16">
        <f>Table3[[#This Row],[weight]]*(0.9155*Table2[[#This Row],[J34]]-C$9)^2</f>
        <v>1.8369802153386228E-3</v>
      </c>
      <c r="O16">
        <f>Table3[[#This Row],[weight]]*(0.9155*Table2[[#This Row],[J45]]-D$9)^2</f>
        <v>7.2475362281985206E-3</v>
      </c>
      <c r="P16">
        <f>Table3[[#This Row],[weight]]*(0.9155*Table2[[#This Row],[J56]]-E$9)^2</f>
        <v>1.7125017670156601E-3</v>
      </c>
      <c r="Q16">
        <f>Table3[[#This Row],[weight]]*(0.9155*Table2[[#This Row],[J67]]-F$9)^2</f>
        <v>7.8177859677053805E-4</v>
      </c>
      <c r="R16">
        <f>Table3[[#This Row],[weight]]*(0.9155*Table2[[#This Row],[J67'']]-G$9)^2</f>
        <v>6.2053230091611193E-3</v>
      </c>
      <c r="S16">
        <f>chloroform!J21</f>
        <v>2.1610368011094235E-4</v>
      </c>
      <c r="T16" t="str">
        <f>chloroform!F21</f>
        <v>45TH</v>
      </c>
    </row>
    <row r="17" spans="7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7:20" x14ac:dyDescent="0.25">
      <c r="G18" t="s">
        <v>67</v>
      </c>
      <c r="K18">
        <f>chloroform!E23</f>
        <v>24</v>
      </c>
      <c r="L18">
        <f>Table3[[#This Row],[weight]]*(0.9155*Table2[[#This Row],[J1,2]]-A$9)^2</f>
        <v>1.0018971328394932E-4</v>
      </c>
      <c r="M18">
        <f>Table3[[#This Row],[weight]]*(0.9155*Table2[[#This Row],[J2,3]]-B$9)^2</f>
        <v>2.137251400349374E-4</v>
      </c>
      <c r="N18">
        <f>Table3[[#This Row],[weight]]*(0.9155*Table2[[#This Row],[J34]]-C$9)^2</f>
        <v>1.7099516818989144E-3</v>
      </c>
      <c r="O18">
        <f>Table3[[#This Row],[weight]]*(0.9155*Table2[[#This Row],[J45]]-D$9)^2</f>
        <v>6.5813759782685178E-3</v>
      </c>
      <c r="P18">
        <f>Table3[[#This Row],[weight]]*(0.9155*Table2[[#This Row],[J56]]-E$9)^2</f>
        <v>9.0686519686883859E-4</v>
      </c>
      <c r="Q18">
        <f>Table3[[#This Row],[weight]]*(0.9155*Table2[[#This Row],[J67]]-F$9)^2</f>
        <v>1.623926098224188E-2</v>
      </c>
      <c r="R18">
        <f>Table3[[#This Row],[weight]]*(0.9155*Table2[[#This Row],[J67'']]-G$9)^2</f>
        <v>1.9537736724650695E-3</v>
      </c>
      <c r="S18">
        <f>chloroform!J23</f>
        <v>2.2583330833935605E-4</v>
      </c>
      <c r="T18" t="str">
        <f>chloroform!F23</f>
        <v>45TH</v>
      </c>
    </row>
    <row r="19" spans="7:20" x14ac:dyDescent="0.25">
      <c r="G19" t="s">
        <v>68</v>
      </c>
      <c r="K19">
        <f>chloroform!E24</f>
        <v>26</v>
      </c>
      <c r="L19">
        <f>Table3[[#This Row],[weight]]*(0.9155*Table2[[#This Row],[J1,2]]-A$9)^2</f>
        <v>2.572150653175486E-3</v>
      </c>
      <c r="M19">
        <f>Table3[[#This Row],[weight]]*(0.9155*Table2[[#This Row],[J2,3]]-B$9)^2</f>
        <v>1.3109640744875441E-3</v>
      </c>
      <c r="N19">
        <f>Table3[[#This Row],[weight]]*(0.9155*Table2[[#This Row],[J34]]-C$9)^2</f>
        <v>5.3009872240683181E-2</v>
      </c>
      <c r="O19">
        <f>Table3[[#This Row],[weight]]*(0.9155*Table2[[#This Row],[J45]]-D$9)^2</f>
        <v>0.17593685729557981</v>
      </c>
      <c r="P19">
        <f>Table3[[#This Row],[weight]]*(0.9155*Table2[[#This Row],[J56]]-E$9)^2</f>
        <v>3.2437650414002948E-2</v>
      </c>
      <c r="Q19">
        <f>Table3[[#This Row],[weight]]*(0.9155*Table2[[#This Row],[J67]]-F$9)^2</f>
        <v>5.1866266940740465E-4</v>
      </c>
      <c r="R19">
        <f>Table3[[#This Row],[weight]]*(0.9155*Table2[[#This Row],[J67'']]-G$9)^2</f>
        <v>4.3012443358513626E-2</v>
      </c>
      <c r="S19">
        <f>chloroform!J24</f>
        <v>3.4988345041332821E-3</v>
      </c>
      <c r="T19" t="str">
        <f>chloroform!F24</f>
        <v>45TH</v>
      </c>
    </row>
    <row r="20" spans="7:20" x14ac:dyDescent="0.25">
      <c r="G20" t="s">
        <v>69</v>
      </c>
      <c r="K20">
        <f>chloroform!E25</f>
        <v>27</v>
      </c>
      <c r="L20">
        <f>Table3[[#This Row],[weight]]*(0.9155*Table2[[#This Row],[J1,2]]-A$9)^2</f>
        <v>1.717143313782714E-3</v>
      </c>
      <c r="M20">
        <f>Table3[[#This Row],[weight]]*(0.9155*Table2[[#This Row],[J2,3]]-B$9)^2</f>
        <v>1.2992662864998908E-6</v>
      </c>
      <c r="N20">
        <f>Table3[[#This Row],[weight]]*(0.9155*Table2[[#This Row],[J34]]-C$9)^2</f>
        <v>1.3757381601143525E-2</v>
      </c>
      <c r="O20">
        <f>Table3[[#This Row],[weight]]*(0.9155*Table2[[#This Row],[J45]]-D$9)^2</f>
        <v>9.8888998808995907E-3</v>
      </c>
      <c r="P20">
        <f>Table3[[#This Row],[weight]]*(0.9155*Table2[[#This Row],[J56]]-E$9)^2</f>
        <v>2.7050142136119219E-3</v>
      </c>
      <c r="Q20">
        <f>Table3[[#This Row],[weight]]*(0.9155*Table2[[#This Row],[J67]]-F$9)^2</f>
        <v>6.0152547854583713E-3</v>
      </c>
      <c r="R20">
        <f>Table3[[#This Row],[weight]]*(0.9155*Table2[[#This Row],[J67'']]-G$9)^2</f>
        <v>1.6952476212085328</v>
      </c>
      <c r="S20">
        <f>chloroform!J25</f>
        <v>8.0576373460553866E-2</v>
      </c>
      <c r="T20" t="str">
        <f>chloroform!F25</f>
        <v>4H6</v>
      </c>
    </row>
    <row r="21" spans="7:20" x14ac:dyDescent="0.25">
      <c r="G21" t="s">
        <v>70</v>
      </c>
      <c r="K21">
        <f>chloroform!E26</f>
        <v>30</v>
      </c>
      <c r="L21">
        <f>Table3[[#This Row],[weight]]*(0.9155*Table2[[#This Row],[J1,2]]-A$9)^2</f>
        <v>1.7090739107800126E-4</v>
      </c>
      <c r="M21">
        <f>Table3[[#This Row],[weight]]*(0.9155*Table2[[#This Row],[J2,3]]-B$9)^2</f>
        <v>1.9782698922408141E-2</v>
      </c>
      <c r="N21">
        <f>Table3[[#This Row],[weight]]*(0.9155*Table2[[#This Row],[J34]]-C$9)^2</f>
        <v>1.7938643646337935E-2</v>
      </c>
      <c r="O21">
        <f>Table3[[#This Row],[weight]]*(0.9155*Table2[[#This Row],[J45]]-D$9)^2</f>
        <v>3.7202973192911021E-2</v>
      </c>
      <c r="P21">
        <f>Table3[[#This Row],[weight]]*(0.9155*Table2[[#This Row],[J56]]-E$9)^2</f>
        <v>6.5006958935220627E-2</v>
      </c>
      <c r="Q21">
        <f>Table3[[#This Row],[weight]]*(0.9155*Table2[[#This Row],[J67]]-F$9)^2</f>
        <v>5.3682274125111673E-2</v>
      </c>
      <c r="R21">
        <f>Table3[[#This Row],[weight]]*(0.9155*Table2[[#This Row],[J67'']]-G$9)^2</f>
        <v>1.9046291708993983E-3</v>
      </c>
      <c r="S21">
        <f>chloroform!J26</f>
        <v>5.5979160194186085E-4</v>
      </c>
      <c r="T21" t="str">
        <f>chloroform!F26</f>
        <v>6H4</v>
      </c>
    </row>
    <row r="22" spans="7:20" x14ac:dyDescent="0.25">
      <c r="G22" t="s">
        <v>71</v>
      </c>
      <c r="K22">
        <f>chloroform!E27</f>
        <v>33</v>
      </c>
      <c r="L22">
        <f>Table3[[#This Row],[weight]]*(0.9155*Table2[[#This Row],[J1,2]]-A$9)^2</f>
        <v>4.5711351464095505E-4</v>
      </c>
      <c r="M22">
        <f>Table3[[#This Row],[weight]]*(0.9155*Table2[[#This Row],[J2,3]]-B$9)^2</f>
        <v>9.6069382428904716E-4</v>
      </c>
      <c r="N22">
        <f>Table3[[#This Row],[weight]]*(0.9155*Table2[[#This Row],[J34]]-C$9)^2</f>
        <v>8.7541343919638453E-3</v>
      </c>
      <c r="O22">
        <f>Table3[[#This Row],[weight]]*(0.9155*Table2[[#This Row],[J45]]-D$9)^2</f>
        <v>3.1682572041361982E-2</v>
      </c>
      <c r="P22">
        <f>Table3[[#This Row],[weight]]*(0.9155*Table2[[#This Row],[J56]]-E$9)^2</f>
        <v>6.1639643687935513E-3</v>
      </c>
      <c r="Q22">
        <f>Table3[[#This Row],[weight]]*(0.9155*Table2[[#This Row],[J67]]-F$9)^2</f>
        <v>1.8273447863534258E-4</v>
      </c>
      <c r="R22">
        <f>Table3[[#This Row],[weight]]*(0.9155*Table2[[#This Row],[J67'']]-G$9)^2</f>
        <v>2.6743982026289716E-2</v>
      </c>
      <c r="S22">
        <f>chloroform!J27</f>
        <v>9.2095950357425885E-4</v>
      </c>
      <c r="T22" t="str">
        <f>chloroform!F27</f>
        <v>45TH</v>
      </c>
    </row>
    <row r="23" spans="7:20" x14ac:dyDescent="0.25">
      <c r="G23" t="s">
        <v>72</v>
      </c>
      <c r="K23">
        <f>chloroform!E28</f>
        <v>34</v>
      </c>
      <c r="L23">
        <f>Table3[[#This Row],[weight]]*(0.9155*Table2[[#This Row],[J1,2]]-A$9)^2</f>
        <v>1.4530713632201364E-4</v>
      </c>
      <c r="M23">
        <f>Table3[[#This Row],[weight]]*(0.9155*Table2[[#This Row],[J2,3]]-B$9)^2</f>
        <v>1.4723460961542964E-2</v>
      </c>
      <c r="N23">
        <f>Table3[[#This Row],[weight]]*(0.9155*Table2[[#This Row],[J34]]-C$9)^2</f>
        <v>1.3735397836714399E-2</v>
      </c>
      <c r="O23">
        <f>Table3[[#This Row],[weight]]*(0.9155*Table2[[#This Row],[J45]]-D$9)^2</f>
        <v>3.3291046623950084E-2</v>
      </c>
      <c r="P23">
        <f>Table3[[#This Row],[weight]]*(0.9155*Table2[[#This Row],[J56]]-E$9)^2</f>
        <v>4.5599810841655E-2</v>
      </c>
      <c r="Q23">
        <f>Table3[[#This Row],[weight]]*(0.9155*Table2[[#This Row],[J67]]-F$9)^2</f>
        <v>5.1959147159793962E-5</v>
      </c>
      <c r="R23">
        <f>Table3[[#This Row],[weight]]*(0.9155*Table2[[#This Row],[J67'']]-G$9)^2</f>
        <v>1.0171046665616624E-3</v>
      </c>
      <c r="S23">
        <f>chloroform!J28</f>
        <v>4.3057306913062875E-4</v>
      </c>
      <c r="T23" t="str">
        <f>chloroform!F28</f>
        <v>6H4</v>
      </c>
    </row>
    <row r="24" spans="7:20" x14ac:dyDescent="0.25">
      <c r="G24" t="s">
        <v>74</v>
      </c>
      <c r="K24">
        <f>chloroform!E29</f>
        <v>38</v>
      </c>
      <c r="L24">
        <f>Table3[[#This Row],[weight]]*(0.9155*Table2[[#This Row],[J1,2]]-A$9)^2</f>
        <v>1.8870375182317555E-2</v>
      </c>
      <c r="M24">
        <f>Table3[[#This Row],[weight]]*(0.9155*Table2[[#This Row],[J2,3]]-B$9)^2</f>
        <v>1.0290396935106827E-2</v>
      </c>
      <c r="N24">
        <f>Table3[[#This Row],[weight]]*(0.9155*Table2[[#This Row],[J34]]-C$9)^2</f>
        <v>0.36262066142214372</v>
      </c>
      <c r="O24">
        <f>Table3[[#This Row],[weight]]*(0.9155*Table2[[#This Row],[J45]]-D$9)^2</f>
        <v>0.84181665163132691</v>
      </c>
      <c r="P24">
        <f>Table3[[#This Row],[weight]]*(0.9155*Table2[[#This Row],[J56]]-E$9)^2</f>
        <v>0.10499337307515057</v>
      </c>
      <c r="Q24">
        <f>Table3[[#This Row],[weight]]*(0.9155*Table2[[#This Row],[J67]]-F$9)^2</f>
        <v>7.0542852895383503E-3</v>
      </c>
      <c r="R24">
        <f>Table3[[#This Row],[weight]]*(0.9155*Table2[[#This Row],[J67'']]-G$9)^2</f>
        <v>0.35777443967175859</v>
      </c>
      <c r="S24">
        <f>chloroform!J29</f>
        <v>2.6977702923286898E-2</v>
      </c>
      <c r="T24" t="str">
        <f>chloroform!F29</f>
        <v>45TH</v>
      </c>
    </row>
    <row r="25" spans="7:20" x14ac:dyDescent="0.25">
      <c r="K25">
        <f>chloroform!E30</f>
        <v>39</v>
      </c>
      <c r="L25">
        <f>Table3[[#This Row],[weight]]*(0.9155*Table2[[#This Row],[J1,2]]-A$9)^2</f>
        <v>4.4384017647984749E-6</v>
      </c>
      <c r="M25">
        <f>Table3[[#This Row],[weight]]*(0.9155*Table2[[#This Row],[J2,3]]-B$9)^2</f>
        <v>1.25561176681431E-2</v>
      </c>
      <c r="N25">
        <f>Table3[[#This Row],[weight]]*(0.9155*Table2[[#This Row],[J34]]-C$9)^2</f>
        <v>4.3303294633484282E-3</v>
      </c>
      <c r="O25">
        <f>Table3[[#This Row],[weight]]*(0.9155*Table2[[#This Row],[J45]]-D$9)^2</f>
        <v>7.9382580787945003E-4</v>
      </c>
      <c r="P25">
        <f>Table3[[#This Row],[weight]]*(0.9155*Table2[[#This Row],[J56]]-E$9)^2</f>
        <v>1.8796068193223964E-2</v>
      </c>
      <c r="Q25">
        <f>Table3[[#This Row],[weight]]*(0.9155*Table2[[#This Row],[J67]]-F$9)^2</f>
        <v>6.4150394868902018E-3</v>
      </c>
      <c r="R25">
        <f>Table3[[#This Row],[weight]]*(0.9155*Table2[[#This Row],[J67'']]-G$9)^2</f>
        <v>2.8135096893381357</v>
      </c>
      <c r="S25">
        <f>chloroform!J30</f>
        <v>0.127049524467722</v>
      </c>
      <c r="T25" t="str">
        <f>chloroform!F30</f>
        <v>4H6</v>
      </c>
    </row>
    <row r="26" spans="7:20" x14ac:dyDescent="0.25">
      <c r="K26">
        <f>chloroform!E31</f>
        <v>41</v>
      </c>
      <c r="L26">
        <f>Table3[[#This Row],[weight]]*(0.9155*Table2[[#This Row],[J1,2]]-A$9)^2</f>
        <v>8.2738489294278614E-4</v>
      </c>
      <c r="M26">
        <f>Table3[[#This Row],[weight]]*(0.9155*Table2[[#This Row],[J2,3]]-B$9)^2</f>
        <v>3.861325049549368E-7</v>
      </c>
      <c r="N26">
        <f>Table3[[#This Row],[weight]]*(0.9155*Table2[[#This Row],[J34]]-C$9)^2</f>
        <v>1.2784821659216215E-6</v>
      </c>
      <c r="O26">
        <f>Table3[[#This Row],[weight]]*(0.9155*Table2[[#This Row],[J45]]-D$9)^2</f>
        <v>1.4572339440326591E-5</v>
      </c>
      <c r="P26">
        <f>Table3[[#This Row],[weight]]*(0.9155*Table2[[#This Row],[J56]]-E$9)^2</f>
        <v>2.0614826504910836E-4</v>
      </c>
      <c r="Q26">
        <f>Table3[[#This Row],[weight]]*(0.9155*Table2[[#This Row],[J67]]-F$9)^2</f>
        <v>5.3717590322462216E-3</v>
      </c>
      <c r="R26">
        <f>Table3[[#This Row],[weight]]*(0.9155*Table2[[#This Row],[J67'']]-G$9)^2</f>
        <v>1.7681644792818814</v>
      </c>
      <c r="S26">
        <f>chloroform!J31</f>
        <v>8.0911768100308368E-2</v>
      </c>
      <c r="T26" t="str">
        <f>chloroform!F31</f>
        <v>4H6</v>
      </c>
    </row>
    <row r="27" spans="7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7:20" x14ac:dyDescent="0.25">
      <c r="K28">
        <f>chloroform!E33</f>
        <v>48</v>
      </c>
      <c r="L28">
        <f>Table3[[#This Row],[weight]]*(0.9155*Table2[[#This Row],[J1,2]]-A$9)^2</f>
        <v>2.7247638259502833E-3</v>
      </c>
      <c r="M28">
        <f>Table3[[#This Row],[weight]]*(0.9155*Table2[[#This Row],[J2,3]]-B$9)^2</f>
        <v>6.0925563481926209E-2</v>
      </c>
      <c r="N28">
        <f>Table3[[#This Row],[weight]]*(0.9155*Table2[[#This Row],[J34]]-C$9)^2</f>
        <v>0.2038546634553495</v>
      </c>
      <c r="O28">
        <f>Table3[[#This Row],[weight]]*(0.9155*Table2[[#This Row],[J45]]-D$9)^2</f>
        <v>1.3416100110303448</v>
      </c>
      <c r="P28">
        <f>Table3[[#This Row],[weight]]*(0.9155*Table2[[#This Row],[J56]]-E$9)^2</f>
        <v>0.11886582404997469</v>
      </c>
      <c r="Q28">
        <f>Table3[[#This Row],[weight]]*(0.9155*Table2[[#This Row],[J67]]-F$9)^2</f>
        <v>1.5182322116974382E-3</v>
      </c>
      <c r="R28">
        <f>Table3[[#This Row],[weight]]*(0.9155*Table2[[#This Row],[J67'']]-G$9)^2</f>
        <v>0.32392006232505466</v>
      </c>
      <c r="S28">
        <f>chloroform!J33</f>
        <v>1.2775133820605666E-2</v>
      </c>
      <c r="T28" t="str">
        <f>chloroform!F33</f>
        <v>56TH</v>
      </c>
    </row>
    <row r="29" spans="7:20" x14ac:dyDescent="0.25">
      <c r="K29">
        <f>chloroform!E34</f>
        <v>57</v>
      </c>
      <c r="L29">
        <f>Table3[[#This Row],[weight]]*(0.9155*Table2[[#This Row],[J1,2]]-A$9)^2</f>
        <v>8.0305109361110145E-4</v>
      </c>
      <c r="M29">
        <f>Table3[[#This Row],[weight]]*(0.9155*Table2[[#This Row],[J2,3]]-B$9)^2</f>
        <v>2.9936124173002936E-2</v>
      </c>
      <c r="N29">
        <f>Table3[[#This Row],[weight]]*(0.9155*Table2[[#This Row],[J34]]-C$9)^2</f>
        <v>2.8623474331222316E-2</v>
      </c>
      <c r="O29">
        <f>Table3[[#This Row],[weight]]*(0.9155*Table2[[#This Row],[J45]]-D$9)^2</f>
        <v>2.8904401495018078E-2</v>
      </c>
      <c r="P29">
        <f>Table3[[#This Row],[weight]]*(0.9155*Table2[[#This Row],[J56]]-E$9)^2</f>
        <v>9.1978935613555635E-2</v>
      </c>
      <c r="Q29">
        <f>Table3[[#This Row],[weight]]*(0.9155*Table2[[#This Row],[J67]]-F$9)^2</f>
        <v>2.3693032866533145E-3</v>
      </c>
      <c r="R29">
        <f>Table3[[#This Row],[weight]]*(0.9155*Table2[[#This Row],[J67'']]-G$9)^2</f>
        <v>3.8011629544308818E-2</v>
      </c>
      <c r="S29">
        <f>chloroform!J34</f>
        <v>8.3446191868302429E-4</v>
      </c>
      <c r="T29" t="str">
        <f>chloroform!F34</f>
        <v>6H4</v>
      </c>
    </row>
    <row r="30" spans="7:20" x14ac:dyDescent="0.25">
      <c r="K30">
        <f>chloroform!E35</f>
        <v>59</v>
      </c>
      <c r="L30">
        <f>Table3[[#This Row],[weight]]*(0.9155*Table2[[#This Row],[J1,2]]-A$9)^2</f>
        <v>2.0503451359971792E-4</v>
      </c>
      <c r="M30">
        <f>Table3[[#This Row],[weight]]*(0.9155*Table2[[#This Row],[J2,3]]-B$9)^2</f>
        <v>1.5760571398006715E-3</v>
      </c>
      <c r="N30">
        <f>Table3[[#This Row],[weight]]*(0.9155*Table2[[#This Row],[J34]]-C$9)^2</f>
        <v>1.1232937117651914E-4</v>
      </c>
      <c r="O30">
        <f>Table3[[#This Row],[weight]]*(0.9155*Table2[[#This Row],[J45]]-D$9)^2</f>
        <v>1.140842608385798E-5</v>
      </c>
      <c r="P30">
        <f>Table3[[#This Row],[weight]]*(0.9155*Table2[[#This Row],[J56]]-E$9)^2</f>
        <v>1.7350253893286759E-3</v>
      </c>
      <c r="Q30">
        <f>Table3[[#This Row],[weight]]*(0.9155*Table2[[#This Row],[J67]]-F$9)^2</f>
        <v>1.5145364146905549E-5</v>
      </c>
      <c r="R30">
        <f>Table3[[#This Row],[weight]]*(0.9155*Table2[[#This Row],[J67'']]-G$9)^2</f>
        <v>8.0122767849037169E-4</v>
      </c>
      <c r="S30">
        <f>chloroform!J35</f>
        <v>5.0795088160469441E-5</v>
      </c>
      <c r="T30" t="str">
        <f>chloroform!F35</f>
        <v>45TH</v>
      </c>
    </row>
    <row r="31" spans="7:20" x14ac:dyDescent="0.25">
      <c r="K31">
        <f>chloroform!E36</f>
        <v>72</v>
      </c>
      <c r="L31">
        <f>Table3[[#This Row],[weight]]*(0.9155*Table2[[#This Row],[J1,2]]-A$9)^2</f>
        <v>4.1950431147839351E-5</v>
      </c>
      <c r="M31">
        <f>Table3[[#This Row],[weight]]*(0.9155*Table2[[#This Row],[J2,3]]-B$9)^2</f>
        <v>5.3770844140730665E-9</v>
      </c>
      <c r="N31">
        <f>Table3[[#This Row],[weight]]*(0.9155*Table2[[#This Row],[J34]]-C$9)^2</f>
        <v>5.3208568342555764E-4</v>
      </c>
      <c r="O31">
        <f>Table3[[#This Row],[weight]]*(0.9155*Table2[[#This Row],[J45]]-D$9)^2</f>
        <v>1.0390987037632349E-4</v>
      </c>
      <c r="P31">
        <f>Table3[[#This Row],[weight]]*(0.9155*Table2[[#This Row],[J56]]-E$9)^2</f>
        <v>2.4590386049921116E-5</v>
      </c>
      <c r="Q31">
        <f>Table3[[#This Row],[weight]]*(0.9155*Table2[[#This Row],[J67]]-F$9)^2</f>
        <v>0.10609677730071355</v>
      </c>
      <c r="R31">
        <f>Table3[[#This Row],[weight]]*(0.9155*Table2[[#This Row],[J67'']]-G$9)^2</f>
        <v>5.524483962051864E-2</v>
      </c>
      <c r="S31">
        <f>chloroform!J36</f>
        <v>2.4633282831997422E-3</v>
      </c>
      <c r="T31" t="str">
        <f>chloroform!F36</f>
        <v>4H6</v>
      </c>
    </row>
    <row r="32" spans="7:20" x14ac:dyDescent="0.25">
      <c r="K32">
        <f>chloroform!E37</f>
        <v>73</v>
      </c>
      <c r="L32">
        <f>Table3[[#This Row],[weight]]*(0.9155*Table2[[#This Row],[J1,2]]-A$9)^2</f>
        <v>8.704298237242987E-2</v>
      </c>
      <c r="M32">
        <f>Table3[[#This Row],[weight]]*(0.9155*Table2[[#This Row],[J2,3]]-B$9)^2</f>
        <v>0.8111278913451071</v>
      </c>
      <c r="N32">
        <f>Table3[[#This Row],[weight]]*(0.9155*Table2[[#This Row],[J34]]-C$9)^2</f>
        <v>0.15116087815882662</v>
      </c>
      <c r="O32">
        <f>Table3[[#This Row],[weight]]*(0.9155*Table2[[#This Row],[J45]]-D$9)^2</f>
        <v>3.5552989689406291</v>
      </c>
      <c r="P32">
        <f>Table3[[#This Row],[weight]]*(0.9155*Table2[[#This Row],[J56]]-E$9)^2</f>
        <v>0.11718464168619538</v>
      </c>
      <c r="Q32">
        <f>Table3[[#This Row],[weight]]*(0.9155*Table2[[#This Row],[J67]]-F$9)^2</f>
        <v>4.4173983132403238E-3</v>
      </c>
      <c r="R32">
        <f>Table3[[#This Row],[weight]]*(0.9155*Table2[[#This Row],[J67'']]-G$9)^2</f>
        <v>0.4312835267309898</v>
      </c>
      <c r="S32">
        <f>chloroform!J37</f>
        <v>3.4201849845768455E-2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3.1895986513881839E-4</v>
      </c>
      <c r="M33">
        <f>Table3[[#This Row],[weight]]*(0.9155*Table2[[#This Row],[J2,3]]-B$9)^2</f>
        <v>2.2738284302533029E-3</v>
      </c>
      <c r="N33">
        <f>Table3[[#This Row],[weight]]*(0.9155*Table2[[#This Row],[J34]]-C$9)^2</f>
        <v>1.2333087659368653E-4</v>
      </c>
      <c r="O33">
        <f>Table3[[#This Row],[weight]]*(0.9155*Table2[[#This Row],[J45]]-D$9)^2</f>
        <v>1.8361916159772374E-5</v>
      </c>
      <c r="P33">
        <f>Table3[[#This Row],[weight]]*(0.9155*Table2[[#This Row],[J56]]-E$9)^2</f>
        <v>2.6320265380885368E-3</v>
      </c>
      <c r="Q33">
        <f>Table3[[#This Row],[weight]]*(0.9155*Table2[[#This Row],[J67]]-F$9)^2</f>
        <v>2.9617621374454961E-7</v>
      </c>
      <c r="R33">
        <f>Table3[[#This Row],[weight]]*(0.9155*Table2[[#This Row],[J67'']]-G$9)^2</f>
        <v>1.8831613958704945E-3</v>
      </c>
      <c r="S33">
        <f>chloroform!J38</f>
        <v>7.3043412281397076E-5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1.4035364672209481E-2</v>
      </c>
      <c r="M34">
        <f>Table3[[#This Row],[weight]]*(0.9155*Table2[[#This Row],[J2,3]]-B$9)^2</f>
        <v>7.6191471239478292E-3</v>
      </c>
      <c r="N34">
        <f>Table3[[#This Row],[weight]]*(0.9155*Table2[[#This Row],[J34]]-C$9)^2</f>
        <v>0.29122335675256078</v>
      </c>
      <c r="O34">
        <f>Table3[[#This Row],[weight]]*(0.9155*Table2[[#This Row],[J45]]-D$9)^2</f>
        <v>0.64224635096320482</v>
      </c>
      <c r="P34">
        <f>Table3[[#This Row],[weight]]*(0.9155*Table2[[#This Row],[J56]]-E$9)^2</f>
        <v>8.6350897825422351E-2</v>
      </c>
      <c r="Q34">
        <f>Table3[[#This Row],[weight]]*(0.9155*Table2[[#This Row],[J67]]-F$9)^2</f>
        <v>5.9996730037955633E-3</v>
      </c>
      <c r="R34">
        <f>Table3[[#This Row],[weight]]*(0.9155*Table2[[#This Row],[J67'']]-G$9)^2</f>
        <v>0.66597716472628554</v>
      </c>
      <c r="S34">
        <f>chloroform!J39</f>
        <v>2.1020730544865893E-2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6.8312352305619322E-5</v>
      </c>
      <c r="M35">
        <f>Table3[[#This Row],[weight]]*(0.9155*Table2[[#This Row],[J2,3]]-B$9)^2</f>
        <v>2.0888357947311735E-6</v>
      </c>
      <c r="N35">
        <f>Table3[[#This Row],[weight]]*(0.9155*Table2[[#This Row],[J34]]-C$9)^2</f>
        <v>6.3818883565683955E-4</v>
      </c>
      <c r="O35">
        <f>Table3[[#This Row],[weight]]*(0.9155*Table2[[#This Row],[J45]]-D$9)^2</f>
        <v>1.1507774316376963E-3</v>
      </c>
      <c r="P35">
        <f>Table3[[#This Row],[weight]]*(0.9155*Table2[[#This Row],[J56]]-E$9)^2</f>
        <v>5.5618223434422019E-3</v>
      </c>
      <c r="Q35">
        <f>Table3[[#This Row],[weight]]*(0.9155*Table2[[#This Row],[J67]]-F$9)^2</f>
        <v>9.6510679895910334E-3</v>
      </c>
      <c r="R35">
        <f>Table3[[#This Row],[weight]]*(0.9155*Table2[[#This Row],[J67'']]-G$9)^2</f>
        <v>3.3570863813991067E-6</v>
      </c>
      <c r="S35">
        <f>chloroform!J40</f>
        <v>8.2900781620253312E-5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4.925329513264985E-5</v>
      </c>
      <c r="M38">
        <f>Table3[[#This Row],[weight]]*(0.9155*Table2[[#This Row],[J2,3]]-B$9)^2</f>
        <v>0.77366386768781747</v>
      </c>
      <c r="N38">
        <f>Table3[[#This Row],[weight]]*(0.9155*Table2[[#This Row],[J34]]-C$9)^2</f>
        <v>0.48319153164012507</v>
      </c>
      <c r="O38">
        <f>Table3[[#This Row],[weight]]*(0.9155*Table2[[#This Row],[J45]]-D$9)^2</f>
        <v>2.4459867865615985</v>
      </c>
      <c r="P38">
        <f>Table3[[#This Row],[weight]]*(0.9155*Table2[[#This Row],[J56]]-E$9)^2</f>
        <v>2.816261890070228E-2</v>
      </c>
      <c r="Q38">
        <f>Table3[[#This Row],[weight]]*(0.9155*Table2[[#This Row],[J67]]-F$9)^2</f>
        <v>1.4263105736462054E-2</v>
      </c>
      <c r="R38">
        <f>Table3[[#This Row],[weight]]*(0.9155*Table2[[#This Row],[J67'']]-G$9)^2</f>
        <v>0.66183948694040506</v>
      </c>
      <c r="S38">
        <f>chloroform!J43</f>
        <v>2.7229119744419213E-2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5.2680902563677825E-3</v>
      </c>
      <c r="M42">
        <f>Table3[[#This Row],[weight]]*(0.9155*Table2[[#This Row],[J2,3]]-B$9)^2</f>
        <v>1.3986139532894324E-2</v>
      </c>
      <c r="N42">
        <f>Table3[[#This Row],[weight]]*(0.9155*Table2[[#This Row],[J34]]-C$9)^2</f>
        <v>0.12257941155022994</v>
      </c>
      <c r="O42">
        <f>Table3[[#This Row],[weight]]*(0.9155*Table2[[#This Row],[J45]]-D$9)^2</f>
        <v>0.29074533258375745</v>
      </c>
      <c r="P42">
        <f>Table3[[#This Row],[weight]]*(0.9155*Table2[[#This Row],[J56]]-E$9)^2</f>
        <v>3.5786650370586398E-2</v>
      </c>
      <c r="Q42">
        <f>Table3[[#This Row],[weight]]*(0.9155*Table2[[#This Row],[J67]]-F$9)^2</f>
        <v>1.1453612643884456E-2</v>
      </c>
      <c r="R42">
        <f>Table3[[#This Row],[weight]]*(0.9155*Table2[[#This Row],[J67'']]-G$9)^2</f>
        <v>0.31625812154695038</v>
      </c>
      <c r="S42">
        <f>chloroform!J47</f>
        <v>9.9563621398811759E-3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2.3746844130721766E-5</v>
      </c>
      <c r="M43">
        <f>Table3[[#This Row],[weight]]*(0.9155*Table2[[#This Row],[J2,3]]-B$9)^2</f>
        <v>2.4391282780243582E-2</v>
      </c>
      <c r="N43">
        <f>Table3[[#This Row],[weight]]*(0.9155*Table2[[#This Row],[J34]]-C$9)^2</f>
        <v>1.4141884724829568E-2</v>
      </c>
      <c r="O43">
        <f>Table3[[#This Row],[weight]]*(0.9155*Table2[[#This Row],[J45]]-D$9)^2</f>
        <v>7.8877653546100684E-2</v>
      </c>
      <c r="P43">
        <f>Table3[[#This Row],[weight]]*(0.9155*Table2[[#This Row],[J56]]-E$9)^2</f>
        <v>1.9780893420929487E-3</v>
      </c>
      <c r="Q43">
        <f>Table3[[#This Row],[weight]]*(0.9155*Table2[[#This Row],[J67]]-F$9)^2</f>
        <v>1.3097008218035185E-4</v>
      </c>
      <c r="R43">
        <f>Table3[[#This Row],[weight]]*(0.9155*Table2[[#This Row],[J67'']]-G$9)^2</f>
        <v>5.2480593698908508E-3</v>
      </c>
      <c r="S43">
        <f>chloroform!J48</f>
        <v>8.797775676616489E-4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3.0280057561958931E-4</v>
      </c>
      <c r="M45">
        <f>Table3[[#This Row],[weight]]*(0.9155*Table2[[#This Row],[J2,3]]-B$9)^2</f>
        <v>8.2822306609765874E-6</v>
      </c>
      <c r="N45">
        <f>Table3[[#This Row],[weight]]*(0.9155*Table2[[#This Row],[J34]]-C$9)^2</f>
        <v>3.4353904338034363E-3</v>
      </c>
      <c r="O45">
        <f>Table3[[#This Row],[weight]]*(0.9155*Table2[[#This Row],[J45]]-D$9)^2</f>
        <v>5.5645221669014091E-3</v>
      </c>
      <c r="P45">
        <f>Table3[[#This Row],[weight]]*(0.9155*Table2[[#This Row],[J56]]-E$9)^2</f>
        <v>2.6810940973061928E-2</v>
      </c>
      <c r="Q45">
        <f>Table3[[#This Row],[weight]]*(0.9155*Table2[[#This Row],[J67]]-F$9)^2</f>
        <v>4.1842471966399311E-6</v>
      </c>
      <c r="R45">
        <f>Table3[[#This Row],[weight]]*(0.9155*Table2[[#This Row],[J67'']]-G$9)^2</f>
        <v>8.4395537429254857E-3</v>
      </c>
      <c r="S45">
        <f>chloroform!J50</f>
        <v>4.0926614405763966E-4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2.8843087870459086E-4</v>
      </c>
      <c r="M46">
        <f>Table3[[#This Row],[weight]]*(0.9155*Table2[[#This Row],[J2,3]]-B$9)^2</f>
        <v>2.3979474931574898E-2</v>
      </c>
      <c r="N46">
        <f>Table3[[#This Row],[weight]]*(0.9155*Table2[[#This Row],[J34]]-C$9)^2</f>
        <v>5.6755619284074785E-2</v>
      </c>
      <c r="O46">
        <f>Table3[[#This Row],[weight]]*(0.9155*Table2[[#This Row],[J45]]-D$9)^2</f>
        <v>0.35492865843174759</v>
      </c>
      <c r="P46">
        <f>Table3[[#This Row],[weight]]*(0.9155*Table2[[#This Row],[J56]]-E$9)^2</f>
        <v>3.7709102995585442E-2</v>
      </c>
      <c r="Q46">
        <f>Table3[[#This Row],[weight]]*(0.9155*Table2[[#This Row],[J67]]-F$9)^2</f>
        <v>5.633519863035561E-4</v>
      </c>
      <c r="R46">
        <f>Table3[[#This Row],[weight]]*(0.9155*Table2[[#This Row],[J67'']]-G$9)^2</f>
        <v>5.3847185642502245E-2</v>
      </c>
      <c r="S46">
        <f>chloroform!J51</f>
        <v>3.2689873553548628E-3</v>
      </c>
      <c r="T46" t="str">
        <f>chloroform!F51</f>
        <v>56TH</v>
      </c>
    </row>
    <row r="47" spans="11:20" x14ac:dyDescent="0.25">
      <c r="K47">
        <f>chloroform!E52</f>
        <v>136</v>
      </c>
      <c r="L47" s="4">
        <f>Table3[[#This Row],[weight]]*(0.9155*Table2[[#This Row],[J1,2]]-A$9)^2</f>
        <v>1.809846623173885E-3</v>
      </c>
      <c r="M47" s="4">
        <f>Table3[[#This Row],[weight]]*(0.9155*Table2[[#This Row],[J2,3]]-B$9)^2</f>
        <v>3.1000321479147854E-2</v>
      </c>
      <c r="N47" s="4">
        <f>Table3[[#This Row],[weight]]*(0.9155*Table2[[#This Row],[J34]]-C$9)^2</f>
        <v>7.6420468128091043E-3</v>
      </c>
      <c r="O47" s="4">
        <f>Table3[[#This Row],[weight]]*(0.9155*Table2[[#This Row],[J45]]-D$9)^2</f>
        <v>0.11810685554008357</v>
      </c>
      <c r="P47" s="4">
        <f>Table3[[#This Row],[weight]]*(0.9155*Table2[[#This Row],[J56]]-E$9)^2</f>
        <v>5.3080930008821206E-3</v>
      </c>
      <c r="Q47" s="4">
        <f>Table3[[#This Row],[weight]]*(0.9155*Table2[[#This Row],[J67]]-F$9)^2</f>
        <v>7.7853374467380968E-4</v>
      </c>
      <c r="R47" s="4">
        <f>Table3[[#This Row],[weight]]*(0.9155*Table2[[#This Row],[J67'']]-G$9)^2</f>
        <v>3.021679042874019E-2</v>
      </c>
      <c r="S47">
        <f>chloroform!J52</f>
        <v>1.1479041648005052E-3</v>
      </c>
      <c r="T47" t="str">
        <f>chloroform!F52</f>
        <v>5C12</v>
      </c>
    </row>
    <row r="48" spans="11:20" x14ac:dyDescent="0.25">
      <c r="K48">
        <f>chloroform!E53</f>
        <v>142</v>
      </c>
      <c r="L48" s="4">
        <f>Table3[[#This Row],[weight]]*(0.9155*Table2[[#This Row],[J1,2]]-A$9)^2</f>
        <v>1.9053933855725836E-4</v>
      </c>
      <c r="M48" s="4">
        <f>Table3[[#This Row],[weight]]*(0.9155*Table2[[#This Row],[J2,3]]-B$9)^2</f>
        <v>0.20407827116730642</v>
      </c>
      <c r="N48" s="4">
        <f>Table3[[#This Row],[weight]]*(0.9155*Table2[[#This Row],[J34]]-C$9)^2</f>
        <v>0.12507708071176771</v>
      </c>
      <c r="O48" s="4">
        <f>Table3[[#This Row],[weight]]*(0.9155*Table2[[#This Row],[J45]]-D$9)^2</f>
        <v>0.65088746369651274</v>
      </c>
      <c r="P48" s="4">
        <f>Table3[[#This Row],[weight]]*(0.9155*Table2[[#This Row],[J56]]-E$9)^2</f>
        <v>9.2493178530641575E-3</v>
      </c>
      <c r="Q48" s="4">
        <f>Table3[[#This Row],[weight]]*(0.9155*Table2[[#This Row],[J67]]-F$9)^2</f>
        <v>0.46885886870419341</v>
      </c>
      <c r="R48" s="4">
        <f>Table3[[#This Row],[weight]]*(0.9155*Table2[[#This Row],[J67'']]-G$9)^2</f>
        <v>7.0650682102858908E-2</v>
      </c>
      <c r="S48">
        <f>chloroform!J53</f>
        <v>6.897703231285998E-3</v>
      </c>
      <c r="T48" t="str">
        <f>chloroform!F53</f>
        <v>5C12</v>
      </c>
    </row>
    <row r="49" spans="11:20" x14ac:dyDescent="0.25">
      <c r="K49">
        <f>chloroform!E54</f>
        <v>143</v>
      </c>
      <c r="L49" s="4">
        <f>Table3[[#This Row],[weight]]*(0.9155*Table2[[#This Row],[J1,2]]-A$9)^2</f>
        <v>1.2548358969654256E-4</v>
      </c>
      <c r="M49" s="4">
        <f>Table3[[#This Row],[weight]]*(0.9155*Table2[[#This Row],[J2,3]]-B$9)^2</f>
        <v>6.3073822916288522E-5</v>
      </c>
      <c r="N49" s="4">
        <f>Table3[[#This Row],[weight]]*(0.9155*Table2[[#This Row],[J34]]-C$9)^2</f>
        <v>2.1510090959564448E-3</v>
      </c>
      <c r="O49" s="4">
        <f>Table3[[#This Row],[weight]]*(0.9155*Table2[[#This Row],[J45]]-D$9)^2</f>
        <v>6.6402356629607648E-3</v>
      </c>
      <c r="P49" s="4">
        <f>Table3[[#This Row],[weight]]*(0.9155*Table2[[#This Row],[J56]]-E$9)^2</f>
        <v>9.5865950731962018E-4</v>
      </c>
      <c r="Q49" s="4">
        <f>Table3[[#This Row],[weight]]*(0.9155*Table2[[#This Row],[J67]]-F$9)^2</f>
        <v>5.9543647634827234E-3</v>
      </c>
      <c r="R49" s="4">
        <f>Table3[[#This Row],[weight]]*(0.9155*Table2[[#This Row],[J67'']]-G$9)^2</f>
        <v>1.0823829266102443E-3</v>
      </c>
      <c r="S49">
        <f>chloroform!J54</f>
        <v>8.4696381353338763E-5</v>
      </c>
      <c r="T49" t="str">
        <f>chloroform!F54</f>
        <v>45TH</v>
      </c>
    </row>
    <row r="50" spans="11:20" x14ac:dyDescent="0.25">
      <c r="K50">
        <f>chloroform!E55</f>
        <v>144</v>
      </c>
      <c r="L50" s="4">
        <f>Table3[[#This Row],[weight]]*(0.9155*Table2[[#This Row],[J1,2]]-A$9)^2</f>
        <v>1.1124408023510894E-4</v>
      </c>
      <c r="M50" s="4">
        <f>Table3[[#This Row],[weight]]*(0.9155*Table2[[#This Row],[J2,3]]-B$9)^2</f>
        <v>3.8424870702633593E-5</v>
      </c>
      <c r="N50" s="4">
        <f>Table3[[#This Row],[weight]]*(0.9155*Table2[[#This Row],[J34]]-C$9)^2</f>
        <v>9.1333351582566756E-4</v>
      </c>
      <c r="O50" s="4">
        <f>Table3[[#This Row],[weight]]*(0.9155*Table2[[#This Row],[J45]]-D$9)^2</f>
        <v>1.1997200155428244E-3</v>
      </c>
      <c r="P50" s="4">
        <f>Table3[[#This Row],[weight]]*(0.9155*Table2[[#This Row],[J56]]-E$9)^2</f>
        <v>5.5768457770985205E-3</v>
      </c>
      <c r="Q50" s="4">
        <f>Table3[[#This Row],[weight]]*(0.9155*Table2[[#This Row],[J67]]-F$9)^2</f>
        <v>1.0292380929945114E-2</v>
      </c>
      <c r="R50" s="4">
        <f>Table3[[#This Row],[weight]]*(0.9155*Table2[[#This Row],[J67'']]-G$9)^2</f>
        <v>2.2540191823182753E-5</v>
      </c>
      <c r="S50">
        <f>chloroform!J55</f>
        <v>8.7368604714424999E-5</v>
      </c>
      <c r="T50" t="str">
        <f>chloroform!F55</f>
        <v>12C5</v>
      </c>
    </row>
    <row r="51" spans="11:20" x14ac:dyDescent="0.25">
      <c r="K51">
        <f>chloroform!E56</f>
        <v>145</v>
      </c>
      <c r="L51" s="4">
        <f>Table3[[#This Row],[weight]]*(0.9155*Table2[[#This Row],[J1,2]]-A$9)^2</f>
        <v>3.8015938375396917E-4</v>
      </c>
      <c r="M51" s="4">
        <f>Table3[[#This Row],[weight]]*(0.9155*Table2[[#This Row],[J2,3]]-B$9)^2</f>
        <v>9.7390128557774344E-5</v>
      </c>
      <c r="N51" s="4">
        <f>Table3[[#This Row],[weight]]*(0.9155*Table2[[#This Row],[J34]]-C$9)^2</f>
        <v>2.1257337751533407E-3</v>
      </c>
      <c r="O51" s="4">
        <f>Table3[[#This Row],[weight]]*(0.9155*Table2[[#This Row],[J45]]-D$9)^2</f>
        <v>4.2409870826185846E-3</v>
      </c>
      <c r="P51" s="4">
        <f>Table3[[#This Row],[weight]]*(0.9155*Table2[[#This Row],[J56]]-E$9)^2</f>
        <v>1.7583137323900721E-2</v>
      </c>
      <c r="Q51" s="4">
        <f>Table3[[#This Row],[weight]]*(0.9155*Table2[[#This Row],[J67]]-F$9)^2</f>
        <v>3.166256977766678E-2</v>
      </c>
      <c r="R51" s="4">
        <f>Table3[[#This Row],[weight]]*(0.9155*Table2[[#This Row],[J67'']]-G$9)^2</f>
        <v>3.2449094664864842E-5</v>
      </c>
      <c r="S51">
        <f>chloroform!J56</f>
        <v>2.6010177331636683E-4</v>
      </c>
      <c r="T51" t="str">
        <f>chloroform!F56</f>
        <v>5C12</v>
      </c>
    </row>
    <row r="52" spans="11:20" x14ac:dyDescent="0.25">
      <c r="K52">
        <f>chloroform!E57</f>
        <v>166</v>
      </c>
      <c r="L52" s="4">
        <f>Table3[[#This Row],[weight]]*(0.9155*Table2[[#This Row],[J1,2]]-A$9)^2</f>
        <v>3.2157893967934407E-3</v>
      </c>
      <c r="M52" s="4">
        <f>Table3[[#This Row],[weight]]*(0.9155*Table2[[#This Row],[J2,3]]-B$9)^2</f>
        <v>3.2950781553596827E-2</v>
      </c>
      <c r="N52" s="4">
        <f>Table3[[#This Row],[weight]]*(0.9155*Table2[[#This Row],[J34]]-C$9)^2</f>
        <v>6.1556517870155628E-3</v>
      </c>
      <c r="O52" s="4">
        <f>Table3[[#This Row],[weight]]*(0.9155*Table2[[#This Row],[J45]]-D$9)^2</f>
        <v>0.15920006591159089</v>
      </c>
      <c r="P52" s="4">
        <f>Table3[[#This Row],[weight]]*(0.9155*Table2[[#This Row],[J56]]-E$9)^2</f>
        <v>1.0497800535966696E-2</v>
      </c>
      <c r="Q52" s="4">
        <f>Table3[[#This Row],[weight]]*(0.9155*Table2[[#This Row],[J67]]-F$9)^2</f>
        <v>5.2797188281990682E-4</v>
      </c>
      <c r="R52" s="4">
        <f>Table3[[#This Row],[weight]]*(0.9155*Table2[[#This Row],[J67'']]-G$9)^2</f>
        <v>5.0258147777897992E-2</v>
      </c>
      <c r="S52">
        <f>chloroform!J57</f>
        <v>1.488423496675755E-3</v>
      </c>
      <c r="T52" t="str">
        <f>chloroform!F57</f>
        <v>5C12</v>
      </c>
    </row>
    <row r="53" spans="11:20" x14ac:dyDescent="0.25">
      <c r="K53">
        <f>chloroform!E58</f>
        <v>173</v>
      </c>
      <c r="L53" s="4">
        <f>Table3[[#This Row],[weight]]*(0.9155*Table2[[#This Row],[J1,2]]-A$9)^2</f>
        <v>3.8258267816180559E-4</v>
      </c>
      <c r="M53" s="4">
        <f>Table3[[#This Row],[weight]]*(0.9155*Table2[[#This Row],[J2,3]]-B$9)^2</f>
        <v>1.021191031954982E-4</v>
      </c>
      <c r="N53" s="4">
        <f>Table3[[#This Row],[weight]]*(0.9155*Table2[[#This Row],[J34]]-C$9)^2</f>
        <v>3.1134994663819101E-3</v>
      </c>
      <c r="O53" s="4">
        <f>Table3[[#This Row],[weight]]*(0.9155*Table2[[#This Row],[J45]]-D$9)^2</f>
        <v>4.9922924252309708E-3</v>
      </c>
      <c r="P53" s="4">
        <f>Table3[[#This Row],[weight]]*(0.9155*Table2[[#This Row],[J56]]-E$9)^2</f>
        <v>1.8897795847981898E-2</v>
      </c>
      <c r="Q53" s="4">
        <f>Table3[[#This Row],[weight]]*(0.9155*Table2[[#This Row],[J67]]-F$9)^2</f>
        <v>2.4598378175998432E-5</v>
      </c>
      <c r="R53" s="4">
        <f>Table3[[#This Row],[weight]]*(0.9155*Table2[[#This Row],[J67'']]-G$9)^2</f>
        <v>7.9472807318416733E-3</v>
      </c>
      <c r="S53">
        <f>chloroform!J58</f>
        <v>3.1252425246208461E-4</v>
      </c>
      <c r="T53" t="str">
        <f>chloroform!F58</f>
        <v>12C5</v>
      </c>
    </row>
    <row r="54" spans="11:20" x14ac:dyDescent="0.25">
      <c r="K54">
        <f>chloroform!E59</f>
        <v>191</v>
      </c>
      <c r="L54" s="4">
        <f>Table3[[#This Row],[weight]]*(0.9155*Table2[[#This Row],[J1,2]]-A$9)^2</f>
        <v>6.3439276183585591E-5</v>
      </c>
      <c r="M54" s="4">
        <f>Table3[[#This Row],[weight]]*(0.9155*Table2[[#This Row],[J2,3]]-B$9)^2</f>
        <v>1.8760800325741472E-6</v>
      </c>
      <c r="N54" s="4">
        <f>Table3[[#This Row],[weight]]*(0.9155*Table2[[#This Row],[J34]]-C$9)^2</f>
        <v>6.0570321190674549E-4</v>
      </c>
      <c r="O54" s="4">
        <f>Table3[[#This Row],[weight]]*(0.9155*Table2[[#This Row],[J45]]-D$9)^2</f>
        <v>1.0976780686174574E-3</v>
      </c>
      <c r="P54" s="4">
        <f>Table3[[#This Row],[weight]]*(0.9155*Table2[[#This Row],[J56]]-E$9)^2</f>
        <v>5.4840665528767688E-3</v>
      </c>
      <c r="Q54" s="4">
        <f>Table3[[#This Row],[weight]]*(0.9155*Table2[[#This Row],[J67]]-F$9)^2</f>
        <v>9.5216902590370741E-3</v>
      </c>
      <c r="R54" s="4">
        <f>Table3[[#This Row],[weight]]*(0.9155*Table2[[#This Row],[J67'']]-G$9)^2</f>
        <v>4.8240822032834952E-6</v>
      </c>
      <c r="S54">
        <f>chloroform!J59</f>
        <v>8.0853744788159199E-5</v>
      </c>
      <c r="T54" t="str">
        <f>chloroform!F59</f>
        <v>12C5</v>
      </c>
    </row>
    <row r="55" spans="11:20" x14ac:dyDescent="0.25">
      <c r="K55">
        <f>chloroform!E60</f>
        <v>193</v>
      </c>
      <c r="L55" s="4">
        <f>Table3[[#This Row],[weight]]*(0.9155*Table2[[#This Row],[J1,2]]-A$9)^2</f>
        <v>1.3743503377306623E-3</v>
      </c>
      <c r="M55" s="4">
        <f>Table3[[#This Row],[weight]]*(0.9155*Table2[[#This Row],[J2,3]]-B$9)^2</f>
        <v>5.7993399483645609E-4</v>
      </c>
      <c r="N55" s="4">
        <f>Table3[[#This Row],[weight]]*(0.9155*Table2[[#This Row],[J34]]-C$9)^2</f>
        <v>1.0026565218425421E-2</v>
      </c>
      <c r="O55" s="4">
        <f>Table3[[#This Row],[weight]]*(0.9155*Table2[[#This Row],[J45]]-D$9)^2</f>
        <v>1.5550212049719642E-2</v>
      </c>
      <c r="P55" s="4">
        <f>Table3[[#This Row],[weight]]*(0.9155*Table2[[#This Row],[J56]]-E$9)^2</f>
        <v>6.2618013359927963E-2</v>
      </c>
      <c r="Q55" s="4">
        <f>Table3[[#This Row],[weight]]*(0.9155*Table2[[#This Row],[J67]]-F$9)^2</f>
        <v>7.4694176081872056E-6</v>
      </c>
      <c r="R55" s="4">
        <f>Table3[[#This Row],[weight]]*(0.9155*Table2[[#This Row],[J67'']]-G$9)^2</f>
        <v>2.1842533315947044E-2</v>
      </c>
      <c r="S55">
        <f>chloroform!J60</f>
        <v>1.0205980132888574E-3</v>
      </c>
      <c r="T55" t="str">
        <f>chloroform!F60</f>
        <v>12C5</v>
      </c>
    </row>
    <row r="56" spans="11:20" x14ac:dyDescent="0.25">
      <c r="K56">
        <f>chloroform!E61</f>
        <v>197</v>
      </c>
      <c r="L56" s="4">
        <f>Table3[[#This Row],[weight]]*(0.9155*Table2[[#This Row],[J1,2]]-A$9)^2</f>
        <v>0</v>
      </c>
      <c r="M56" s="4">
        <f>Table3[[#This Row],[weight]]*(0.9155*Table2[[#This Row],[J2,3]]-B$9)^2</f>
        <v>0</v>
      </c>
      <c r="N56" s="4">
        <f>Table3[[#This Row],[weight]]*(0.9155*Table2[[#This Row],[J34]]-C$9)^2</f>
        <v>0</v>
      </c>
      <c r="O56" s="4">
        <f>Table3[[#This Row],[weight]]*(0.9155*Table2[[#This Row],[J45]]-D$9)^2</f>
        <v>0</v>
      </c>
      <c r="P56" s="4">
        <f>Table3[[#This Row],[weight]]*(0.9155*Table2[[#This Row],[J56]]-E$9)^2</f>
        <v>0</v>
      </c>
      <c r="Q56" s="4">
        <f>Table3[[#This Row],[weight]]*(0.9155*Table2[[#This Row],[J67]]-F$9)^2</f>
        <v>0</v>
      </c>
      <c r="R56" s="4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 s="4">
        <f>Table3[[#This Row],[weight]]*(0.9155*Table2[[#This Row],[J1,2]]-A$9)^2</f>
        <v>6.1700682062911693E-5</v>
      </c>
      <c r="M57" s="4">
        <f>Table3[[#This Row],[weight]]*(0.9155*Table2[[#This Row],[J2,3]]-B$9)^2</f>
        <v>8.6708162942058934E-4</v>
      </c>
      <c r="N57" s="4">
        <f>Table3[[#This Row],[weight]]*(0.9155*Table2[[#This Row],[J34]]-C$9)^2</f>
        <v>3.1003754453601484E-4</v>
      </c>
      <c r="O57" s="4">
        <f>Table3[[#This Row],[weight]]*(0.9155*Table2[[#This Row],[J45]]-D$9)^2</f>
        <v>3.4455868925354319E-3</v>
      </c>
      <c r="P57" s="4">
        <f>Table3[[#This Row],[weight]]*(0.9155*Table2[[#This Row],[J56]]-E$9)^2</f>
        <v>1.8153559110019177E-4</v>
      </c>
      <c r="Q57" s="4">
        <f>Table3[[#This Row],[weight]]*(0.9155*Table2[[#This Row],[J67]]-F$9)^2</f>
        <v>1.0488579876080777E-6</v>
      </c>
      <c r="R57" s="4">
        <f>Table3[[#This Row],[weight]]*(0.9155*Table2[[#This Row],[J67'']]-G$9)^2</f>
        <v>8.1266941836496476E-4</v>
      </c>
      <c r="S57">
        <f>chloroform!J62</f>
        <v>3.2391668310451144E-5</v>
      </c>
      <c r="T57" t="str">
        <f>chloroform!F62</f>
        <v>5C12</v>
      </c>
    </row>
    <row r="58" spans="11:20" x14ac:dyDescent="0.25">
      <c r="K58">
        <f>chloroform!E63</f>
        <v>212</v>
      </c>
      <c r="L58" s="4">
        <f>Table3[[#This Row],[weight]]*(0.9155*Table2[[#This Row],[J1,2]]-A$9)^2</f>
        <v>2.6804458172404632E-4</v>
      </c>
      <c r="M58" s="4">
        <f>Table3[[#This Row],[weight]]*(0.9155*Table2[[#This Row],[J2,3]]-B$9)^2</f>
        <v>9.9668357501921033E-5</v>
      </c>
      <c r="N58" s="4">
        <f>Table3[[#This Row],[weight]]*(0.9155*Table2[[#This Row],[J34]]-C$9)^2</f>
        <v>3.2105241551080568E-3</v>
      </c>
      <c r="O58" s="4">
        <f>Table3[[#This Row],[weight]]*(0.9155*Table2[[#This Row],[J45]]-D$9)^2</f>
        <v>3.3716850557740834E-3</v>
      </c>
      <c r="P58" s="4">
        <f>Table3[[#This Row],[weight]]*(0.9155*Table2[[#This Row],[J56]]-E$9)^2</f>
        <v>1.4492176954841651E-2</v>
      </c>
      <c r="Q58" s="4">
        <f>Table3[[#This Row],[weight]]*(0.9155*Table2[[#This Row],[J67]]-F$9)^2</f>
        <v>1.9579877232175813E-5</v>
      </c>
      <c r="R58" s="4">
        <f>Table3[[#This Row],[weight]]*(0.9155*Table2[[#This Row],[J67'']]-G$9)^2</f>
        <v>6.0908717423486542E-3</v>
      </c>
      <c r="S58">
        <f>chloroform!J63</f>
        <v>2.5021621641221084E-4</v>
      </c>
      <c r="T58" t="str">
        <f>chloroform!F63</f>
        <v>12C5</v>
      </c>
    </row>
    <row r="59" spans="11:20" x14ac:dyDescent="0.25">
      <c r="K59">
        <f>chloroform!E64</f>
        <v>215</v>
      </c>
      <c r="L59" s="4">
        <f>Table3[[#This Row],[weight]]*(0.9155*Table2[[#This Row],[J1,2]]-A$9)^2</f>
        <v>1.8345379998644727E-3</v>
      </c>
      <c r="M59" s="4">
        <f>Table3[[#This Row],[weight]]*(0.9155*Table2[[#This Row],[J2,3]]-B$9)^2</f>
        <v>3.861831356199273E-4</v>
      </c>
      <c r="N59" s="4">
        <f>Table3[[#This Row],[weight]]*(0.9155*Table2[[#This Row],[J34]]-C$9)^2</f>
        <v>1.2218967842000689E-2</v>
      </c>
      <c r="O59" s="4">
        <f>Table3[[#This Row],[weight]]*(0.9155*Table2[[#This Row],[J45]]-D$9)^2</f>
        <v>2.2249813960440776E-2</v>
      </c>
      <c r="P59" s="4">
        <f>Table3[[#This Row],[weight]]*(0.9155*Table2[[#This Row],[J56]]-E$9)^2</f>
        <v>8.9030958469775823E-2</v>
      </c>
      <c r="Q59" s="4">
        <f>Table3[[#This Row],[weight]]*(0.9155*Table2[[#This Row],[J67]]-F$9)^2</f>
        <v>2.6679182445183262E-5</v>
      </c>
      <c r="R59" s="4">
        <f>Table3[[#This Row],[weight]]*(0.9155*Table2[[#This Row],[J67'']]-G$9)^2</f>
        <v>3.0146291539150331E-2</v>
      </c>
      <c r="S59">
        <f>chloroform!J64</f>
        <v>1.4063658816845204E-3</v>
      </c>
      <c r="T59" t="str">
        <f>chloroform!F64</f>
        <v>12C5</v>
      </c>
    </row>
    <row r="60" spans="11:20" x14ac:dyDescent="0.25">
      <c r="K60">
        <f>chloroform!E65</f>
        <v>219</v>
      </c>
      <c r="L60" s="4">
        <f>Table3[[#This Row],[weight]]*(0.9155*Table2[[#This Row],[J1,2]]-A$9)^2</f>
        <v>2.293029969485436E-4</v>
      </c>
      <c r="M60" s="4">
        <f>Table3[[#This Row],[weight]]*(0.9155*Table2[[#This Row],[J2,3]]-B$9)^2</f>
        <v>1.2584158555357984E-4</v>
      </c>
      <c r="N60" s="4">
        <f>Table3[[#This Row],[weight]]*(0.9155*Table2[[#This Row],[J34]]-C$9)^2</f>
        <v>9.0824035187824523E-4</v>
      </c>
      <c r="O60" s="4">
        <f>Table3[[#This Row],[weight]]*(0.9155*Table2[[#This Row],[J45]]-D$9)^2</f>
        <v>2.0005541689468382E-3</v>
      </c>
      <c r="P60" s="4">
        <f>Table3[[#This Row],[weight]]*(0.9155*Table2[[#This Row],[J56]]-E$9)^2</f>
        <v>4.195679514226911E-3</v>
      </c>
      <c r="Q60" s="4">
        <f>Table3[[#This Row],[weight]]*(0.9155*Table2[[#This Row],[J67]]-F$9)^2</f>
        <v>3.0053237465195529E-5</v>
      </c>
      <c r="R60" s="4">
        <f>Table3[[#This Row],[weight]]*(0.9155*Table2[[#This Row],[J67'']]-G$9)^2</f>
        <v>1.7552683410850664E-3</v>
      </c>
      <c r="S60">
        <f>chloroform!J65</f>
        <v>7.7444052990598996E-5</v>
      </c>
      <c r="T60" t="str">
        <f>chloroform!F65</f>
        <v>12C5</v>
      </c>
    </row>
    <row r="61" spans="11:20" x14ac:dyDescent="0.25">
      <c r="K61">
        <f>chloroform!E66</f>
        <v>220</v>
      </c>
      <c r="L61" s="4">
        <f>Table3[[#This Row],[weight]]*(0.9155*Table2[[#This Row],[J1,2]]-A$9)^2</f>
        <v>0</v>
      </c>
      <c r="M61" s="4">
        <f>Table3[[#This Row],[weight]]*(0.9155*Table2[[#This Row],[J2,3]]-B$9)^2</f>
        <v>0</v>
      </c>
      <c r="N61" s="4">
        <f>Table3[[#This Row],[weight]]*(0.9155*Table2[[#This Row],[J34]]-C$9)^2</f>
        <v>0</v>
      </c>
      <c r="O61" s="4">
        <f>Table3[[#This Row],[weight]]*(0.9155*Table2[[#This Row],[J45]]-D$9)^2</f>
        <v>0</v>
      </c>
      <c r="P61" s="4">
        <f>Table3[[#This Row],[weight]]*(0.9155*Table2[[#This Row],[J56]]-E$9)^2</f>
        <v>0</v>
      </c>
      <c r="Q61" s="4">
        <f>Table3[[#This Row],[weight]]*(0.9155*Table2[[#This Row],[J67]]-F$9)^2</f>
        <v>0</v>
      </c>
      <c r="R61" s="4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 s="4">
        <f>Table3[[#This Row],[weight]]*(0.9155*Table2[[#This Row],[J1,2]]-A$9)^2</f>
        <v>1.6399665992743266E-3</v>
      </c>
      <c r="M62" s="4">
        <f>Table3[[#This Row],[weight]]*(0.9155*Table2[[#This Row],[J2,3]]-B$9)^2</f>
        <v>6.7262655628995047E-4</v>
      </c>
      <c r="N62" s="4">
        <f>Table3[[#This Row],[weight]]*(0.9155*Table2[[#This Row],[J34]]-C$9)^2</f>
        <v>1.1467969075388234E-2</v>
      </c>
      <c r="O62" s="4">
        <f>Table3[[#This Row],[weight]]*(0.9155*Table2[[#This Row],[J45]]-D$9)^2</f>
        <v>1.8256811762187328E-2</v>
      </c>
      <c r="P62" s="4">
        <f>Table3[[#This Row],[weight]]*(0.9155*Table2[[#This Row],[J56]]-E$9)^2</f>
        <v>6.827860660077413E-2</v>
      </c>
      <c r="Q62" s="4">
        <f>Table3[[#This Row],[weight]]*(0.9155*Table2[[#This Row],[J67]]-F$9)^2</f>
        <v>1.2740522446074351E-4</v>
      </c>
      <c r="R62" s="4">
        <f>Table3[[#This Row],[weight]]*(0.9155*Table2[[#This Row],[J67'']]-G$9)^2</f>
        <v>2.8955434308597941E-2</v>
      </c>
      <c r="S62">
        <f>chloroform!J67</f>
        <v>1.1444734703283932E-3</v>
      </c>
      <c r="T62" t="str">
        <f>chloroform!F67</f>
        <v>12C5</v>
      </c>
    </row>
    <row r="63" spans="11:20" x14ac:dyDescent="0.25">
      <c r="K63">
        <f>chloroform!E68</f>
        <v>272</v>
      </c>
      <c r="L63" s="4">
        <f>Table3[[#This Row],[weight]]*(0.9155*Table2[[#This Row],[J1,2]]-A$9)^2</f>
        <v>1.7877015700499586E-4</v>
      </c>
      <c r="M63" s="4">
        <f>Table3[[#This Row],[weight]]*(0.9155*Table2[[#This Row],[J2,3]]-B$9)^2</f>
        <v>4.2025862833044575E-3</v>
      </c>
      <c r="N63" s="4">
        <f>Table3[[#This Row],[weight]]*(0.9155*Table2[[#This Row],[J34]]-C$9)^2</f>
        <v>6.511614949648018E-3</v>
      </c>
      <c r="O63" s="4">
        <f>Table3[[#This Row],[weight]]*(0.9155*Table2[[#This Row],[J45]]-D$9)^2</f>
        <v>1.6383374274981953E-2</v>
      </c>
      <c r="P63" s="4">
        <f>Table3[[#This Row],[weight]]*(0.9155*Table2[[#This Row],[J56]]-E$9)^2</f>
        <v>1.3892123541834825E-4</v>
      </c>
      <c r="Q63" s="4">
        <f>Table3[[#This Row],[weight]]*(0.9155*Table2[[#This Row],[J67]]-F$9)^2</f>
        <v>1.4291150541448805E-4</v>
      </c>
      <c r="R63" s="4">
        <f>Table3[[#This Row],[weight]]*(0.9155*Table2[[#This Row],[J67'']]-G$9)^2</f>
        <v>3.3454024917841329E-3</v>
      </c>
      <c r="S63">
        <f>chloroform!J68</f>
        <v>2.0931650468068507E-4</v>
      </c>
      <c r="T63" t="str">
        <f>chloroform!F68</f>
        <v>5C12</v>
      </c>
    </row>
    <row r="64" spans="11:20" x14ac:dyDescent="0.25">
      <c r="K64">
        <f>chloroform!E69</f>
        <v>276</v>
      </c>
      <c r="L64" s="4">
        <f>Table3[[#This Row],[weight]]*(0.9155*Table2[[#This Row],[J1,2]]-A$9)^2</f>
        <v>2.654183011776252E-8</v>
      </c>
      <c r="M64" s="4">
        <f>Table3[[#This Row],[weight]]*(0.9155*Table2[[#This Row],[J2,3]]-B$9)^2</f>
        <v>1.0341044042663553E-8</v>
      </c>
      <c r="N64" s="4">
        <f>Table3[[#This Row],[weight]]*(0.9155*Table2[[#This Row],[J34]]-C$9)^2</f>
        <v>1.5569365588077047E-7</v>
      </c>
      <c r="O64" s="4">
        <f>Table3[[#This Row],[weight]]*(0.9155*Table2[[#This Row],[J45]]-D$9)^2</f>
        <v>5.1838940960558705E-6</v>
      </c>
      <c r="P64" s="4">
        <f>Table3[[#This Row],[weight]]*(0.9155*Table2[[#This Row],[J56]]-E$9)^2</f>
        <v>4.4260376528288793E-5</v>
      </c>
      <c r="Q64" s="4">
        <f>Table3[[#This Row],[weight]]*(0.9155*Table2[[#This Row],[J67]]-F$9)^2</f>
        <v>9.8536368363225512E-6</v>
      </c>
      <c r="R64" s="4">
        <f>Table3[[#This Row],[weight]]*(0.9155*Table2[[#This Row],[J67'']]-G$9)^2</f>
        <v>5.4290583889179294E-4</v>
      </c>
      <c r="S64">
        <f>chloroform!J69</f>
        <v>3.6497613817224059E-5</v>
      </c>
      <c r="T64" t="str">
        <f>chloroform!F69</f>
        <v>4H6</v>
      </c>
    </row>
    <row r="65" spans="11:20" x14ac:dyDescent="0.25">
      <c r="K65">
        <f>chloroform!E70</f>
        <v>278</v>
      </c>
      <c r="L65" s="4">
        <f>Table3[[#This Row],[weight]]*(0.9155*Table2[[#This Row],[J1,2]]-A$9)^2</f>
        <v>0</v>
      </c>
      <c r="M65" s="4">
        <f>Table3[[#This Row],[weight]]*(0.9155*Table2[[#This Row],[J2,3]]-B$9)^2</f>
        <v>0</v>
      </c>
      <c r="N65" s="4">
        <f>Table3[[#This Row],[weight]]*(0.9155*Table2[[#This Row],[J34]]-C$9)^2</f>
        <v>0</v>
      </c>
      <c r="O65" s="4">
        <f>Table3[[#This Row],[weight]]*(0.9155*Table2[[#This Row],[J45]]-D$9)^2</f>
        <v>0</v>
      </c>
      <c r="P65" s="4">
        <f>Table3[[#This Row],[weight]]*(0.9155*Table2[[#This Row],[J56]]-E$9)^2</f>
        <v>0</v>
      </c>
      <c r="Q65" s="4">
        <f>Table3[[#This Row],[weight]]*(0.9155*Table2[[#This Row],[J67]]-F$9)^2</f>
        <v>0</v>
      </c>
      <c r="R65" s="4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 s="4">
        <f>Table3[[#This Row],[weight]]*(0.9155*Table2[[#This Row],[J1,2]]-A$9)^2</f>
        <v>5.1514839011159676E-5</v>
      </c>
      <c r="M66" s="4">
        <f>Table3[[#This Row],[weight]]*(0.9155*Table2[[#This Row],[J2,3]]-B$9)^2</f>
        <v>1.5741921161962686E-3</v>
      </c>
      <c r="N66" s="4">
        <f>Table3[[#This Row],[weight]]*(0.9155*Table2[[#This Row],[J34]]-C$9)^2</f>
        <v>1.4067411637459972E-3</v>
      </c>
      <c r="O66" s="4">
        <f>Table3[[#This Row],[weight]]*(0.9155*Table2[[#This Row],[J45]]-D$9)^2</f>
        <v>5.3650578530407287E-3</v>
      </c>
      <c r="P66" s="4">
        <f>Table3[[#This Row],[weight]]*(0.9155*Table2[[#This Row],[J56]]-E$9)^2</f>
        <v>9.1077073875524454E-5</v>
      </c>
      <c r="Q66" s="4">
        <f>Table3[[#This Row],[weight]]*(0.9155*Table2[[#This Row],[J67]]-F$9)^2</f>
        <v>5.5665393396364549E-3</v>
      </c>
      <c r="R66" s="4">
        <f>Table3[[#This Row],[weight]]*(0.9155*Table2[[#This Row],[J67'']]-G$9)^2</f>
        <v>8.1447295421851974E-4</v>
      </c>
      <c r="S66">
        <f>chloroform!J71</f>
        <v>7.1608732171488852E-5</v>
      </c>
      <c r="T66" t="str">
        <f>chloroform!F71</f>
        <v>5C12</v>
      </c>
    </row>
    <row r="67" spans="11:20" x14ac:dyDescent="0.25">
      <c r="K67">
        <f>chloroform!E72</f>
        <v>290</v>
      </c>
      <c r="L67" s="4">
        <f>Table3[[#This Row],[weight]]*(0.9155*Table2[[#This Row],[J1,2]]-A$9)^2</f>
        <v>0</v>
      </c>
      <c r="M67" s="4">
        <f>Table3[[#This Row],[weight]]*(0.9155*Table2[[#This Row],[J2,3]]-B$9)^2</f>
        <v>0</v>
      </c>
      <c r="N67" s="4">
        <f>Table3[[#This Row],[weight]]*(0.9155*Table2[[#This Row],[J34]]-C$9)^2</f>
        <v>0</v>
      </c>
      <c r="O67" s="4">
        <f>Table3[[#This Row],[weight]]*(0.9155*Table2[[#This Row],[J45]]-D$9)^2</f>
        <v>0</v>
      </c>
      <c r="P67" s="4">
        <f>Table3[[#This Row],[weight]]*(0.9155*Table2[[#This Row],[J56]]-E$9)^2</f>
        <v>0</v>
      </c>
      <c r="Q67" s="4">
        <f>Table3[[#This Row],[weight]]*(0.9155*Table2[[#This Row],[J67]]-F$9)^2</f>
        <v>0</v>
      </c>
      <c r="R67" s="4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 s="4">
        <f>Table3[[#This Row],[weight]]*(0.9155*Table2[[#This Row],[J1,2]]-A$9)^2</f>
        <v>0</v>
      </c>
      <c r="M68" s="4">
        <f>Table3[[#This Row],[weight]]*(0.9155*Table2[[#This Row],[J2,3]]-B$9)^2</f>
        <v>0</v>
      </c>
      <c r="N68" s="4">
        <f>Table3[[#This Row],[weight]]*(0.9155*Table2[[#This Row],[J34]]-C$9)^2</f>
        <v>0</v>
      </c>
      <c r="O68" s="4">
        <f>Table3[[#This Row],[weight]]*(0.9155*Table2[[#This Row],[J45]]-D$9)^2</f>
        <v>0</v>
      </c>
      <c r="P68" s="4">
        <f>Table3[[#This Row],[weight]]*(0.9155*Table2[[#This Row],[J56]]-E$9)^2</f>
        <v>0</v>
      </c>
      <c r="Q68" s="4">
        <f>Table3[[#This Row],[weight]]*(0.9155*Table2[[#This Row],[J67]]-F$9)^2</f>
        <v>0</v>
      </c>
      <c r="R68" s="4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 s="4">
        <f>Table3[[#This Row],[weight]]*(0.9155*Table2[[#This Row],[J1,2]]-A$9)^2</f>
        <v>6.7911735870480347E-7</v>
      </c>
      <c r="M69" s="4">
        <f>Table3[[#This Row],[weight]]*(0.9155*Table2[[#This Row],[J2,3]]-B$9)^2</f>
        <v>2.2158464933915241E-6</v>
      </c>
      <c r="N69" s="4">
        <f>Table3[[#This Row],[weight]]*(0.9155*Table2[[#This Row],[J34]]-C$9)^2</f>
        <v>2.6005482528669798E-7</v>
      </c>
      <c r="O69" s="4">
        <f>Table3[[#This Row],[weight]]*(0.9155*Table2[[#This Row],[J45]]-D$9)^2</f>
        <v>1.5216657983713262E-5</v>
      </c>
      <c r="P69" s="4">
        <f>Table3[[#This Row],[weight]]*(0.9155*Table2[[#This Row],[J56]]-E$9)^2</f>
        <v>2.1855071836812588E-5</v>
      </c>
      <c r="Q69" s="4">
        <f>Table3[[#This Row],[weight]]*(0.9155*Table2[[#This Row],[J67]]-F$9)^2</f>
        <v>2.1055575773900442E-6</v>
      </c>
      <c r="R69" s="4">
        <f>Table3[[#This Row],[weight]]*(0.9155*Table2[[#This Row],[J67'']]-G$9)^2</f>
        <v>7.8587332289344102E-4</v>
      </c>
      <c r="S69">
        <f>chloroform!J74</f>
        <v>3.4860906506056372E-5</v>
      </c>
      <c r="T69" t="str">
        <f>chloroform!F74</f>
        <v>4H6</v>
      </c>
    </row>
    <row r="70" spans="11:20" x14ac:dyDescent="0.25">
      <c r="K70">
        <f>chloroform!E75</f>
        <v>396</v>
      </c>
      <c r="L70" s="4">
        <f>Table3[[#This Row],[weight]]*(0.9155*Table2[[#This Row],[J1,2]]-A$9)^2</f>
        <v>0</v>
      </c>
      <c r="M70" s="4">
        <f>Table3[[#This Row],[weight]]*(0.9155*Table2[[#This Row],[J2,3]]-B$9)^2</f>
        <v>0</v>
      </c>
      <c r="N70" s="4">
        <f>Table3[[#This Row],[weight]]*(0.9155*Table2[[#This Row],[J34]]-C$9)^2</f>
        <v>0</v>
      </c>
      <c r="O70" s="4">
        <f>Table3[[#This Row],[weight]]*(0.9155*Table2[[#This Row],[J45]]-D$9)^2</f>
        <v>0</v>
      </c>
      <c r="P70" s="4">
        <f>Table3[[#This Row],[weight]]*(0.9155*Table2[[#This Row],[J56]]-E$9)^2</f>
        <v>0</v>
      </c>
      <c r="Q70" s="4">
        <f>Table3[[#This Row],[weight]]*(0.9155*Table2[[#This Row],[J67]]-F$9)^2</f>
        <v>0</v>
      </c>
      <c r="R70" s="4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70"/>
  <sheetViews>
    <sheetView workbookViewId="0">
      <selection activeCell="E1" sqref="E1"/>
    </sheetView>
  </sheetViews>
  <sheetFormatPr defaultRowHeight="15" x14ac:dyDescent="0.25"/>
  <cols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0.11494589302092209</v>
      </c>
      <c r="D1" t="s">
        <v>11</v>
      </c>
      <c r="E1" t="s">
        <v>122</v>
      </c>
      <c r="G1">
        <f>COUNTIF(Table3[classification],E1)</f>
        <v>15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1.7283490462574526E-2</v>
      </c>
      <c r="M2">
        <f>Table3[[#This Row],[weight]]*(0.9155*Table2[[#This Row],[J2,3]]-B$9)^2</f>
        <v>7.6366895785241985E-3</v>
      </c>
      <c r="N2">
        <f>Table3[[#This Row],[weight]]*(0.9155*Table2[[#This Row],[J34]]-C$9)^2</f>
        <v>0.29155487107045913</v>
      </c>
      <c r="O2">
        <f>Table3[[#This Row],[weight]]*(0.9155*Table2[[#This Row],[J45]]-D$9)^2</f>
        <v>0.47457307851455172</v>
      </c>
      <c r="P2">
        <f>Table3[[#This Row],[weight]]*(0.9155*Table2[[#This Row],[J56]]-E$9)^2</f>
        <v>7.7629546547321723E-2</v>
      </c>
      <c r="Q2">
        <f>Table3[[#This Row],[weight]]*(0.9155*Table2[[#This Row],[J67]]-F$9)^2</f>
        <v>1.0148575380772447E-2</v>
      </c>
      <c r="R2">
        <f>Table3[[#This Row],[weight]]*(0.9155*Table2[[#This Row],[J67'']]-G$9)^2</f>
        <v>0.32724770085752175</v>
      </c>
      <c r="S2">
        <f>chloroform!J7</f>
        <v>1.8726746259493821E-2</v>
      </c>
      <c r="T2" t="str">
        <f>chloroform!F7</f>
        <v>4H6</v>
      </c>
    </row>
    <row r="3" spans="1:20" x14ac:dyDescent="0.25">
      <c r="K3">
        <f>chloroform!E8</f>
        <v>3</v>
      </c>
      <c r="L3">
        <f>Table3[[#This Row],[weight]]*(0.9155*Table2[[#This Row],[J1,2]]-A$9)^2</f>
        <v>1.5245126290691387E-2</v>
      </c>
      <c r="M3">
        <f>Table3[[#This Row],[weight]]*(0.9155*Table2[[#This Row],[J2,3]]-B$9)^2</f>
        <v>2.2726599803666599E-2</v>
      </c>
      <c r="N3">
        <f>Table3[[#This Row],[weight]]*(0.9155*Table2[[#This Row],[J34]]-C$9)^2</f>
        <v>0.26626038097648369</v>
      </c>
      <c r="O3">
        <f>Table3[[#This Row],[weight]]*(0.9155*Table2[[#This Row],[J45]]-D$9)^2</f>
        <v>0.64407549834378908</v>
      </c>
      <c r="P3">
        <f>Table3[[#This Row],[weight]]*(0.9155*Table2[[#This Row],[J56]]-E$9)^2</f>
        <v>5.4097555575530823E-2</v>
      </c>
      <c r="Q3">
        <f>Table3[[#This Row],[weight]]*(0.9155*Table2[[#This Row],[J67]]-F$9)^2</f>
        <v>1.8805728922094873E-2</v>
      </c>
      <c r="R3">
        <f>Table3[[#This Row],[weight]]*(0.9155*Table2[[#This Row],[J67'']]-G$9)^2</f>
        <v>0.36926664341945736</v>
      </c>
      <c r="S3">
        <f>chloroform!J8</f>
        <v>2.2387921992346793E-2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4.3871780349769553E-2</v>
      </c>
      <c r="M4">
        <f>Table3[[#This Row],[weight]]*(0.9155*Table2[[#This Row],[J2,3]]-B$9)^2</f>
        <v>7.8096400658107072E-3</v>
      </c>
      <c r="N4">
        <f>Table3[[#This Row],[weight]]*(0.9155*Table2[[#This Row],[J34]]-C$9)^2</f>
        <v>0.9954957697984681</v>
      </c>
      <c r="O4">
        <f>Table3[[#This Row],[weight]]*(0.9155*Table2[[#This Row],[J45]]-D$9)^2</f>
        <v>2.0711713923230137</v>
      </c>
      <c r="P4">
        <f>Table3[[#This Row],[weight]]*(0.9155*Table2[[#This Row],[J56]]-E$9)^2</f>
        <v>0.20198417357004084</v>
      </c>
      <c r="Q4">
        <f>Table3[[#This Row],[weight]]*(0.9155*Table2[[#This Row],[J67]]-F$9)^2</f>
        <v>0.10078213812939167</v>
      </c>
      <c r="R4">
        <f>Table3[[#This Row],[weight]]*(0.9155*Table2[[#This Row],[J67'']]-G$9)^2</f>
        <v>0.35945145960477876</v>
      </c>
      <c r="S4">
        <f>chloroform!J9</f>
        <v>6.97377022375536E-2</v>
      </c>
      <c r="T4" t="str">
        <f>chloroform!F9</f>
        <v>4H6</v>
      </c>
    </row>
    <row r="5" spans="1:20" x14ac:dyDescent="0.25">
      <c r="A5">
        <f>SUMIF(Table1[Classification],E1,Table2[J1,23])/$B$1</f>
        <v>7.9889863626181254</v>
      </c>
      <c r="B5">
        <f>SUMIF(Table1[Classification],E1,Table2[J2,34])/$B$1</f>
        <v>8.499987459403906</v>
      </c>
      <c r="C5">
        <f>SUMIF(Table1[Classification],E1,Table2[J345])/$B$1</f>
        <v>1.9976812454925548</v>
      </c>
      <c r="D5">
        <f>SUMIF(Table1[Classification],E1,Table2[J456])/$B$1</f>
        <v>5.8772586652566172</v>
      </c>
      <c r="E5">
        <f>SUMIF(Table1[Classification],E1,Table2[J567])/$B$1</f>
        <v>9.0525144909910296</v>
      </c>
      <c r="F5">
        <f>SUMIF(Table1[Classification],E1,Table2[J678])/$B$1</f>
        <v>2.0846900795709993</v>
      </c>
      <c r="G5">
        <f>SUMIF(Table1[Classification],E1,Table2[J67''9])/$B$1</f>
        <v>5.2612544945808946</v>
      </c>
      <c r="K5">
        <f>chloroform!E10</f>
        <v>6</v>
      </c>
      <c r="L5">
        <f>Table3[[#This Row],[weight]]*(0.9155*Table2[[#This Row],[J1,2]]-A$9)^2</f>
        <v>3.7178683946833248E-2</v>
      </c>
      <c r="M5">
        <f>Table3[[#This Row],[weight]]*(0.9155*Table2[[#This Row],[J2,3]]-B$9)^2</f>
        <v>3.7835280191924101E-2</v>
      </c>
      <c r="N5">
        <f>Table3[[#This Row],[weight]]*(0.9155*Table2[[#This Row],[J34]]-C$9)^2</f>
        <v>0.89955667572958564</v>
      </c>
      <c r="O5">
        <f>Table3[[#This Row],[weight]]*(0.9155*Table2[[#This Row],[J45]]-D$9)^2</f>
        <v>2.8037866124234418</v>
      </c>
      <c r="P5">
        <f>Table3[[#This Row],[weight]]*(0.9155*Table2[[#This Row],[J56]]-E$9)^2</f>
        <v>0.27802198384299953</v>
      </c>
      <c r="Q5">
        <f>Table3[[#This Row],[weight]]*(0.9155*Table2[[#This Row],[J67]]-F$9)^2</f>
        <v>8.8500579083452782E-2</v>
      </c>
      <c r="R5">
        <f>Table3[[#This Row],[weight]]*(0.9155*Table2[[#This Row],[J67'']]-G$9)^2</f>
        <v>0.64260130043130248</v>
      </c>
      <c r="S5">
        <f>chloroform!J10</f>
        <v>9.0175843062160255E-2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2.1385943295641006E-5</v>
      </c>
      <c r="M6">
        <f>Table3[[#This Row],[weight]]*(0.9155*Table2[[#This Row],[J2,3]]-B$9)^2</f>
        <v>3.0014332547592958E-4</v>
      </c>
      <c r="N6">
        <f>Table3[[#This Row],[weight]]*(0.9155*Table2[[#This Row],[J34]]-C$9)^2</f>
        <v>9.9891424897554271E-4</v>
      </c>
      <c r="O6">
        <f>Table3[[#This Row],[weight]]*(0.9155*Table2[[#This Row],[J45]]-D$9)^2</f>
        <v>4.4409717871706464E-5</v>
      </c>
      <c r="P6">
        <f>Table3[[#This Row],[weight]]*(0.9155*Table2[[#This Row],[J56]]-E$9)^2</f>
        <v>9.3436551561179668E-4</v>
      </c>
      <c r="Q6">
        <f>Table3[[#This Row],[weight]]*(0.9155*Table2[[#This Row],[J67]]-F$9)^2</f>
        <v>5.8249079055613527E-4</v>
      </c>
      <c r="R6">
        <f>Table3[[#This Row],[weight]]*(0.9155*Table2[[#This Row],[J67'']]-G$9)^2</f>
        <v>2.1492070322114334E-2</v>
      </c>
      <c r="S6">
        <f>chloroform!J11</f>
        <v>2.2553882580080651E-3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1.992491684373067E-2</v>
      </c>
      <c r="M7">
        <f>Table3[[#This Row],[weight]]*(0.9155*Table2[[#This Row],[J2,3]]-B$9)^2</f>
        <v>1.3154398791028121E-3</v>
      </c>
      <c r="N7">
        <f>Table3[[#This Row],[weight]]*(0.9155*Table2[[#This Row],[J34]]-C$9)^2</f>
        <v>0.49110074593088171</v>
      </c>
      <c r="O7">
        <f>Table3[[#This Row],[weight]]*(0.9155*Table2[[#This Row],[J45]]-D$9)^2</f>
        <v>1.5573088074597092</v>
      </c>
      <c r="P7">
        <f>Table3[[#This Row],[weight]]*(0.9155*Table2[[#This Row],[J56]]-E$9)^2</f>
        <v>0.14836969769619615</v>
      </c>
      <c r="Q7">
        <f>Table3[[#This Row],[weight]]*(0.9155*Table2[[#This Row],[J67]]-F$9)^2</f>
        <v>3.5235078231498018E-2</v>
      </c>
      <c r="R7">
        <f>Table3[[#This Row],[weight]]*(0.9155*Table2[[#This Row],[J67'']]-G$9)^2</f>
        <v>0.4227491447018849</v>
      </c>
      <c r="S7">
        <f>chloroform!J12</f>
        <v>5.2119931562090403E-2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4.0302794836194686E-2</v>
      </c>
      <c r="M8">
        <f>Table3[[#This Row],[weight]]*(0.9155*Table2[[#This Row],[J2,3]]-B$9)^2</f>
        <v>1.5568407251605016E-2</v>
      </c>
      <c r="N8">
        <f>Table3[[#This Row],[weight]]*(0.9155*Table2[[#This Row],[J34]]-C$9)^2</f>
        <v>0.75974696895020222</v>
      </c>
      <c r="O8">
        <f>Table3[[#This Row],[weight]]*(0.9155*Table2[[#This Row],[J45]]-D$9)^2</f>
        <v>1.2660324985660767</v>
      </c>
      <c r="P8">
        <f>Table3[[#This Row],[weight]]*(0.9155*Table2[[#This Row],[J56]]-E$9)^2</f>
        <v>0.14245542199549624</v>
      </c>
      <c r="Q8">
        <f>Table3[[#This Row],[weight]]*(0.9155*Table2[[#This Row],[J67]]-F$9)^2</f>
        <v>4.2049314584026182E-3</v>
      </c>
      <c r="R8">
        <f>Table3[[#This Row],[weight]]*(0.9155*Table2[[#This Row],[J67'']]-G$9)^2</f>
        <v>0.83759641290654574</v>
      </c>
      <c r="S8">
        <f>chloroform!J13</f>
        <v>4.9026248301890757E-2</v>
      </c>
      <c r="T8" t="str">
        <f>chloroform!F13</f>
        <v>4H6</v>
      </c>
    </row>
    <row r="9" spans="1:20" x14ac:dyDescent="0.25">
      <c r="A9">
        <f t="shared" ref="A9:G9" si="0">A5</f>
        <v>7.9889863626181254</v>
      </c>
      <c r="B9">
        <f t="shared" si="0"/>
        <v>8.499987459403906</v>
      </c>
      <c r="C9">
        <f t="shared" si="0"/>
        <v>1.9976812454925548</v>
      </c>
      <c r="D9">
        <f t="shared" si="0"/>
        <v>5.8772586652566172</v>
      </c>
      <c r="E9">
        <f t="shared" si="0"/>
        <v>9.0525144909910296</v>
      </c>
      <c r="F9">
        <f t="shared" si="0"/>
        <v>2.0846900795709993</v>
      </c>
      <c r="G9">
        <f t="shared" si="0"/>
        <v>5.2612544945808946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3.4041332000455546E-6</v>
      </c>
      <c r="M10">
        <f>Table3[[#This Row],[weight]]*(0.9155*Table2[[#This Row],[J2,3]]-B$9)^2</f>
        <v>1.8541221108270728E-4</v>
      </c>
      <c r="N10">
        <f>Table3[[#This Row],[weight]]*(0.9155*Table2[[#This Row],[J34]]-C$9)^2</f>
        <v>6.3543533913595436E-7</v>
      </c>
      <c r="O10">
        <f>Table3[[#This Row],[weight]]*(0.9155*Table2[[#This Row],[J45]]-D$9)^2</f>
        <v>1.0445401355578205E-4</v>
      </c>
      <c r="P10">
        <f>Table3[[#This Row],[weight]]*(0.9155*Table2[[#This Row],[J56]]-E$9)^2</f>
        <v>9.5169660656629462E-4</v>
      </c>
      <c r="Q10">
        <f>Table3[[#This Row],[weight]]*(0.9155*Table2[[#This Row],[J67]]-F$9)^2</f>
        <v>5.2021995251696354E-3</v>
      </c>
      <c r="R10">
        <f>Table3[[#This Row],[weight]]*(0.9155*Table2[[#This Row],[J67'']]-G$9)^2</f>
        <v>0.35222453477654575</v>
      </c>
      <c r="S10">
        <f>chloroform!J15</f>
        <v>1.2043398259747991E-2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5.6491652286864584E-2</v>
      </c>
      <c r="M11">
        <f>Table3[[#This Row],[weight]]*(0.9155*Table2[[#This Row],[J2,3]]-B$9)^2</f>
        <v>6.524075194829218E-2</v>
      </c>
      <c r="N11">
        <f>Table3[[#This Row],[weight]]*(0.9155*Table2[[#This Row],[J34]]-C$9)^2</f>
        <v>1.0790040148190085</v>
      </c>
      <c r="O11">
        <f>Table3[[#This Row],[weight]]*(0.9155*Table2[[#This Row],[J45]]-D$9)^2</f>
        <v>3.0786344704402522</v>
      </c>
      <c r="P11">
        <f>Table3[[#This Row],[weight]]*(0.9155*Table2[[#This Row],[J56]]-E$9)^2</f>
        <v>0.35050395170506743</v>
      </c>
      <c r="Q11">
        <f>Table3[[#This Row],[weight]]*(0.9155*Table2[[#This Row],[J67]]-F$9)^2</f>
        <v>1.3125536102935886E-3</v>
      </c>
      <c r="R11">
        <f>Table3[[#This Row],[weight]]*(0.9155*Table2[[#This Row],[J67'']]-G$9)^2</f>
        <v>1.6097596582932943</v>
      </c>
      <c r="S11">
        <f>chloroform!J16</f>
        <v>0.10039536964142365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8.4546982081377364E-8</v>
      </c>
      <c r="M12">
        <f>Table3[[#This Row],[weight]]*(0.9155*Table2[[#This Row],[J2,3]]-B$9)^2</f>
        <v>3.0671907282672252E-4</v>
      </c>
      <c r="N12">
        <f>Table3[[#This Row],[weight]]*(0.9155*Table2[[#This Row],[J34]]-C$9)^2</f>
        <v>9.0164710244303777E-4</v>
      </c>
      <c r="O12">
        <f>Table3[[#This Row],[weight]]*(0.9155*Table2[[#This Row],[J45]]-D$9)^2</f>
        <v>8.0165827615063037E-3</v>
      </c>
      <c r="P12">
        <f>Table3[[#This Row],[weight]]*(0.9155*Table2[[#This Row],[J56]]-E$9)^2</f>
        <v>6.0043301529023076E-3</v>
      </c>
      <c r="Q12">
        <f>Table3[[#This Row],[weight]]*(0.9155*Table2[[#This Row],[J67]]-F$9)^2</f>
        <v>1.4891659256213521E-3</v>
      </c>
      <c r="R12">
        <f>Table3[[#This Row],[weight]]*(0.9155*Table2[[#This Row],[J67'']]-G$9)^2</f>
        <v>0.46583624201864471</v>
      </c>
      <c r="S12">
        <f>chloroform!J17</f>
        <v>3.7695088429460434E-2</v>
      </c>
      <c r="T12" t="str">
        <f>chloroform!F17</f>
        <v>45TH</v>
      </c>
    </row>
    <row r="13" spans="1:20" x14ac:dyDescent="0.25">
      <c r="A13">
        <f>SQRT(SUMIF($T$2:$T$46,$E$1,L$2:L$46)/(($G$1-1)*$B$1/$G$1))</f>
        <v>4.4577223298651082E-2</v>
      </c>
      <c r="B13">
        <f>SQRT(SUMIF($T$2:$T$46,$E$1,M$2:M$46)/(($G$1-1)*$B$1/$G$1))</f>
        <v>0.23519189437202803</v>
      </c>
      <c r="C13">
        <f>SQRT(SUMIF($T$2:$T$46,$E$1,N$2:N$46)/(($G$1-1)*$B$1/$G$1))</f>
        <v>0.22019244763482362</v>
      </c>
      <c r="D13">
        <f t="shared" ref="D13:F13" si="1">SQRT(SUMIF($T$2:$T$46,$E$1,O$2:O$46)/(($G$1-1)*$B$1/$G$1))</f>
        <v>0.46224459897323467</v>
      </c>
      <c r="E13">
        <f t="shared" si="1"/>
        <v>0.36766291658710737</v>
      </c>
      <c r="F13">
        <f t="shared" si="1"/>
        <v>0.47664153193535519</v>
      </c>
      <c r="G13">
        <f>SQRT(SUMIF($T$2:$T$46,$E$1,R$2:R$46)/(($G$1-1)*$B$1/$G$1))</f>
        <v>4.5997832389313285</v>
      </c>
      <c r="K13">
        <f>chloroform!E18</f>
        <v>19</v>
      </c>
      <c r="L13">
        <f>Table3[[#This Row],[weight]]*(0.9155*Table2[[#This Row],[J1,2]]-A$9)^2</f>
        <v>1.8689321765690857E-5</v>
      </c>
      <c r="M13">
        <f>Table3[[#This Row],[weight]]*(0.9155*Table2[[#This Row],[J2,3]]-B$9)^2</f>
        <v>0.10564561306905926</v>
      </c>
      <c r="N13">
        <f>Table3[[#This Row],[weight]]*(0.9155*Table2[[#This Row],[J34]]-C$9)^2</f>
        <v>0.19232201902036672</v>
      </c>
      <c r="O13">
        <f>Table3[[#This Row],[weight]]*(0.9155*Table2[[#This Row],[J45]]-D$9)^2</f>
        <v>1.6683723952147948E-2</v>
      </c>
      <c r="P13">
        <f>Table3[[#This Row],[weight]]*(0.9155*Table2[[#This Row],[J56]]-E$9)^2</f>
        <v>0.185521383245149</v>
      </c>
      <c r="Q13">
        <f>Table3[[#This Row],[weight]]*(0.9155*Table2[[#This Row],[J67]]-F$9)^2</f>
        <v>0.21904710006291886</v>
      </c>
      <c r="R13">
        <f>Table3[[#This Row],[weight]]*(0.9155*Table2[[#This Row],[J67'']]-G$9)^2</f>
        <v>1.2823978398024969E-4</v>
      </c>
      <c r="S13">
        <f>chloroform!J18</f>
        <v>2.3878120405735437E-3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6.5292946216777836E-2</v>
      </c>
      <c r="M14">
        <f>Table3[[#This Row],[weight]]*(0.9155*Table2[[#This Row],[J2,3]]-B$9)^2</f>
        <v>2.1217983587036911E-2</v>
      </c>
      <c r="N14">
        <f>Table3[[#This Row],[weight]]*(0.9155*Table2[[#This Row],[J34]]-C$9)^2</f>
        <v>1.425214695193473</v>
      </c>
      <c r="O14">
        <f>Table3[[#This Row],[weight]]*(0.9155*Table2[[#This Row],[J45]]-D$9)^2</f>
        <v>2.4623535489899759</v>
      </c>
      <c r="P14">
        <f>Table3[[#This Row],[weight]]*(0.9155*Table2[[#This Row],[J56]]-E$9)^2</f>
        <v>0.28227703728439635</v>
      </c>
      <c r="Q14">
        <f>Table3[[#This Row],[weight]]*(0.9155*Table2[[#This Row],[J67]]-F$9)^2</f>
        <v>1.208615767819963E-2</v>
      </c>
      <c r="R14">
        <f>Table3[[#This Row],[weight]]*(0.9155*Table2[[#This Row],[J67'']]-G$9)^2</f>
        <v>1.0323484599941968</v>
      </c>
      <c r="S14">
        <f>chloroform!J19</f>
        <v>9.3791979980002799E-2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0</v>
      </c>
      <c r="M15">
        <f>Table3[[#This Row],[weight]]*(0.9155*Table2[[#This Row],[J2,3]]-B$9)^2</f>
        <v>0</v>
      </c>
      <c r="N15">
        <f>Table3[[#This Row],[weight]]*(0.9155*Table2[[#This Row],[J34]]-C$9)^2</f>
        <v>0</v>
      </c>
      <c r="O15">
        <f>Table3[[#This Row],[weight]]*(0.9155*Table2[[#This Row],[J45]]-D$9)^2</f>
        <v>0</v>
      </c>
      <c r="P15">
        <f>Table3[[#This Row],[weight]]*(0.9155*Table2[[#This Row],[J56]]-E$9)^2</f>
        <v>0</v>
      </c>
      <c r="Q15">
        <f>Table3[[#This Row],[weight]]*(0.9155*Table2[[#This Row],[J67]]-F$9)^2</f>
        <v>0</v>
      </c>
      <c r="R15">
        <f>Table3[[#This Row],[weight]]*(0.9155*Table2[[#This Row],[J67'']]-G$9)^2</f>
        <v>0</v>
      </c>
      <c r="S15">
        <f>chloroform!J20</f>
        <v>0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3.0311443295445044E-6</v>
      </c>
      <c r="M16">
        <f>Table3[[#This Row],[weight]]*(0.9155*Table2[[#This Row],[J2,3]]-B$9)^2</f>
        <v>2.5807333133375651E-5</v>
      </c>
      <c r="N16">
        <f>Table3[[#This Row],[weight]]*(0.9155*Table2[[#This Row],[J34]]-C$9)^2</f>
        <v>8.3736079748386225E-5</v>
      </c>
      <c r="O16">
        <f>Table3[[#This Row],[weight]]*(0.9155*Table2[[#This Row],[J45]]-D$9)^2</f>
        <v>4.4609036003714102E-5</v>
      </c>
      <c r="P16">
        <f>Table3[[#This Row],[weight]]*(0.9155*Table2[[#This Row],[J56]]-E$9)^2</f>
        <v>1.8368993927419787E-4</v>
      </c>
      <c r="Q16">
        <f>Table3[[#This Row],[weight]]*(0.9155*Table2[[#This Row],[J67]]-F$9)^2</f>
        <v>3.488926121716697E-4</v>
      </c>
      <c r="R16">
        <f>Table3[[#This Row],[weight]]*(0.9155*Table2[[#This Row],[J67'']]-G$9)^2</f>
        <v>6.3931923010793843E-3</v>
      </c>
      <c r="S16">
        <f>chloroform!J21</f>
        <v>2.1610368011094235E-4</v>
      </c>
      <c r="T16" t="str">
        <f>chloroform!F21</f>
        <v>45TH</v>
      </c>
    </row>
    <row r="17" spans="11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>
        <f>chloroform!E23</f>
        <v>24</v>
      </c>
      <c r="L18">
        <f>Table3[[#This Row],[weight]]*(0.9155*Table2[[#This Row],[J1,2]]-A$9)^2</f>
        <v>4.4519706706862496E-6</v>
      </c>
      <c r="M18">
        <f>Table3[[#This Row],[weight]]*(0.9155*Table2[[#This Row],[J2,3]]-B$9)^2</f>
        <v>2.4868419794931767E-5</v>
      </c>
      <c r="N18">
        <f>Table3[[#This Row],[weight]]*(0.9155*Table2[[#This Row],[J34]]-C$9)^2</f>
        <v>1.3964470677882475E-4</v>
      </c>
      <c r="O18">
        <f>Table3[[#This Row],[weight]]*(0.9155*Table2[[#This Row],[J45]]-D$9)^2</f>
        <v>8.5665523731294662E-7</v>
      </c>
      <c r="P18">
        <f>Table3[[#This Row],[weight]]*(0.9155*Table2[[#This Row],[J56]]-E$9)^2</f>
        <v>2.7737750893872814E-6</v>
      </c>
      <c r="Q18">
        <f>Table3[[#This Row],[weight]]*(0.9155*Table2[[#This Row],[J67]]-F$9)^2</f>
        <v>1.3911041721253592E-2</v>
      </c>
      <c r="R18">
        <f>Table3[[#This Row],[weight]]*(0.9155*Table2[[#This Row],[J67'']]-G$9)^2</f>
        <v>1.8482771234098927E-3</v>
      </c>
      <c r="S18">
        <f>chloroform!J23</f>
        <v>2.2583330833935605E-4</v>
      </c>
      <c r="T18" t="str">
        <f>chloroform!F23</f>
        <v>45TH</v>
      </c>
    </row>
    <row r="19" spans="11:20" x14ac:dyDescent="0.25">
      <c r="K19">
        <f>chloroform!E24</f>
        <v>26</v>
      </c>
      <c r="L19">
        <f>Table3[[#This Row],[weight]]*(0.9155*Table2[[#This Row],[J1,2]]-A$9)^2</f>
        <v>9.0771568088977602E-6</v>
      </c>
      <c r="M19">
        <f>Table3[[#This Row],[weight]]*(0.9155*Table2[[#This Row],[J2,3]]-B$9)^2</f>
        <v>2.9153815010915772E-6</v>
      </c>
      <c r="N19">
        <f>Table3[[#This Row],[weight]]*(0.9155*Table2[[#This Row],[J34]]-C$9)^2</f>
        <v>4.3934907031826647E-4</v>
      </c>
      <c r="O19">
        <f>Table3[[#This Row],[weight]]*(0.9155*Table2[[#This Row],[J45]]-D$9)^2</f>
        <v>1.0768508464000917E-2</v>
      </c>
      <c r="P19">
        <f>Table3[[#This Row],[weight]]*(0.9155*Table2[[#This Row],[J56]]-E$9)^2</f>
        <v>4.6412980533859461E-3</v>
      </c>
      <c r="Q19">
        <f>Table3[[#This Row],[weight]]*(0.9155*Table2[[#This Row],[J67]]-F$9)^2</f>
        <v>2.1236611684828072E-4</v>
      </c>
      <c r="R19">
        <f>Table3[[#This Row],[weight]]*(0.9155*Table2[[#This Row],[J67'']]-G$9)^2</f>
        <v>4.105974264883154E-2</v>
      </c>
      <c r="S19">
        <f>chloroform!J24</f>
        <v>3.4988345041332821E-3</v>
      </c>
      <c r="T19" t="str">
        <f>chloroform!F24</f>
        <v>45TH</v>
      </c>
    </row>
    <row r="20" spans="11:20" x14ac:dyDescent="0.25">
      <c r="K20">
        <f>chloroform!E25</f>
        <v>27</v>
      </c>
      <c r="L20">
        <f>Table3[[#This Row],[weight]]*(0.9155*Table2[[#This Row],[J1,2]]-A$9)^2</f>
        <v>7.3096259855235102E-2</v>
      </c>
      <c r="M20">
        <f>Table3[[#This Row],[weight]]*(0.9155*Table2[[#This Row],[J2,3]]-B$9)^2</f>
        <v>3.3521521690941629E-2</v>
      </c>
      <c r="N20">
        <f>Table3[[#This Row],[weight]]*(0.9155*Table2[[#This Row],[J34]]-C$9)^2</f>
        <v>1.2579808871428251</v>
      </c>
      <c r="O20">
        <f>Table3[[#This Row],[weight]]*(0.9155*Table2[[#This Row],[J45]]-D$9)^2</f>
        <v>2.0035278614530445</v>
      </c>
      <c r="P20">
        <f>Table3[[#This Row],[weight]]*(0.9155*Table2[[#This Row],[J56]]-E$9)^2</f>
        <v>0.34736766781046458</v>
      </c>
      <c r="Q20">
        <f>Table3[[#This Row],[weight]]*(0.9155*Table2[[#This Row],[J67]]-F$9)^2</f>
        <v>6.5937282157282021E-2</v>
      </c>
      <c r="R20">
        <f>Table3[[#This Row],[weight]]*(0.9155*Table2[[#This Row],[J67'']]-G$9)^2</f>
        <v>1.7552830301779769</v>
      </c>
      <c r="S20">
        <f>chloroform!J25</f>
        <v>8.0576373460553866E-2</v>
      </c>
      <c r="T20" t="str">
        <f>chloroform!F25</f>
        <v>4H6</v>
      </c>
    </row>
    <row r="21" spans="11:20" x14ac:dyDescent="0.25">
      <c r="K21">
        <f>chloroform!E26</f>
        <v>30</v>
      </c>
      <c r="L21">
        <f>Table3[[#This Row],[weight]]*(0.9155*Table2[[#This Row],[J1,2]]-A$9)^2</f>
        <v>3.6094719605631475E-5</v>
      </c>
      <c r="M21">
        <f>Table3[[#This Row],[weight]]*(0.9155*Table2[[#This Row],[J2,3]]-B$9)^2</f>
        <v>2.4278800506062629E-2</v>
      </c>
      <c r="N21">
        <f>Table3[[#This Row],[weight]]*(0.9155*Table2[[#This Row],[J34]]-C$9)^2</f>
        <v>4.7369264372576832E-2</v>
      </c>
      <c r="O21">
        <f>Table3[[#This Row],[weight]]*(0.9155*Table2[[#This Row],[J45]]-D$9)^2</f>
        <v>4.4372189554016646E-3</v>
      </c>
      <c r="P21">
        <f>Table3[[#This Row],[weight]]*(0.9155*Table2[[#This Row],[J56]]-E$9)^2</f>
        <v>4.417332350620589E-2</v>
      </c>
      <c r="Q21">
        <f>Table3[[#This Row],[weight]]*(0.9155*Table2[[#This Row],[J67]]-F$9)^2</f>
        <v>4.6983105444716664E-2</v>
      </c>
      <c r="R21">
        <f>Table3[[#This Row],[weight]]*(0.9155*Table2[[#This Row],[J67'']]-G$9)^2</f>
        <v>1.7419891640442426E-3</v>
      </c>
      <c r="S21">
        <f>chloroform!J26</f>
        <v>5.5979160194186085E-4</v>
      </c>
      <c r="T21" t="str">
        <f>chloroform!F26</f>
        <v>6H4</v>
      </c>
    </row>
    <row r="22" spans="11:20" x14ac:dyDescent="0.25">
      <c r="K22">
        <f>chloroform!E27</f>
        <v>33</v>
      </c>
      <c r="L22">
        <f>Table3[[#This Row],[weight]]*(0.9155*Table2[[#This Row],[J1,2]]-A$9)^2</f>
        <v>9.5729965408916794E-6</v>
      </c>
      <c r="M22">
        <f>Table3[[#This Row],[weight]]*(0.9155*Table2[[#This Row],[J2,3]]-B$9)^2</f>
        <v>1.332404261206923E-4</v>
      </c>
      <c r="N22">
        <f>Table3[[#This Row],[weight]]*(0.9155*Table2[[#This Row],[J34]]-C$9)^2</f>
        <v>1.9061408731940274E-4</v>
      </c>
      <c r="O22">
        <f>Table3[[#This Row],[weight]]*(0.9155*Table2[[#This Row],[J45]]-D$9)^2</f>
        <v>2.5723024298605608E-4</v>
      </c>
      <c r="P22">
        <f>Table3[[#This Row],[weight]]*(0.9155*Table2[[#This Row],[J56]]-E$9)^2</f>
        <v>4.4356660080174115E-4</v>
      </c>
      <c r="Q22">
        <f>Table3[[#This Row],[weight]]*(0.9155*Table2[[#This Row],[J67]]-F$9)^2</f>
        <v>3.1842017204971E-5</v>
      </c>
      <c r="R22">
        <f>Table3[[#This Row],[weight]]*(0.9155*Table2[[#This Row],[J67'']]-G$9)^2</f>
        <v>2.7549096563045435E-2</v>
      </c>
      <c r="S22">
        <f>chloroform!J27</f>
        <v>9.2095950357425885E-4</v>
      </c>
      <c r="T22" t="str">
        <f>chloroform!F27</f>
        <v>45TH</v>
      </c>
    </row>
    <row r="23" spans="11:20" x14ac:dyDescent="0.25">
      <c r="K23">
        <f>chloroform!E28</f>
        <v>34</v>
      </c>
      <c r="L23">
        <f>Table3[[#This Row],[weight]]*(0.9155*Table2[[#This Row],[J1,2]]-A$9)^2</f>
        <v>2.1903752219218677E-5</v>
      </c>
      <c r="M23">
        <f>Table3[[#This Row],[weight]]*(0.9155*Table2[[#This Row],[J2,3]]-B$9)^2</f>
        <v>1.8128146952376765E-2</v>
      </c>
      <c r="N23">
        <f>Table3[[#This Row],[weight]]*(0.9155*Table2[[#This Row],[J34]]-C$9)^2</f>
        <v>3.6333401403607156E-2</v>
      </c>
      <c r="O23">
        <f>Table3[[#This Row],[weight]]*(0.9155*Table2[[#This Row],[J45]]-D$9)^2</f>
        <v>5.1435224151259841E-3</v>
      </c>
      <c r="P23">
        <f>Table3[[#This Row],[weight]]*(0.9155*Table2[[#This Row],[J56]]-E$9)^2</f>
        <v>3.0366278392307829E-2</v>
      </c>
      <c r="Q23">
        <f>Table3[[#This Row],[weight]]*(0.9155*Table2[[#This Row],[J67]]-F$9)^2</f>
        <v>4.1248169707011812E-4</v>
      </c>
      <c r="R23">
        <f>Table3[[#This Row],[weight]]*(0.9155*Table2[[#This Row],[J67'']]-G$9)^2</f>
        <v>9.1333472138319268E-4</v>
      </c>
      <c r="S23">
        <f>chloroform!J28</f>
        <v>4.3057306913062875E-4</v>
      </c>
      <c r="T23" t="str">
        <f>chloroform!F28</f>
        <v>6H4</v>
      </c>
    </row>
    <row r="24" spans="11:20" x14ac:dyDescent="0.25">
      <c r="K24">
        <f>chloroform!E29</f>
        <v>38</v>
      </c>
      <c r="L24">
        <f>Table3[[#This Row],[weight]]*(0.9155*Table2[[#This Row],[J1,2]]-A$9)^2</f>
        <v>2.4083078852717815E-5</v>
      </c>
      <c r="M24">
        <f>Table3[[#This Row],[weight]]*(0.9155*Table2[[#This Row],[J2,3]]-B$9)^2</f>
        <v>1.4737790458328778E-5</v>
      </c>
      <c r="N24">
        <f>Table3[[#This Row],[weight]]*(0.9155*Table2[[#This Row],[J34]]-C$9)^2</f>
        <v>4.4359425745512185E-4</v>
      </c>
      <c r="O24">
        <f>Table3[[#This Row],[weight]]*(0.9155*Table2[[#This Row],[J45]]-D$9)^2</f>
        <v>1.6762381014749947E-3</v>
      </c>
      <c r="P24">
        <f>Table3[[#This Row],[weight]]*(0.9155*Table2[[#This Row],[J56]]-E$9)^2</f>
        <v>1.713604580028164E-4</v>
      </c>
      <c r="Q24">
        <f>Table3[[#This Row],[weight]]*(0.9155*Table2[[#This Row],[J67]]-F$9)^2</f>
        <v>3.8865427258737747E-4</v>
      </c>
      <c r="R24">
        <f>Table3[[#This Row],[weight]]*(0.9155*Table2[[#This Row],[J67'']]-G$9)^2</f>
        <v>0.34212957885792727</v>
      </c>
      <c r="S24">
        <f>chloroform!J29</f>
        <v>2.6977702923286898E-2</v>
      </c>
      <c r="T24" t="str">
        <f>chloroform!F29</f>
        <v>45TH</v>
      </c>
    </row>
    <row r="25" spans="11:20" x14ac:dyDescent="0.25">
      <c r="K25">
        <f>chloroform!E30</f>
        <v>39</v>
      </c>
      <c r="L25">
        <f>Table3[[#This Row],[weight]]*(0.9155*Table2[[#This Row],[J1,2]]-A$9)^2</f>
        <v>8.3848149300496666E-2</v>
      </c>
      <c r="M25">
        <f>Table3[[#This Row],[weight]]*(0.9155*Table2[[#This Row],[J2,3]]-B$9)^2</f>
        <v>0.11595776637604338</v>
      </c>
      <c r="N25">
        <f>Table3[[#This Row],[weight]]*(0.9155*Table2[[#This Row],[J34]]-C$9)^2</f>
        <v>1.428722795629179</v>
      </c>
      <c r="O25">
        <f>Table3[[#This Row],[weight]]*(0.9155*Table2[[#This Row],[J45]]-D$9)^2</f>
        <v>3.726539799629494</v>
      </c>
      <c r="P25">
        <f>Table3[[#This Row],[weight]]*(0.9155*Table2[[#This Row],[J56]]-E$9)^2</f>
        <v>0.65913024318855384</v>
      </c>
      <c r="Q25">
        <f>Table3[[#This Row],[weight]]*(0.9155*Table2[[#This Row],[J67]]-F$9)^2</f>
        <v>9.3113136957875847E-2</v>
      </c>
      <c r="R25">
        <f>Table3[[#This Row],[weight]]*(0.9155*Table2[[#This Row],[J67'']]-G$9)^2</f>
        <v>2.9106058824898455</v>
      </c>
      <c r="S25">
        <f>chloroform!J30</f>
        <v>0.127049524467722</v>
      </c>
      <c r="T25" t="str">
        <f>chloroform!F30</f>
        <v>4H6</v>
      </c>
    </row>
    <row r="26" spans="11:20" x14ac:dyDescent="0.25">
      <c r="K26">
        <f>chloroform!E31</f>
        <v>41</v>
      </c>
      <c r="L26">
        <f>Table3[[#This Row],[weight]]*(0.9155*Table2[[#This Row],[J1,2]]-A$9)^2</f>
        <v>6.6649177211967517E-2</v>
      </c>
      <c r="M26">
        <f>Table3[[#This Row],[weight]]*(0.9155*Table2[[#This Row],[J2,3]]-B$9)^2</f>
        <v>3.3470212374014312E-2</v>
      </c>
      <c r="N26">
        <f>Table3[[#This Row],[weight]]*(0.9155*Table2[[#This Row],[J34]]-C$9)^2</f>
        <v>1.0151052519051278</v>
      </c>
      <c r="O26">
        <f>Table3[[#This Row],[weight]]*(0.9155*Table2[[#This Row],[J45]]-D$9)^2</f>
        <v>2.292908999757413</v>
      </c>
      <c r="P26">
        <f>Table3[[#This Row],[weight]]*(0.9155*Table2[[#This Row],[J56]]-E$9)^2</f>
        <v>0.30563691871584597</v>
      </c>
      <c r="Q26">
        <f>Table3[[#This Row],[weight]]*(0.9155*Table2[[#This Row],[J67]]-F$9)^2</f>
        <v>6.3953042576130048E-2</v>
      </c>
      <c r="R26">
        <f>Table3[[#This Row],[weight]]*(0.9155*Table2[[#This Row],[J67'']]-G$9)^2</f>
        <v>1.8295948558110344</v>
      </c>
      <c r="S26">
        <f>chloroform!J31</f>
        <v>8.0911768100308368E-2</v>
      </c>
      <c r="T26" t="str">
        <f>chloroform!F31</f>
        <v>4H6</v>
      </c>
    </row>
    <row r="27" spans="11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>
        <f>chloroform!E33</f>
        <v>48</v>
      </c>
      <c r="L28">
        <f>Table3[[#This Row],[weight]]*(0.9155*Table2[[#This Row],[J1,2]]-A$9)^2</f>
        <v>2.0549915185052989E-2</v>
      </c>
      <c r="M28">
        <f>Table3[[#This Row],[weight]]*(0.9155*Table2[[#This Row],[J2,3]]-B$9)^2</f>
        <v>0.10193933055016062</v>
      </c>
      <c r="N28">
        <f>Table3[[#This Row],[weight]]*(0.9155*Table2[[#This Row],[J34]]-C$9)^2</f>
        <v>0.72487608960658012</v>
      </c>
      <c r="O28">
        <f>Table3[[#This Row],[weight]]*(0.9155*Table2[[#This Row],[J45]]-D$9)^2</f>
        <v>0.30810883191152988</v>
      </c>
      <c r="P28">
        <f>Table3[[#This Row],[weight]]*(0.9155*Table2[[#This Row],[J56]]-E$9)^2</f>
        <v>1.7108589301169486E-2</v>
      </c>
      <c r="Q28">
        <f>Table3[[#This Row],[weight]]*(0.9155*Table2[[#This Row],[J67]]-F$9)^2</f>
        <v>1.0496959730942217E-3</v>
      </c>
      <c r="R28">
        <f>Table3[[#This Row],[weight]]*(0.9155*Table2[[#This Row],[J67'']]-G$9)^2</f>
        <v>0.33436129936469916</v>
      </c>
      <c r="S28">
        <f>chloroform!J33</f>
        <v>1.2775133820605666E-2</v>
      </c>
      <c r="T28" t="str">
        <f>chloroform!F33</f>
        <v>56TH</v>
      </c>
    </row>
    <row r="29" spans="11:20" x14ac:dyDescent="0.25">
      <c r="K29">
        <f>chloroform!E34</f>
        <v>57</v>
      </c>
      <c r="L29">
        <f>Table3[[#This Row],[weight]]*(0.9155*Table2[[#This Row],[J1,2]]-A$9)^2</f>
        <v>2.5417477797906689E-5</v>
      </c>
      <c r="M29">
        <f>Table3[[#This Row],[weight]]*(0.9155*Table2[[#This Row],[J2,3]]-B$9)^2</f>
        <v>3.6686295258057063E-2</v>
      </c>
      <c r="N29">
        <f>Table3[[#This Row],[weight]]*(0.9155*Table2[[#This Row],[J34]]-C$9)^2</f>
        <v>7.3651512531589775E-2</v>
      </c>
      <c r="O29">
        <f>Table3[[#This Row],[weight]]*(0.9155*Table2[[#This Row],[J45]]-D$9)^2</f>
        <v>2.5117410493771044E-4</v>
      </c>
      <c r="P29">
        <f>Table3[[#This Row],[weight]]*(0.9155*Table2[[#This Row],[J56]]-E$9)^2</f>
        <v>6.1799366430732368E-2</v>
      </c>
      <c r="Q29">
        <f>Table3[[#This Row],[weight]]*(0.9155*Table2[[#This Row],[J67]]-F$9)^2</f>
        <v>9.2639084241233967E-4</v>
      </c>
      <c r="R29">
        <f>Table3[[#This Row],[weight]]*(0.9155*Table2[[#This Row],[J67'']]-G$9)^2</f>
        <v>3.8923926618266574E-2</v>
      </c>
      <c r="S29">
        <f>chloroform!J34</f>
        <v>8.3446191868302429E-4</v>
      </c>
      <c r="T29" t="str">
        <f>chloroform!F34</f>
        <v>6H4</v>
      </c>
    </row>
    <row r="30" spans="11:20" x14ac:dyDescent="0.25">
      <c r="K30">
        <f>chloroform!E35</f>
        <v>59</v>
      </c>
      <c r="L30">
        <f>Table3[[#This Row],[weight]]*(0.9155*Table2[[#This Row],[J1,2]]-A$9)^2</f>
        <v>7.3466341291324782E-5</v>
      </c>
      <c r="M30">
        <f>Table3[[#This Row],[weight]]*(0.9155*Table2[[#This Row],[J2,3]]-B$9)^2</f>
        <v>1.9596476193071651E-3</v>
      </c>
      <c r="N30">
        <f>Table3[[#This Row],[weight]]*(0.9155*Table2[[#This Row],[J34]]-C$9)^2</f>
        <v>1.2826686020136959E-3</v>
      </c>
      <c r="O30">
        <f>Table3[[#This Row],[weight]]*(0.9155*Table2[[#This Row],[J45]]-D$9)^2</f>
        <v>1.2011843277448147E-3</v>
      </c>
      <c r="P30">
        <f>Table3[[#This Row],[weight]]*(0.9155*Table2[[#This Row],[J56]]-E$9)^2</f>
        <v>7.9307157946923888E-4</v>
      </c>
      <c r="Q30">
        <f>Table3[[#This Row],[weight]]*(0.9155*Table2[[#This Row],[J67]]-F$9)^2</f>
        <v>7.0419283592663531E-5</v>
      </c>
      <c r="R30">
        <f>Table3[[#This Row],[weight]]*(0.9155*Table2[[#This Row],[J67'']]-G$9)^2</f>
        <v>8.340417989218307E-4</v>
      </c>
      <c r="S30">
        <f>chloroform!J35</f>
        <v>5.0795088160469441E-5</v>
      </c>
      <c r="T30" t="str">
        <f>chloroform!F35</f>
        <v>45TH</v>
      </c>
    </row>
    <row r="31" spans="11:20" x14ac:dyDescent="0.25">
      <c r="K31">
        <f>chloroform!E36</f>
        <v>72</v>
      </c>
      <c r="L31">
        <f>Table3[[#This Row],[weight]]*(0.9155*Table2[[#This Row],[J1,2]]-A$9)^2</f>
        <v>1.1255898633401472E-3</v>
      </c>
      <c r="M31">
        <f>Table3[[#This Row],[weight]]*(0.9155*Table2[[#This Row],[J2,3]]-B$9)^2</f>
        <v>1.0074174003624299E-3</v>
      </c>
      <c r="N31">
        <f>Table3[[#This Row],[weight]]*(0.9155*Table2[[#This Row],[J34]]-C$9)^2</f>
        <v>2.3266156565403685E-2</v>
      </c>
      <c r="O31">
        <f>Table3[[#This Row],[weight]]*(0.9155*Table2[[#This Row],[J45]]-D$9)^2</f>
        <v>7.5663152946669171E-2</v>
      </c>
      <c r="P31">
        <f>Table3[[#This Row],[weight]]*(0.9155*Table2[[#This Row],[J56]]-E$9)^2</f>
        <v>9.7843920007473998E-3</v>
      </c>
      <c r="Q31">
        <f>Table3[[#This Row],[weight]]*(0.9155*Table2[[#This Row],[J67]]-F$9)^2</f>
        <v>8.6664414568708423E-2</v>
      </c>
      <c r="R31">
        <f>Table3[[#This Row],[weight]]*(0.9155*Table2[[#This Row],[J67'']]-G$9)^2</f>
        <v>5.3382359768762412E-2</v>
      </c>
      <c r="S31">
        <f>chloroform!J36</f>
        <v>2.4633282831997422E-3</v>
      </c>
      <c r="T31" t="str">
        <f>chloroform!F36</f>
        <v>4H6</v>
      </c>
    </row>
    <row r="32" spans="11:20" x14ac:dyDescent="0.25">
      <c r="K32">
        <f>chloroform!E37</f>
        <v>73</v>
      </c>
      <c r="L32">
        <f>Table3[[#This Row],[weight]]*(0.9155*Table2[[#This Row],[J1,2]]-A$9)^2</f>
        <v>2.1282068283969786E-2</v>
      </c>
      <c r="M32">
        <f>Table3[[#This Row],[weight]]*(0.9155*Table2[[#This Row],[J2,3]]-B$9)^2</f>
        <v>1.0387032685442021</v>
      </c>
      <c r="N32">
        <f>Table3[[#This Row],[weight]]*(0.9155*Table2[[#This Row],[J34]]-C$9)^2</f>
        <v>1.0880765068364651</v>
      </c>
      <c r="O32">
        <f>Table3[[#This Row],[weight]]*(0.9155*Table2[[#This Row],[J45]]-D$9)^2</f>
        <v>0.80743840016877189</v>
      </c>
      <c r="P32">
        <f>Table3[[#This Row],[weight]]*(0.9155*Table2[[#This Row],[J56]]-E$9)^2</f>
        <v>6.051178236148799E-5</v>
      </c>
      <c r="Q32">
        <f>Table3[[#This Row],[weight]]*(0.9155*Table2[[#This Row],[J67]]-F$9)^2</f>
        <v>2.5303911394721525E-3</v>
      </c>
      <c r="R32">
        <f>Table3[[#This Row],[weight]]*(0.9155*Table2[[#This Row],[J67'']]-G$9)^2</f>
        <v>0.41194840645537573</v>
      </c>
      <c r="S32">
        <f>chloroform!J37</f>
        <v>3.4201849845768455E-2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1.2027300338708203E-4</v>
      </c>
      <c r="M33">
        <f>Table3[[#This Row],[weight]]*(0.9155*Table2[[#This Row],[J2,3]]-B$9)^2</f>
        <v>2.8262893751391663E-3</v>
      </c>
      <c r="N33">
        <f>Table3[[#This Row],[weight]]*(0.9155*Table2[[#This Row],[J34]]-C$9)^2</f>
        <v>1.7092774031318486E-3</v>
      </c>
      <c r="O33">
        <f>Table3[[#This Row],[weight]]*(0.9155*Table2[[#This Row],[J45]]-D$9)^2</f>
        <v>1.7078487186097248E-3</v>
      </c>
      <c r="P33">
        <f>Table3[[#This Row],[weight]]*(0.9155*Table2[[#This Row],[J56]]-E$9)^2</f>
        <v>1.2336945119654527E-3</v>
      </c>
      <c r="Q33">
        <f>Table3[[#This Row],[weight]]*(0.9155*Table2[[#This Row],[J67]]-F$9)^2</f>
        <v>2.354121689282483E-5</v>
      </c>
      <c r="R33">
        <f>Table3[[#This Row],[weight]]*(0.9155*Table2[[#This Row],[J67'']]-G$9)^2</f>
        <v>1.9433557877650311E-3</v>
      </c>
      <c r="S33">
        <f>chloroform!J38</f>
        <v>7.3043412281397076E-5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2.3854048219167972E-6</v>
      </c>
      <c r="M34">
        <f>Table3[[#This Row],[weight]]*(0.9155*Table2[[#This Row],[J2,3]]-B$9)^2</f>
        <v>3.1868433787557206E-5</v>
      </c>
      <c r="N34">
        <f>Table3[[#This Row],[weight]]*(0.9155*Table2[[#This Row],[J34]]-C$9)^2</f>
        <v>7.1226391294763663E-4</v>
      </c>
      <c r="O34">
        <f>Table3[[#This Row],[weight]]*(0.9155*Table2[[#This Row],[J45]]-D$9)^2</f>
        <v>7.6425245101564257E-4</v>
      </c>
      <c r="P34">
        <f>Table3[[#This Row],[weight]]*(0.9155*Table2[[#This Row],[J56]]-E$9)^2</f>
        <v>3.7583589871575084E-4</v>
      </c>
      <c r="Q34">
        <f>Table3[[#This Row],[weight]]*(0.9155*Table2[[#This Row],[J67]]-F$9)^2</f>
        <v>1.9835367175511498E-4</v>
      </c>
      <c r="R34">
        <f>Table3[[#This Row],[weight]]*(0.9155*Table2[[#This Row],[J67'']]-G$9)^2</f>
        <v>0.68516564970841498</v>
      </c>
      <c r="S34">
        <f>chloroform!J39</f>
        <v>2.1020730544865893E-2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8.5048609880631715E-7</v>
      </c>
      <c r="M35">
        <f>Table3[[#This Row],[weight]]*(0.9155*Table2[[#This Row],[J2,3]]-B$9)^2</f>
        <v>5.3018964019673556E-5</v>
      </c>
      <c r="N35">
        <f>Table3[[#This Row],[weight]]*(0.9155*Table2[[#This Row],[J34]]-C$9)^2</f>
        <v>4.8321330718215245E-5</v>
      </c>
      <c r="O35">
        <f>Table3[[#This Row],[weight]]*(0.9155*Table2[[#This Row],[J45]]-D$9)^2</f>
        <v>2.1516179619473716E-4</v>
      </c>
      <c r="P35">
        <f>Table3[[#This Row],[weight]]*(0.9155*Table2[[#This Row],[J56]]-E$9)^2</f>
        <v>3.2880083000988176E-3</v>
      </c>
      <c r="Q35">
        <f>Table3[[#This Row],[weight]]*(0.9155*Table2[[#This Row],[J67]]-F$9)^2</f>
        <v>8.5546049879631093E-3</v>
      </c>
      <c r="R35">
        <f>Table3[[#This Row],[weight]]*(0.9155*Table2[[#This Row],[J67'']]-G$9)^2</f>
        <v>1.2081794091536021E-6</v>
      </c>
      <c r="S35">
        <f>chloroform!J40</f>
        <v>8.2900781620253312E-5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1.9626862859225009E-2</v>
      </c>
      <c r="M38">
        <f>Table3[[#This Row],[weight]]*(0.9155*Table2[[#This Row],[J2,3]]-B$9)^2</f>
        <v>0.97091789403677509</v>
      </c>
      <c r="N38">
        <f>Table3[[#This Row],[weight]]*(0.9155*Table2[[#This Row],[J34]]-C$9)^2</f>
        <v>1.6356865245754248</v>
      </c>
      <c r="O38">
        <f>Table3[[#This Row],[weight]]*(0.9155*Table2[[#This Row],[J45]]-D$9)^2</f>
        <v>0.46693474760689319</v>
      </c>
      <c r="P38">
        <f>Table3[[#This Row],[weight]]*(0.9155*Table2[[#This Row],[J56]]-E$9)^2</f>
        <v>2.0898933160069039E-2</v>
      </c>
      <c r="Q38">
        <f>Table3[[#This Row],[weight]]*(0.9155*Table2[[#This Row],[J67]]-F$9)^2</f>
        <v>2.3231932511300884E-4</v>
      </c>
      <c r="R38">
        <f>Table3[[#This Row],[weight]]*(0.9155*Table2[[#This Row],[J67'']]-G$9)^2</f>
        <v>0.6836324855291156</v>
      </c>
      <c r="S38">
        <f>chloroform!J43</f>
        <v>2.7229119744419213E-2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6.2242095343647451E-5</v>
      </c>
      <c r="M42">
        <f>Table3[[#This Row],[weight]]*(0.9155*Table2[[#This Row],[J2,3]]-B$9)^2</f>
        <v>2.9490142931323901E-3</v>
      </c>
      <c r="N42">
        <f>Table3[[#This Row],[weight]]*(0.9155*Table2[[#This Row],[J34]]-C$9)^2</f>
        <v>8.509994856747038E-6</v>
      </c>
      <c r="O42">
        <f>Table3[[#This Row],[weight]]*(0.9155*Table2[[#This Row],[J45]]-D$9)^2</f>
        <v>4.4804692144634955E-5</v>
      </c>
      <c r="P42">
        <f>Table3[[#This Row],[weight]]*(0.9155*Table2[[#This Row],[J56]]-E$9)^2</f>
        <v>7.7890200138168731E-8</v>
      </c>
      <c r="Q42">
        <f>Table3[[#This Row],[weight]]*(0.9155*Table2[[#This Row],[J67]]-F$9)^2</f>
        <v>1.9378552432104681E-3</v>
      </c>
      <c r="R42">
        <f>Table3[[#This Row],[weight]]*(0.9155*Table2[[#This Row],[J67'']]-G$9)^2</f>
        <v>0.32535839186659526</v>
      </c>
      <c r="S42">
        <f>chloroform!J47</f>
        <v>9.9563621398811759E-3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8.2908610933540904E-4</v>
      </c>
      <c r="M43">
        <f>Table3[[#This Row],[weight]]*(0.9155*Table2[[#This Row],[J2,3]]-B$9)^2</f>
        <v>3.0691284123234169E-2</v>
      </c>
      <c r="N43">
        <f>Table3[[#This Row],[weight]]*(0.9155*Table2[[#This Row],[J34]]-C$9)^2</f>
        <v>5.0113947580670573E-2</v>
      </c>
      <c r="O43">
        <f>Table3[[#This Row],[weight]]*(0.9155*Table2[[#This Row],[J45]]-D$9)^2</f>
        <v>1.5020109008450385E-2</v>
      </c>
      <c r="P43">
        <f>Table3[[#This Row],[weight]]*(0.9155*Table2[[#This Row],[J56]]-E$9)^2</f>
        <v>1.3630603392613915E-4</v>
      </c>
      <c r="Q43">
        <f>Table3[[#This Row],[weight]]*(0.9155*Table2[[#This Row],[J67]]-F$9)^2</f>
        <v>9.1033275899041514E-4</v>
      </c>
      <c r="R43">
        <f>Table3[[#This Row],[weight]]*(0.9155*Table2[[#This Row],[J67'']]-G$9)^2</f>
        <v>4.9077608401969335E-3</v>
      </c>
      <c r="S43">
        <f>chloroform!J48</f>
        <v>8.797775676616489E-4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1.1793677227258046E-6</v>
      </c>
      <c r="M45">
        <f>Table3[[#This Row],[weight]]*(0.9155*Table2[[#This Row],[J2,3]]-B$9)^2</f>
        <v>2.510691049162631E-4</v>
      </c>
      <c r="N45">
        <f>Table3[[#This Row],[weight]]*(0.9155*Table2[[#This Row],[J34]]-C$9)^2</f>
        <v>1.6804938919126719E-4</v>
      </c>
      <c r="O45">
        <f>Table3[[#This Row],[weight]]*(0.9155*Table2[[#This Row],[J45]]-D$9)^2</f>
        <v>1.1135244352046708E-3</v>
      </c>
      <c r="P45">
        <f>Table3[[#This Row],[weight]]*(0.9155*Table2[[#This Row],[J56]]-E$9)^2</f>
        <v>1.5735905578081646E-2</v>
      </c>
      <c r="Q45">
        <f>Table3[[#This Row],[weight]]*(0.9155*Table2[[#This Row],[J67]]-F$9)^2</f>
        <v>2.1959225670893539E-4</v>
      </c>
      <c r="R45">
        <f>Table3[[#This Row],[weight]]*(0.9155*Table2[[#This Row],[J67'']]-G$9)^2</f>
        <v>8.7414708908156689E-3</v>
      </c>
      <c r="S45">
        <f>chloroform!J50</f>
        <v>4.0926614405763966E-4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3.980764318139633E-3</v>
      </c>
      <c r="M46">
        <f>Table3[[#This Row],[weight]]*(0.9155*Table2[[#This Row],[J2,3]]-B$9)^2</f>
        <v>3.6672730131407524E-2</v>
      </c>
      <c r="N46">
        <f>Table3[[#This Row],[weight]]*(0.9155*Table2[[#This Row],[J34]]-C$9)^2</f>
        <v>0.19405936231041615</v>
      </c>
      <c r="O46">
        <f>Table3[[#This Row],[weight]]*(0.9155*Table2[[#This Row],[J45]]-D$9)^2</f>
        <v>8.4464030484959901E-2</v>
      </c>
      <c r="P46">
        <f>Table3[[#This Row],[weight]]*(0.9155*Table2[[#This Row],[J56]]-E$9)^2</f>
        <v>7.3876347779070935E-3</v>
      </c>
      <c r="Q46">
        <f>Table3[[#This Row],[weight]]*(0.9155*Table2[[#This Row],[J67]]-F$9)^2</f>
        <v>3.5801610381721999E-3</v>
      </c>
      <c r="R46">
        <f>Table3[[#This Row],[weight]]*(0.9155*Table2[[#This Row],[J67'']]-G$9)^2</f>
        <v>5.6004764445931311E-2</v>
      </c>
      <c r="S46">
        <f>chloroform!J51</f>
        <v>3.2689873553548628E-3</v>
      </c>
      <c r="T46" t="str">
        <f>chloroform!F51</f>
        <v>56TH</v>
      </c>
    </row>
    <row r="47" spans="11:20" x14ac:dyDescent="0.25">
      <c r="K47">
        <f>chloroform!E52</f>
        <v>136</v>
      </c>
      <c r="L47" s="4">
        <f>Table3[[#This Row],[weight]]*(0.9155*Table2[[#This Row],[J1,2]]-A$9)^2</f>
        <v>2.3160125993756334E-4</v>
      </c>
      <c r="M47" s="4">
        <f>Table3[[#This Row],[weight]]*(0.9155*Table2[[#This Row],[J2,3]]-B$9)^2</f>
        <v>3.9119309444323139E-2</v>
      </c>
      <c r="N47" s="4">
        <f>Table3[[#This Row],[weight]]*(0.9155*Table2[[#This Row],[J34]]-C$9)^2</f>
        <v>4.2969143621989662E-2</v>
      </c>
      <c r="O47" s="4">
        <f>Table3[[#This Row],[weight]]*(0.9155*Table2[[#This Row],[J45]]-D$9)^2</f>
        <v>2.6520783773131204E-2</v>
      </c>
      <c r="P47" s="4">
        <f>Table3[[#This Row],[weight]]*(0.9155*Table2[[#This Row],[J56]]-E$9)^2</f>
        <v>7.5998571302893542E-5</v>
      </c>
      <c r="Q47" s="4">
        <f>Table3[[#This Row],[weight]]*(0.9155*Table2[[#This Row],[J67]]-F$9)^2</f>
        <v>4.2386198904765614E-5</v>
      </c>
      <c r="R47" s="4">
        <f>Table3[[#This Row],[weight]]*(0.9155*Table2[[#This Row],[J67'']]-G$9)^2</f>
        <v>3.1172582358304553E-2</v>
      </c>
      <c r="S47">
        <f>chloroform!J52</f>
        <v>1.1479041648005052E-3</v>
      </c>
      <c r="T47" t="str">
        <f>chloroform!F52</f>
        <v>5C12</v>
      </c>
    </row>
    <row r="48" spans="11:20" x14ac:dyDescent="0.25">
      <c r="K48">
        <f>chloroform!E53</f>
        <v>142</v>
      </c>
      <c r="L48" s="4">
        <f>Table3[[#This Row],[weight]]*(0.9155*Table2[[#This Row],[J1,2]]-A$9)^2</f>
        <v>2.8276647136112206E-3</v>
      </c>
      <c r="M48" s="4">
        <f>Table3[[#This Row],[weight]]*(0.9155*Table2[[#This Row],[J2,3]]-B$9)^2</f>
        <v>0.2550101782534212</v>
      </c>
      <c r="N48" s="4">
        <f>Table3[[#This Row],[weight]]*(0.9155*Table2[[#This Row],[J34]]-C$9)^2</f>
        <v>0.41926228421566897</v>
      </c>
      <c r="O48" s="4">
        <f>Table3[[#This Row],[weight]]*(0.9155*Table2[[#This Row],[J45]]-D$9)^2</f>
        <v>0.13216259708606823</v>
      </c>
      <c r="P48" s="4">
        <f>Table3[[#This Row],[weight]]*(0.9155*Table2[[#This Row],[J56]]-E$9)^2</f>
        <v>3.727285286930226E-3</v>
      </c>
      <c r="Q48" s="4">
        <f>Table3[[#This Row],[weight]]*(0.9155*Table2[[#This Row],[J67]]-F$9)^2</f>
        <v>0.39979664485489369</v>
      </c>
      <c r="R48" s="4">
        <f>Table3[[#This Row],[weight]]*(0.9155*Table2[[#This Row],[J67'']]-G$9)^2</f>
        <v>6.7140698003551283E-2</v>
      </c>
      <c r="S48">
        <f>chloroform!J53</f>
        <v>6.897703231285998E-3</v>
      </c>
      <c r="T48" t="str">
        <f>chloroform!F53</f>
        <v>5C12</v>
      </c>
    </row>
    <row r="49" spans="11:20" x14ac:dyDescent="0.25">
      <c r="K49">
        <f>chloroform!E54</f>
        <v>143</v>
      </c>
      <c r="L49" s="4">
        <f>Table3[[#This Row],[weight]]*(0.9155*Table2[[#This Row],[J1,2]]-A$9)^2</f>
        <v>1.428793735488316E-5</v>
      </c>
      <c r="M49" s="4">
        <f>Table3[[#This Row],[weight]]*(0.9155*Table2[[#This Row],[J2,3]]-B$9)^2</f>
        <v>4.1734635170136572E-6</v>
      </c>
      <c r="N49" s="4">
        <f>Table3[[#This Row],[weight]]*(0.9155*Table2[[#This Row],[J34]]-C$9)^2</f>
        <v>1.9094315793571825E-4</v>
      </c>
      <c r="O49" s="4">
        <f>Table3[[#This Row],[weight]]*(0.9155*Table2[[#This Row],[J45]]-D$9)^2</f>
        <v>1.0479928924834925E-3</v>
      </c>
      <c r="P49" s="4">
        <f>Table3[[#This Row],[weight]]*(0.9155*Table2[[#This Row],[J56]]-E$9)^2</f>
        <v>1.8333404273955742E-4</v>
      </c>
      <c r="Q49" s="4">
        <f>Table3[[#This Row],[weight]]*(0.9155*Table2[[#This Row],[J67]]-F$9)^2</f>
        <v>5.0913739823135401E-3</v>
      </c>
      <c r="R49" s="4">
        <f>Table3[[#This Row],[weight]]*(0.9155*Table2[[#This Row],[J67'']]-G$9)^2</f>
        <v>1.0341774150829889E-3</v>
      </c>
      <c r="S49">
        <f>chloroform!J54</f>
        <v>8.4696381353338763E-5</v>
      </c>
      <c r="T49" t="str">
        <f>chloroform!F54</f>
        <v>45TH</v>
      </c>
    </row>
    <row r="50" spans="11:20" x14ac:dyDescent="0.25">
      <c r="K50">
        <f>chloroform!E55</f>
        <v>144</v>
      </c>
      <c r="L50" s="4">
        <f>Table3[[#This Row],[weight]]*(0.9155*Table2[[#This Row],[J1,2]]-A$9)^2</f>
        <v>9.0543740968915362E-6</v>
      </c>
      <c r="M50" s="4">
        <f>Table3[[#This Row],[weight]]*(0.9155*Table2[[#This Row],[J2,3]]-B$9)^2</f>
        <v>1.4859885379820933E-4</v>
      </c>
      <c r="N50" s="4">
        <f>Table3[[#This Row],[weight]]*(0.9155*Table2[[#This Row],[J34]]-C$9)^2</f>
        <v>8.1168757936087955E-6</v>
      </c>
      <c r="O50" s="4">
        <f>Table3[[#This Row],[weight]]*(0.9155*Table2[[#This Row],[J45]]-D$9)^2</f>
        <v>2.3246291138615159E-4</v>
      </c>
      <c r="P50" s="4">
        <f>Table3[[#This Row],[weight]]*(0.9155*Table2[[#This Row],[J56]]-E$9)^2</f>
        <v>3.247112390734603E-3</v>
      </c>
      <c r="Q50" s="4">
        <f>Table3[[#This Row],[weight]]*(0.9155*Table2[[#This Row],[J67]]-F$9)^2</f>
        <v>9.1297553115955946E-3</v>
      </c>
      <c r="R50" s="4">
        <f>Table3[[#This Row],[weight]]*(0.9155*Table2[[#This Row],[J67'']]-G$9)^2</f>
        <v>1.5960771935873749E-5</v>
      </c>
      <c r="S50">
        <f>chloroform!J55</f>
        <v>8.7368604714424999E-5</v>
      </c>
      <c r="T50" t="str">
        <f>chloroform!F55</f>
        <v>12C5</v>
      </c>
    </row>
    <row r="51" spans="11:20" x14ac:dyDescent="0.25">
      <c r="K51">
        <f>chloroform!E56</f>
        <v>145</v>
      </c>
      <c r="L51" s="4">
        <f>Table3[[#This Row],[weight]]*(0.9155*Table2[[#This Row],[J1,2]]-A$9)^2</f>
        <v>4.2135315069038393E-5</v>
      </c>
      <c r="M51" s="4">
        <f>Table3[[#This Row],[weight]]*(0.9155*Table2[[#This Row],[J2,3]]-B$9)^2</f>
        <v>4.0829007617739811E-4</v>
      </c>
      <c r="N51" s="4">
        <f>Table3[[#This Row],[weight]]*(0.9155*Table2[[#This Row],[J34]]-C$9)^2</f>
        <v>1.2000263562348773E-4</v>
      </c>
      <c r="O51" s="4">
        <f>Table3[[#This Row],[weight]]*(0.9155*Table2[[#This Row],[J45]]-D$9)^2</f>
        <v>4.3879001859289333E-4</v>
      </c>
      <c r="P51" s="4">
        <f>Table3[[#This Row],[weight]]*(0.9155*Table2[[#This Row],[J56]]-E$9)^2</f>
        <v>1.0418376637237218E-2</v>
      </c>
      <c r="Q51" s="4">
        <f>Table3[[#This Row],[weight]]*(0.9155*Table2[[#This Row],[J67]]-F$9)^2</f>
        <v>2.8142424884784259E-2</v>
      </c>
      <c r="R51" s="4">
        <f>Table3[[#This Row],[weight]]*(0.9155*Table2[[#This Row],[J67'']]-G$9)^2</f>
        <v>1.934183374241506E-5</v>
      </c>
      <c r="S51">
        <f>chloroform!J56</f>
        <v>2.6010177331636683E-4</v>
      </c>
      <c r="T51" t="str">
        <f>chloroform!F56</f>
        <v>5C12</v>
      </c>
    </row>
    <row r="52" spans="11:20" x14ac:dyDescent="0.25">
      <c r="K52">
        <f>chloroform!E57</f>
        <v>166</v>
      </c>
      <c r="L52" s="4">
        <f>Table3[[#This Row],[weight]]*(0.9155*Table2[[#This Row],[J1,2]]-A$9)^2</f>
        <v>6.5506269667458519E-4</v>
      </c>
      <c r="M52" s="4">
        <f>Table3[[#This Row],[weight]]*(0.9155*Table2[[#This Row],[J2,3]]-B$9)^2</f>
        <v>4.2540152468872439E-2</v>
      </c>
      <c r="N52" s="4">
        <f>Table3[[#This Row],[weight]]*(0.9155*Table2[[#This Row],[J34]]-C$9)^2</f>
        <v>4.6205930312424204E-2</v>
      </c>
      <c r="O52" s="4">
        <f>Table3[[#This Row],[weight]]*(0.9155*Table2[[#This Row],[J45]]-D$9)^2</f>
        <v>3.7289364209739335E-2</v>
      </c>
      <c r="P52" s="4">
        <f>Table3[[#This Row],[weight]]*(0.9155*Table2[[#This Row],[J56]]-E$9)^2</f>
        <v>8.6574645724785907E-4</v>
      </c>
      <c r="Q52" s="4">
        <f>Table3[[#This Row],[weight]]*(0.9155*Table2[[#This Row],[J67]]-F$9)^2</f>
        <v>1.9077381431072995E-6</v>
      </c>
      <c r="R52" s="4">
        <f>Table3[[#This Row],[weight]]*(0.9155*Table2[[#This Row],[J67'']]-G$9)^2</f>
        <v>5.1660499367172576E-2</v>
      </c>
      <c r="S52">
        <f>chloroform!J57</f>
        <v>1.488423496675755E-3</v>
      </c>
      <c r="T52" t="str">
        <f>chloroform!F57</f>
        <v>5C12</v>
      </c>
    </row>
    <row r="53" spans="11:20" x14ac:dyDescent="0.25">
      <c r="K53">
        <f>chloroform!E58</f>
        <v>173</v>
      </c>
      <c r="L53" s="4">
        <f>Table3[[#This Row],[weight]]*(0.9155*Table2[[#This Row],[J1,2]]-A$9)^2</f>
        <v>2.8117927273908071E-5</v>
      </c>
      <c r="M53" s="4">
        <f>Table3[[#This Row],[weight]]*(0.9155*Table2[[#This Row],[J2,3]]-B$9)^2</f>
        <v>4.5954092704204158E-4</v>
      </c>
      <c r="N53" s="4">
        <f>Table3[[#This Row],[weight]]*(0.9155*Table2[[#This Row],[J34]]-C$9)^2</f>
        <v>4.553396305179328E-5</v>
      </c>
      <c r="O53" s="4">
        <f>Table3[[#This Row],[weight]]*(0.9155*Table2[[#This Row],[J45]]-D$9)^2</f>
        <v>5.6120260803324909E-4</v>
      </c>
      <c r="P53" s="4">
        <f>Table3[[#This Row],[weight]]*(0.9155*Table2[[#This Row],[J56]]-E$9)^2</f>
        <v>1.0816563878515989E-2</v>
      </c>
      <c r="Q53" s="4">
        <f>Table3[[#This Row],[weight]]*(0.9155*Table2[[#This Row],[J67]]-F$9)^2</f>
        <v>2.5990288063887503E-4</v>
      </c>
      <c r="R53" s="4">
        <f>Table3[[#This Row],[weight]]*(0.9155*Table2[[#This Row],[J67'']]-G$9)^2</f>
        <v>8.2030783166569948E-3</v>
      </c>
      <c r="S53">
        <f>chloroform!J58</f>
        <v>3.1252425246208461E-4</v>
      </c>
      <c r="T53" t="str">
        <f>chloroform!F58</f>
        <v>12C5</v>
      </c>
    </row>
    <row r="54" spans="11:20" x14ac:dyDescent="0.25">
      <c r="K54">
        <f>chloroform!E59</f>
        <v>191</v>
      </c>
      <c r="L54" s="4">
        <f>Table3[[#This Row],[weight]]*(0.9155*Table2[[#This Row],[J1,2]]-A$9)^2</f>
        <v>5.0864209685187111E-7</v>
      </c>
      <c r="M54" s="4">
        <f>Table3[[#This Row],[weight]]*(0.9155*Table2[[#This Row],[J2,3]]-B$9)^2</f>
        <v>5.0884359244599525E-5</v>
      </c>
      <c r="N54" s="4">
        <f>Table3[[#This Row],[weight]]*(0.9155*Table2[[#This Row],[J34]]-C$9)^2</f>
        <v>5.1876135531400809E-5</v>
      </c>
      <c r="O54" s="4">
        <f>Table3[[#This Row],[weight]]*(0.9155*Table2[[#This Row],[J45]]-D$9)^2</f>
        <v>2.2071870041350065E-4</v>
      </c>
      <c r="P54" s="4">
        <f>Table3[[#This Row],[weight]]*(0.9155*Table2[[#This Row],[J56]]-E$9)^2</f>
        <v>3.2526662924769515E-3</v>
      </c>
      <c r="Q54" s="4">
        <f>Table3[[#This Row],[weight]]*(0.9155*Table2[[#This Row],[J67]]-F$9)^2</f>
        <v>8.4459456905526271E-3</v>
      </c>
      <c r="R54" s="4">
        <f>Table3[[#This Row],[weight]]*(0.9155*Table2[[#This Row],[J67'']]-G$9)^2</f>
        <v>2.1680304624334894E-6</v>
      </c>
      <c r="S54">
        <f>chloroform!J59</f>
        <v>8.0853744788159199E-5</v>
      </c>
      <c r="T54" t="str">
        <f>chloroform!F59</f>
        <v>12C5</v>
      </c>
    </row>
    <row r="55" spans="11:20" x14ac:dyDescent="0.25">
      <c r="K55">
        <f>chloroform!E60</f>
        <v>193</v>
      </c>
      <c r="L55" s="4">
        <f>Table3[[#This Row],[weight]]*(0.9155*Table2[[#This Row],[J1,2]]-A$9)^2</f>
        <v>1.2787207072483515E-4</v>
      </c>
      <c r="M55" s="4">
        <f>Table3[[#This Row],[weight]]*(0.9155*Table2[[#This Row],[J2,3]]-B$9)^2</f>
        <v>1.9855169039476703E-3</v>
      </c>
      <c r="N55" s="4">
        <f>Table3[[#This Row],[weight]]*(0.9155*Table2[[#This Row],[J34]]-C$9)^2</f>
        <v>1.663102338083914E-4</v>
      </c>
      <c r="O55" s="4">
        <f>Table3[[#This Row],[weight]]*(0.9155*Table2[[#This Row],[J45]]-D$9)^2</f>
        <v>2.0970203603470935E-3</v>
      </c>
      <c r="P55" s="4">
        <f>Table3[[#This Row],[weight]]*(0.9155*Table2[[#This Row],[J56]]-E$9)^2</f>
        <v>3.6008122854904262E-2</v>
      </c>
      <c r="Q55" s="4">
        <f>Table3[[#This Row],[weight]]*(0.9155*Table2[[#This Row],[J67]]-F$9)^2</f>
        <v>5.2458027606346904E-4</v>
      </c>
      <c r="R55" s="4">
        <f>Table3[[#This Row],[weight]]*(0.9155*Table2[[#This Row],[J67'']]-G$9)^2</f>
        <v>2.2609424512552496E-2</v>
      </c>
      <c r="S55">
        <f>chloroform!J60</f>
        <v>1.0205980132888574E-3</v>
      </c>
      <c r="T55" t="str">
        <f>chloroform!F60</f>
        <v>12C5</v>
      </c>
    </row>
    <row r="56" spans="11:20" x14ac:dyDescent="0.25">
      <c r="K56">
        <f>chloroform!E61</f>
        <v>197</v>
      </c>
      <c r="L56" s="4">
        <f>Table3[[#This Row],[weight]]*(0.9155*Table2[[#This Row],[J1,2]]-A$9)^2</f>
        <v>0</v>
      </c>
      <c r="M56" s="4">
        <f>Table3[[#This Row],[weight]]*(0.9155*Table2[[#This Row],[J2,3]]-B$9)^2</f>
        <v>0</v>
      </c>
      <c r="N56" s="4">
        <f>Table3[[#This Row],[weight]]*(0.9155*Table2[[#This Row],[J34]]-C$9)^2</f>
        <v>0</v>
      </c>
      <c r="O56" s="4">
        <f>Table3[[#This Row],[weight]]*(0.9155*Table2[[#This Row],[J45]]-D$9)^2</f>
        <v>0</v>
      </c>
      <c r="P56" s="4">
        <f>Table3[[#This Row],[weight]]*(0.9155*Table2[[#This Row],[J56]]-E$9)^2</f>
        <v>0</v>
      </c>
      <c r="Q56" s="4">
        <f>Table3[[#This Row],[weight]]*(0.9155*Table2[[#This Row],[J67]]-F$9)^2</f>
        <v>0</v>
      </c>
      <c r="R56" s="4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 s="4">
        <f>Table3[[#This Row],[weight]]*(0.9155*Table2[[#This Row],[J1,2]]-A$9)^2</f>
        <v>1.0660572153052448E-5</v>
      </c>
      <c r="M57" s="4">
        <f>Table3[[#This Row],[weight]]*(0.9155*Table2[[#This Row],[J2,3]]-B$9)^2</f>
        <v>1.0952335976351247E-3</v>
      </c>
      <c r="N57" s="4">
        <f>Table3[[#This Row],[weight]]*(0.9155*Table2[[#This Row],[J34]]-C$9)^2</f>
        <v>1.4246199004511397E-3</v>
      </c>
      <c r="O57" s="4">
        <f>Table3[[#This Row],[weight]]*(0.9155*Table2[[#This Row],[J45]]-D$9)^2</f>
        <v>8.0232952661223056E-4</v>
      </c>
      <c r="P57" s="4">
        <f>Table3[[#This Row],[weight]]*(0.9155*Table2[[#This Row],[J56]]-E$9)^2</f>
        <v>7.2862154137454192E-6</v>
      </c>
      <c r="Q57" s="4">
        <f>Table3[[#This Row],[weight]]*(0.9155*Table2[[#This Row],[J67]]-F$9)^2</f>
        <v>6.6013034380173004E-6</v>
      </c>
      <c r="R57" s="4">
        <f>Table3[[#This Row],[weight]]*(0.9155*Table2[[#This Row],[J67'']]-G$9)^2</f>
        <v>8.3900495525035936E-4</v>
      </c>
      <c r="S57">
        <f>chloroform!J62</f>
        <v>3.2391668310451144E-5</v>
      </c>
      <c r="T57" t="str">
        <f>chloroform!F62</f>
        <v>5C12</v>
      </c>
    </row>
    <row r="58" spans="11:20" x14ac:dyDescent="0.25">
      <c r="K58">
        <f>chloroform!E63</f>
        <v>212</v>
      </c>
      <c r="L58" s="4">
        <f>Table3[[#This Row],[weight]]*(0.9155*Table2[[#This Row],[J1,2]]-A$9)^2</f>
        <v>1.3069113264267727E-5</v>
      </c>
      <c r="M58" s="4">
        <f>Table3[[#This Row],[weight]]*(0.9155*Table2[[#This Row],[J2,3]]-B$9)^2</f>
        <v>4.0491901541709631E-4</v>
      </c>
      <c r="N58" s="4">
        <f>Table3[[#This Row],[weight]]*(0.9155*Table2[[#This Row],[J34]]-C$9)^2</f>
        <v>4.8451208109937133E-7</v>
      </c>
      <c r="O58" s="4">
        <f>Table3[[#This Row],[weight]]*(0.9155*Table2[[#This Row],[J45]]-D$9)^2</f>
        <v>6.9445465956756577E-4</v>
      </c>
      <c r="P58" s="4">
        <f>Table3[[#This Row],[weight]]*(0.9155*Table2[[#This Row],[J56]]-E$9)^2</f>
        <v>8.1790847093181854E-3</v>
      </c>
      <c r="Q58" s="4">
        <f>Table3[[#This Row],[weight]]*(0.9155*Table2[[#This Row],[J67]]-F$9)^2</f>
        <v>3.0940917491679377E-5</v>
      </c>
      <c r="R58" s="4">
        <f>Table3[[#This Row],[weight]]*(0.9155*Table2[[#This Row],[J67'']]-G$9)^2</f>
        <v>6.2912814227123375E-3</v>
      </c>
      <c r="S58">
        <f>chloroform!J63</f>
        <v>2.5021621641221084E-4</v>
      </c>
      <c r="T58" t="str">
        <f>chloroform!F63</f>
        <v>12C5</v>
      </c>
    </row>
    <row r="59" spans="11:20" x14ac:dyDescent="0.25">
      <c r="K59">
        <f>chloroform!E64</f>
        <v>215</v>
      </c>
      <c r="L59" s="4">
        <f>Table3[[#This Row],[weight]]*(0.9155*Table2[[#This Row],[J1,2]]-A$9)^2</f>
        <v>1.5844732780862712E-4</v>
      </c>
      <c r="M59" s="4">
        <f>Table3[[#This Row],[weight]]*(0.9155*Table2[[#This Row],[J2,3]]-B$9)^2</f>
        <v>1.9087597159944227E-3</v>
      </c>
      <c r="N59" s="4">
        <f>Table3[[#This Row],[weight]]*(0.9155*Table2[[#This Row],[J34]]-C$9)^2</f>
        <v>4.9028186128823243E-4</v>
      </c>
      <c r="O59" s="4">
        <f>Table3[[#This Row],[weight]]*(0.9155*Table2[[#This Row],[J45]]-D$9)^2</f>
        <v>2.5984079429137918E-3</v>
      </c>
      <c r="P59" s="4">
        <f>Table3[[#This Row],[weight]]*(0.9155*Table2[[#This Row],[J56]]-E$9)^2</f>
        <v>5.1704907104919401E-2</v>
      </c>
      <c r="Q59" s="4">
        <f>Table3[[#This Row],[weight]]*(0.9155*Table2[[#This Row],[J67]]-F$9)^2</f>
        <v>8.3192211380338818E-4</v>
      </c>
      <c r="R59" s="4">
        <f>Table3[[#This Row],[weight]]*(0.9155*Table2[[#This Row],[J67'']]-G$9)^2</f>
        <v>3.1203883241364996E-2</v>
      </c>
      <c r="S59">
        <f>chloroform!J64</f>
        <v>1.4063658816845204E-3</v>
      </c>
      <c r="T59" t="str">
        <f>chloroform!F64</f>
        <v>12C5</v>
      </c>
    </row>
    <row r="60" spans="11:20" x14ac:dyDescent="0.25">
      <c r="K60">
        <f>chloroform!E65</f>
        <v>219</v>
      </c>
      <c r="L60" s="4">
        <f>Table3[[#This Row],[weight]]*(0.9155*Table2[[#This Row],[J1,2]]-A$9)^2</f>
        <v>6.473200992531513E-5</v>
      </c>
      <c r="M60" s="4">
        <f>Table3[[#This Row],[weight]]*(0.9155*Table2[[#This Row],[J2,3]]-B$9)^2</f>
        <v>2.8421583291679786E-4</v>
      </c>
      <c r="N60" s="4">
        <f>Table3[[#This Row],[weight]]*(0.9155*Table2[[#This Row],[J34]]-C$9)^2</f>
        <v>9.969814168058164E-7</v>
      </c>
      <c r="O60" s="4">
        <f>Table3[[#This Row],[weight]]*(0.9155*Table2[[#This Row],[J45]]-D$9)^2</f>
        <v>5.0065226223873155E-6</v>
      </c>
      <c r="P60" s="4">
        <f>Table3[[#This Row],[weight]]*(0.9155*Table2[[#This Row],[J56]]-E$9)^2</f>
        <v>2.3150074351781999E-3</v>
      </c>
      <c r="Q60" s="4">
        <f>Table3[[#This Row],[weight]]*(0.9155*Table2[[#This Row],[J67]]-F$9)^2</f>
        <v>1.218464235427467E-4</v>
      </c>
      <c r="R60" s="4">
        <f>Table3[[#This Row],[weight]]*(0.9155*Table2[[#This Row],[J67'']]-G$9)^2</f>
        <v>1.8151391003371205E-3</v>
      </c>
      <c r="S60">
        <f>chloroform!J65</f>
        <v>7.7444052990598996E-5</v>
      </c>
      <c r="T60" t="str">
        <f>chloroform!F65</f>
        <v>12C5</v>
      </c>
    </row>
    <row r="61" spans="11:20" x14ac:dyDescent="0.25">
      <c r="K61">
        <f>chloroform!E66</f>
        <v>220</v>
      </c>
      <c r="L61" s="4">
        <f>Table3[[#This Row],[weight]]*(0.9155*Table2[[#This Row],[J1,2]]-A$9)^2</f>
        <v>0</v>
      </c>
      <c r="M61" s="4">
        <f>Table3[[#This Row],[weight]]*(0.9155*Table2[[#This Row],[J2,3]]-B$9)^2</f>
        <v>0</v>
      </c>
      <c r="N61" s="4">
        <f>Table3[[#This Row],[weight]]*(0.9155*Table2[[#This Row],[J34]]-C$9)^2</f>
        <v>0</v>
      </c>
      <c r="O61" s="4">
        <f>Table3[[#This Row],[weight]]*(0.9155*Table2[[#This Row],[J45]]-D$9)^2</f>
        <v>0</v>
      </c>
      <c r="P61" s="4">
        <f>Table3[[#This Row],[weight]]*(0.9155*Table2[[#This Row],[J56]]-E$9)^2</f>
        <v>0</v>
      </c>
      <c r="Q61" s="4">
        <f>Table3[[#This Row],[weight]]*(0.9155*Table2[[#This Row],[J67]]-F$9)^2</f>
        <v>0</v>
      </c>
      <c r="R61" s="4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 s="4">
        <f>Table3[[#This Row],[weight]]*(0.9155*Table2[[#This Row],[J1,2]]-A$9)^2</f>
        <v>1.7459715257220457E-4</v>
      </c>
      <c r="M62" s="4">
        <f>Table3[[#This Row],[weight]]*(0.9155*Table2[[#This Row],[J2,3]]-B$9)^2</f>
        <v>2.2676173686697401E-3</v>
      </c>
      <c r="N62" s="4">
        <f>Table3[[#This Row],[weight]]*(0.9155*Table2[[#This Row],[J34]]-C$9)^2</f>
        <v>1.5884399300483568E-4</v>
      </c>
      <c r="O62" s="4">
        <f>Table3[[#This Row],[weight]]*(0.9155*Table2[[#This Row],[J45]]-D$9)^2</f>
        <v>2.0635742162625685E-3</v>
      </c>
      <c r="P62" s="4">
        <f>Table3[[#This Row],[weight]]*(0.9155*Table2[[#This Row],[J56]]-E$9)^2</f>
        <v>3.8911004849435701E-2</v>
      </c>
      <c r="Q62" s="4">
        <f>Table3[[#This Row],[weight]]*(0.9155*Table2[[#This Row],[J67]]-F$9)^2</f>
        <v>1.0658364803883885E-3</v>
      </c>
      <c r="R62" s="4">
        <f>Table3[[#This Row],[weight]]*(0.9155*Table2[[#This Row],[J67'']]-G$9)^2</f>
        <v>2.9889810945482292E-2</v>
      </c>
      <c r="S62">
        <f>chloroform!J67</f>
        <v>1.1444734703283932E-3</v>
      </c>
      <c r="T62" t="str">
        <f>chloroform!F67</f>
        <v>12C5</v>
      </c>
    </row>
    <row r="63" spans="11:20" x14ac:dyDescent="0.25">
      <c r="K63">
        <f>chloroform!E68</f>
        <v>272</v>
      </c>
      <c r="L63" s="4">
        <f>Table3[[#This Row],[weight]]*(0.9155*Table2[[#This Row],[J1,2]]-A$9)^2</f>
        <v>6.2691853177273009E-4</v>
      </c>
      <c r="M63" s="4">
        <f>Table3[[#This Row],[weight]]*(0.9155*Table2[[#This Row],[J2,3]]-B$9)^2</f>
        <v>5.4909492121095983E-3</v>
      </c>
      <c r="N63" s="4">
        <f>Table3[[#This Row],[weight]]*(0.9155*Table2[[#This Row],[J34]]-C$9)^2</f>
        <v>1.7392877770795744E-2</v>
      </c>
      <c r="O63" s="4">
        <f>Table3[[#This Row],[weight]]*(0.9155*Table2[[#This Row],[J45]]-D$9)^2</f>
        <v>2.5792092711227309E-3</v>
      </c>
      <c r="P63" s="4">
        <f>Table3[[#This Row],[weight]]*(0.9155*Table2[[#This Row],[J56]]-E$9)^2</f>
        <v>2.4342775050953353E-4</v>
      </c>
      <c r="Q63" s="4">
        <f>Table3[[#This Row],[weight]]*(0.9155*Table2[[#This Row],[J67]]-F$9)^2</f>
        <v>7.9515003105778201E-6</v>
      </c>
      <c r="R63" s="4">
        <f>Table3[[#This Row],[weight]]*(0.9155*Table2[[#This Row],[J67'']]-G$9)^2</f>
        <v>3.2120126627402613E-3</v>
      </c>
      <c r="S63">
        <f>chloroform!J68</f>
        <v>2.0931650468068507E-4</v>
      </c>
      <c r="T63" t="str">
        <f>chloroform!F68</f>
        <v>5C12</v>
      </c>
    </row>
    <row r="64" spans="11:20" x14ac:dyDescent="0.25">
      <c r="K64">
        <f>chloroform!E69</f>
        <v>276</v>
      </c>
      <c r="L64" s="4">
        <f>Table3[[#This Row],[weight]]*(0.9155*Table2[[#This Row],[J1,2]]-A$9)^2</f>
        <v>2.5351954417253812E-5</v>
      </c>
      <c r="M64" s="4">
        <f>Table3[[#This Row],[weight]]*(0.9155*Table2[[#This Row],[J2,3]]-B$9)^2</f>
        <v>1.5793242450847203E-5</v>
      </c>
      <c r="N64" s="4">
        <f>Table3[[#This Row],[weight]]*(0.9155*Table2[[#This Row],[J34]]-C$9)^2</f>
        <v>4.7388921648518646E-4</v>
      </c>
      <c r="O64" s="4">
        <f>Table3[[#This Row],[weight]]*(0.9155*Table2[[#This Row],[J45]]-D$9)^2</f>
        <v>8.9787350702513324E-4</v>
      </c>
      <c r="P64" s="4">
        <f>Table3[[#This Row],[weight]]*(0.9155*Table2[[#This Row],[J56]]-E$9)^2</f>
        <v>2.2885373353020482E-5</v>
      </c>
      <c r="Q64" s="4">
        <f>Table3[[#This Row],[weight]]*(0.9155*Table2[[#This Row],[J67]]-F$9)^2</f>
        <v>4.5609107869686009E-7</v>
      </c>
      <c r="R64" s="4">
        <f>Table3[[#This Row],[weight]]*(0.9155*Table2[[#This Row],[J67'']]-G$9)^2</f>
        <v>5.2047581347787627E-4</v>
      </c>
      <c r="S64">
        <f>chloroform!J69</f>
        <v>3.6497613817224059E-5</v>
      </c>
      <c r="T64" t="str">
        <f>chloroform!F69</f>
        <v>4H6</v>
      </c>
    </row>
    <row r="65" spans="11:20" x14ac:dyDescent="0.25">
      <c r="K65">
        <f>chloroform!E70</f>
        <v>278</v>
      </c>
      <c r="L65" s="4">
        <f>Table3[[#This Row],[weight]]*(0.9155*Table2[[#This Row],[J1,2]]-A$9)^2</f>
        <v>0</v>
      </c>
      <c r="M65" s="4">
        <f>Table3[[#This Row],[weight]]*(0.9155*Table2[[#This Row],[J2,3]]-B$9)^2</f>
        <v>0</v>
      </c>
      <c r="N65" s="4">
        <f>Table3[[#This Row],[weight]]*(0.9155*Table2[[#This Row],[J34]]-C$9)^2</f>
        <v>0</v>
      </c>
      <c r="O65" s="4">
        <f>Table3[[#This Row],[weight]]*(0.9155*Table2[[#This Row],[J45]]-D$9)^2</f>
        <v>0</v>
      </c>
      <c r="P65" s="4">
        <f>Table3[[#This Row],[weight]]*(0.9155*Table2[[#This Row],[J56]]-E$9)^2</f>
        <v>0</v>
      </c>
      <c r="Q65" s="4">
        <f>Table3[[#This Row],[weight]]*(0.9155*Table2[[#This Row],[J67]]-F$9)^2</f>
        <v>0</v>
      </c>
      <c r="R65" s="4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 s="4">
        <f>Table3[[#This Row],[weight]]*(0.9155*Table2[[#This Row],[J1,2]]-A$9)^2</f>
        <v>1.9605322934234499E-4</v>
      </c>
      <c r="M66" s="4">
        <f>Table3[[#This Row],[weight]]*(0.9155*Table2[[#This Row],[J2,3]]-B$9)^2</f>
        <v>2.0340283484417405E-3</v>
      </c>
      <c r="N66" s="4">
        <f>Table3[[#This Row],[weight]]*(0.9155*Table2[[#This Row],[J34]]-C$9)^2</f>
        <v>4.5489738693242484E-3</v>
      </c>
      <c r="O66" s="4">
        <f>Table3[[#This Row],[weight]]*(0.9155*Table2[[#This Row],[J45]]-D$9)^2</f>
        <v>7.8879560516454447E-4</v>
      </c>
      <c r="P66" s="4">
        <f>Table3[[#This Row],[weight]]*(0.9155*Table2[[#This Row],[J56]]-E$9)^2</f>
        <v>4.1940918161812891E-5</v>
      </c>
      <c r="Q66" s="4">
        <f>Table3[[#This Row],[weight]]*(0.9155*Table2[[#This Row],[J67]]-F$9)^2</f>
        <v>4.7978274320108856E-3</v>
      </c>
      <c r="R66" s="4">
        <f>Table3[[#This Row],[weight]]*(0.9155*Table2[[#This Row],[J67'']]-G$9)^2</f>
        <v>7.7604933331328334E-4</v>
      </c>
      <c r="S66">
        <f>chloroform!J71</f>
        <v>7.1608732171488852E-5</v>
      </c>
      <c r="T66" t="str">
        <f>chloroform!F71</f>
        <v>5C12</v>
      </c>
    </row>
    <row r="67" spans="11:20" x14ac:dyDescent="0.25">
      <c r="K67">
        <f>chloroform!E72</f>
        <v>290</v>
      </c>
      <c r="L67" s="4">
        <f>Table3[[#This Row],[weight]]*(0.9155*Table2[[#This Row],[J1,2]]-A$9)^2</f>
        <v>0</v>
      </c>
      <c r="M67" s="4">
        <f>Table3[[#This Row],[weight]]*(0.9155*Table2[[#This Row],[J2,3]]-B$9)^2</f>
        <v>0</v>
      </c>
      <c r="N67" s="4">
        <f>Table3[[#This Row],[weight]]*(0.9155*Table2[[#This Row],[J34]]-C$9)^2</f>
        <v>0</v>
      </c>
      <c r="O67" s="4">
        <f>Table3[[#This Row],[weight]]*(0.9155*Table2[[#This Row],[J45]]-D$9)^2</f>
        <v>0</v>
      </c>
      <c r="P67" s="4">
        <f>Table3[[#This Row],[weight]]*(0.9155*Table2[[#This Row],[J56]]-E$9)^2</f>
        <v>0</v>
      </c>
      <c r="Q67" s="4">
        <f>Table3[[#This Row],[weight]]*(0.9155*Table2[[#This Row],[J67]]-F$9)^2</f>
        <v>0</v>
      </c>
      <c r="R67" s="4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 s="4">
        <f>Table3[[#This Row],[weight]]*(0.9155*Table2[[#This Row],[J1,2]]-A$9)^2</f>
        <v>0</v>
      </c>
      <c r="M68" s="4">
        <f>Table3[[#This Row],[weight]]*(0.9155*Table2[[#This Row],[J2,3]]-B$9)^2</f>
        <v>0</v>
      </c>
      <c r="N68" s="4">
        <f>Table3[[#This Row],[weight]]*(0.9155*Table2[[#This Row],[J34]]-C$9)^2</f>
        <v>0</v>
      </c>
      <c r="O68" s="4">
        <f>Table3[[#This Row],[weight]]*(0.9155*Table2[[#This Row],[J45]]-D$9)^2</f>
        <v>0</v>
      </c>
      <c r="P68" s="4">
        <f>Table3[[#This Row],[weight]]*(0.9155*Table2[[#This Row],[J56]]-E$9)^2</f>
        <v>0</v>
      </c>
      <c r="Q68" s="4">
        <f>Table3[[#This Row],[weight]]*(0.9155*Table2[[#This Row],[J67]]-F$9)^2</f>
        <v>0</v>
      </c>
      <c r="R68" s="4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 s="4">
        <f>Table3[[#This Row],[weight]]*(0.9155*Table2[[#This Row],[J1,2]]-A$9)^2</f>
        <v>3.1200542073243219E-5</v>
      </c>
      <c r="M69" s="4">
        <f>Table3[[#This Row],[weight]]*(0.9155*Table2[[#This Row],[J2,3]]-B$9)^2</f>
        <v>2.7805894474042034E-5</v>
      </c>
      <c r="N69" s="4">
        <f>Table3[[#This Row],[weight]]*(0.9155*Table2[[#This Row],[J34]]-C$9)^2</f>
        <v>4.5794354227632431E-4</v>
      </c>
      <c r="O69" s="4">
        <f>Table3[[#This Row],[weight]]*(0.9155*Table2[[#This Row],[J45]]-D$9)^2</f>
        <v>7.6227287584625157E-4</v>
      </c>
      <c r="P69" s="4">
        <f>Table3[[#This Row],[weight]]*(0.9155*Table2[[#This Row],[J56]]-E$9)^2</f>
        <v>4.2281151533642497E-5</v>
      </c>
      <c r="Q69" s="4">
        <f>Table3[[#This Row],[weight]]*(0.9155*Table2[[#This Row],[J67]]-F$9)^2</f>
        <v>2.6821436511735567E-5</v>
      </c>
      <c r="R69" s="4">
        <f>Table3[[#This Row],[weight]]*(0.9155*Table2[[#This Row],[J67'']]-G$9)^2</f>
        <v>8.1275178464311427E-4</v>
      </c>
      <c r="S69">
        <f>chloroform!J74</f>
        <v>3.4860906506056372E-5</v>
      </c>
      <c r="T69" t="str">
        <f>chloroform!F74</f>
        <v>4H6</v>
      </c>
    </row>
    <row r="70" spans="11:20" x14ac:dyDescent="0.25">
      <c r="K70">
        <f>chloroform!E75</f>
        <v>396</v>
      </c>
      <c r="L70" s="4">
        <f>Table3[[#This Row],[weight]]*(0.9155*Table2[[#This Row],[J1,2]]-A$9)^2</f>
        <v>0</v>
      </c>
      <c r="M70" s="4">
        <f>Table3[[#This Row],[weight]]*(0.9155*Table2[[#This Row],[J2,3]]-B$9)^2</f>
        <v>0</v>
      </c>
      <c r="N70" s="4">
        <f>Table3[[#This Row],[weight]]*(0.9155*Table2[[#This Row],[J34]]-C$9)^2</f>
        <v>0</v>
      </c>
      <c r="O70" s="4">
        <f>Table3[[#This Row],[weight]]*(0.9155*Table2[[#This Row],[J45]]-D$9)^2</f>
        <v>0</v>
      </c>
      <c r="P70" s="4">
        <f>Table3[[#This Row],[weight]]*(0.9155*Table2[[#This Row],[J56]]-E$9)^2</f>
        <v>0</v>
      </c>
      <c r="Q70" s="4">
        <f>Table3[[#This Row],[weight]]*(0.9155*Table2[[#This Row],[J67]]-F$9)^2</f>
        <v>0</v>
      </c>
      <c r="R70" s="4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conditionalFormatting sqref="T1:T1048576">
    <cfRule type="cellIs" dxfId="7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workbookViewId="0">
      <selection activeCell="B15" sqref="B15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122</v>
      </c>
      <c r="C7" t="s">
        <v>17</v>
      </c>
      <c r="D7" t="s">
        <v>19</v>
      </c>
    </row>
    <row r="8" spans="1:14" x14ac:dyDescent="0.25">
      <c r="A8" t="s">
        <v>94</v>
      </c>
      <c r="B8">
        <f>'45TH'!B5</f>
        <v>8.499987459403906</v>
      </c>
      <c r="C8">
        <f>halfchair!B5</f>
        <v>7.859005551741113</v>
      </c>
      <c r="D8">
        <f>chair!B5</f>
        <v>2.7715861259013681</v>
      </c>
      <c r="F8" t="s">
        <v>94</v>
      </c>
    </row>
    <row r="9" spans="1:14" x14ac:dyDescent="0.25">
      <c r="A9" t="s">
        <v>69</v>
      </c>
      <c r="B9">
        <f>'45TH'!C5</f>
        <v>1.9976812454925548</v>
      </c>
      <c r="C9">
        <f>halfchair!C5</f>
        <v>5.5357154601088059</v>
      </c>
      <c r="D9">
        <f>chair!$C5</f>
        <v>8.6611184254919511</v>
      </c>
      <c r="F9" t="s">
        <v>69</v>
      </c>
      <c r="M9" t="s">
        <v>17</v>
      </c>
      <c r="N9" s="7">
        <v>0.55710000000000004</v>
      </c>
    </row>
    <row r="10" spans="1:14" x14ac:dyDescent="0.25">
      <c r="A10" t="s">
        <v>70</v>
      </c>
      <c r="B10">
        <f>'45TH'!D5</f>
        <v>5.8772586652566172</v>
      </c>
      <c r="C10">
        <f>halfchair!D5</f>
        <v>0.54045730600900632</v>
      </c>
      <c r="D10">
        <f>chair!$D5</f>
        <v>10.386196658751766</v>
      </c>
      <c r="F10" t="s">
        <v>70</v>
      </c>
      <c r="M10" t="s">
        <v>19</v>
      </c>
      <c r="N10" s="8">
        <v>0.31740000000000002</v>
      </c>
    </row>
    <row r="11" spans="1:14" x14ac:dyDescent="0.25">
      <c r="A11" t="s">
        <v>71</v>
      </c>
      <c r="B11">
        <f>'45TH'!E5</f>
        <v>9.0525144909910296</v>
      </c>
      <c r="C11">
        <f>halfchair!E5</f>
        <v>10.945594608717762</v>
      </c>
      <c r="D11">
        <f>chair!$E5</f>
        <v>9.4377606968730667</v>
      </c>
      <c r="F11" t="s">
        <v>71</v>
      </c>
      <c r="M11" t="s">
        <v>122</v>
      </c>
      <c r="N11" s="7">
        <v>0.1255</v>
      </c>
    </row>
    <row r="14" spans="1:14" x14ac:dyDescent="0.25">
      <c r="A14" t="s">
        <v>95</v>
      </c>
    </row>
    <row r="15" spans="1:14" x14ac:dyDescent="0.25">
      <c r="B15" t="s">
        <v>122</v>
      </c>
      <c r="C15" t="s">
        <v>17</v>
      </c>
      <c r="D15" t="s">
        <v>19</v>
      </c>
    </row>
    <row r="16" spans="1:14" x14ac:dyDescent="0.25">
      <c r="A16" t="s">
        <v>94</v>
      </c>
      <c r="B16">
        <f>'45TH'!B13</f>
        <v>0.23519189437202803</v>
      </c>
      <c r="C16">
        <f>halfchair!B13</f>
        <v>0.23181350480064961</v>
      </c>
      <c r="D16">
        <f>chair!B13</f>
        <v>0.38261342570402312</v>
      </c>
      <c r="G16">
        <f t="shared" ref="G16:I19" si="0">(B16/B8)^2</f>
        <v>7.656109397769042E-4</v>
      </c>
      <c r="H16">
        <f t="shared" si="0"/>
        <v>8.700461210612272E-4</v>
      </c>
      <c r="I16">
        <f t="shared" si="0"/>
        <v>1.9057400147152403E-2</v>
      </c>
    </row>
    <row r="17" spans="1:9" x14ac:dyDescent="0.25">
      <c r="A17" t="s">
        <v>69</v>
      </c>
      <c r="B17">
        <f>'45TH'!C13</f>
        <v>0.22019244763482362</v>
      </c>
      <c r="C17">
        <f>halfchair!C13</f>
        <v>0.3225151813704254</v>
      </c>
      <c r="D17">
        <f>chair!$C13</f>
        <v>1.0212929656929941</v>
      </c>
      <c r="G17">
        <f t="shared" si="0"/>
        <v>1.2149333490051302E-2</v>
      </c>
      <c r="H17">
        <f t="shared" si="0"/>
        <v>3.3943201871072695E-3</v>
      </c>
      <c r="I17">
        <f t="shared" si="0"/>
        <v>1.3904415194406855E-2</v>
      </c>
    </row>
    <row r="18" spans="1:9" x14ac:dyDescent="0.25">
      <c r="A18" t="s">
        <v>70</v>
      </c>
      <c r="B18">
        <f>'45TH'!D13</f>
        <v>0.46224459897323467</v>
      </c>
      <c r="C18">
        <f>halfchair!D13</f>
        <v>0.20436149581981702</v>
      </c>
      <c r="D18">
        <f>chair!$D13</f>
        <v>0.3485223090932284</v>
      </c>
      <c r="G18">
        <f t="shared" si="0"/>
        <v>6.1857744570761276E-3</v>
      </c>
      <c r="H18">
        <f t="shared" si="0"/>
        <v>0.14298002263057744</v>
      </c>
      <c r="I18">
        <f t="shared" si="0"/>
        <v>1.126025128522018E-3</v>
      </c>
    </row>
    <row r="19" spans="1:9" x14ac:dyDescent="0.25">
      <c r="A19" t="s">
        <v>71</v>
      </c>
      <c r="B19">
        <f>'45TH'!E13</f>
        <v>0.36766291658710737</v>
      </c>
      <c r="C19">
        <f>halfchair!E13</f>
        <v>0.21821077795230318</v>
      </c>
      <c r="D19">
        <f>chair!$E13</f>
        <v>0.40103706492624641</v>
      </c>
      <c r="G19">
        <f t="shared" si="0"/>
        <v>1.6495337230459713E-3</v>
      </c>
      <c r="H19">
        <f t="shared" si="0"/>
        <v>3.9744192431881176E-4</v>
      </c>
      <c r="I19">
        <f t="shared" si="0"/>
        <v>1.8056397374232886E-3</v>
      </c>
    </row>
    <row r="22" spans="1:9" x14ac:dyDescent="0.25">
      <c r="H22">
        <f>SQRT(SUM(G16:I19))</f>
        <v>0.4519796053811716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45TH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2021-09-23T12:37:17Z</dcterms:modified>
</cp:coreProperties>
</file>