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eb\Desktop\oxepine-xyzs\glcox\"/>
    </mc:Choice>
  </mc:AlternateContent>
  <xr:revisionPtr revIDLastSave="0" documentId="13_ncr:1_{C5657751-1A7A-40B4-A72A-914E8117F4DD}" xr6:coauthVersionLast="47" xr6:coauthVersionMax="47" xr10:uidLastSave="{00000000-0000-0000-0000-000000000000}"/>
  <bookViews>
    <workbookView xWindow="-120" yWindow="-120" windowWidth="29040" windowHeight="15840" activeTab="5" xr2:uid="{4259C506-C026-40AB-9C6F-B79AF468AC2E}"/>
  </bookViews>
  <sheets>
    <sheet name="chloroform" sheetId="1" r:id="rId1"/>
    <sheet name="js-chloroform" sheetId="2" r:id="rId2"/>
    <sheet name="chair" sheetId="3" r:id="rId3"/>
    <sheet name="halfchair" sheetId="4" r:id="rId4"/>
    <sheet name="6H4" sheetId="5" r:id="rId5"/>
    <sheet name="Sheet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1" l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" i="1"/>
  <c r="K30" i="1" l="1"/>
  <c r="K9" i="1"/>
  <c r="K16" i="1"/>
  <c r="K17" i="1"/>
  <c r="K12" i="1"/>
  <c r="K19" i="1"/>
  <c r="K25" i="1"/>
  <c r="K37" i="1"/>
  <c r="K31" i="1"/>
  <c r="K13" i="1"/>
  <c r="K29" i="1"/>
  <c r="K8" i="1"/>
  <c r="K39" i="1"/>
  <c r="K43" i="1"/>
  <c r="K7" i="1"/>
  <c r="K15" i="1"/>
  <c r="K33" i="1"/>
  <c r="K47" i="1"/>
  <c r="K53" i="1"/>
  <c r="K24" i="1"/>
  <c r="K11" i="1"/>
  <c r="K51" i="1"/>
  <c r="K36" i="1"/>
  <c r="K18" i="1"/>
  <c r="K57" i="1"/>
  <c r="K27" i="1"/>
  <c r="K48" i="1"/>
  <c r="K52" i="1"/>
  <c r="K64" i="1"/>
  <c r="K34" i="1"/>
  <c r="K67" i="1"/>
  <c r="K60" i="1"/>
  <c r="K26" i="1"/>
  <c r="K28" i="1"/>
  <c r="K23" i="1"/>
  <c r="K50" i="1"/>
  <c r="K21" i="1"/>
  <c r="K58" i="1"/>
  <c r="K56" i="1"/>
  <c r="K63" i="1"/>
  <c r="K54" i="1"/>
  <c r="K68" i="1"/>
  <c r="K55" i="1"/>
  <c r="K38" i="1"/>
  <c r="K40" i="1"/>
  <c r="K59" i="1"/>
  <c r="K35" i="1"/>
  <c r="K71" i="1"/>
  <c r="K65" i="1"/>
  <c r="K20" i="1"/>
  <c r="K62" i="1"/>
  <c r="K69" i="1"/>
  <c r="K74" i="1"/>
  <c r="K70" i="1"/>
  <c r="K22" i="1"/>
  <c r="K46" i="1"/>
  <c r="K73" i="1"/>
  <c r="K75" i="1"/>
  <c r="K42" i="1"/>
  <c r="K32" i="1"/>
  <c r="K45" i="1"/>
  <c r="K61" i="1"/>
  <c r="K72" i="1"/>
  <c r="K41" i="1"/>
  <c r="K66" i="1"/>
  <c r="K14" i="1"/>
  <c r="K49" i="1"/>
  <c r="K44" i="1"/>
  <c r="K10" i="1"/>
  <c r="K70" i="5" l="1"/>
  <c r="T70" i="5"/>
  <c r="K70" i="4"/>
  <c r="T70" i="4"/>
  <c r="K70" i="3"/>
  <c r="T70" i="3"/>
  <c r="K68" i="3"/>
  <c r="K69" i="3"/>
  <c r="T68" i="3"/>
  <c r="T69" i="3"/>
  <c r="K68" i="4"/>
  <c r="K69" i="4"/>
  <c r="T68" i="4"/>
  <c r="T69" i="4"/>
  <c r="K68" i="5"/>
  <c r="T68" i="5"/>
  <c r="K69" i="5"/>
  <c r="T69" i="5"/>
  <c r="T3" i="5" l="1"/>
  <c r="T4" i="5"/>
  <c r="T5" i="5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2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2" i="5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2" i="5"/>
  <c r="T3" i="4"/>
  <c r="T4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2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2" i="4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2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2" i="3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2" i="2" l="1"/>
  <c r="B31" i="1"/>
  <c r="B27" i="1"/>
  <c r="B21" i="1"/>
  <c r="B72" i="1"/>
  <c r="B73" i="1"/>
  <c r="B74" i="1"/>
  <c r="B75" i="1"/>
  <c r="M14" i="1" l="1"/>
  <c r="M12" i="1"/>
  <c r="M13" i="1"/>
  <c r="B69" i="1" l="1"/>
  <c r="B70" i="1"/>
  <c r="B71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2" i="1"/>
  <c r="B23" i="1"/>
  <c r="B24" i="1"/>
  <c r="B25" i="1"/>
  <c r="B26" i="1"/>
  <c r="B28" i="1"/>
  <c r="B29" i="1"/>
  <c r="B30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60" i="1"/>
  <c r="B59" i="1"/>
  <c r="B63" i="1"/>
  <c r="B55" i="1"/>
  <c r="B58" i="1"/>
  <c r="B57" i="1"/>
  <c r="B67" i="1"/>
  <c r="B65" i="1"/>
  <c r="B61" i="1"/>
  <c r="B66" i="1"/>
  <c r="B68" i="1"/>
  <c r="B62" i="1"/>
  <c r="B64" i="1"/>
  <c r="B56" i="1"/>
  <c r="C7" i="1" l="1"/>
  <c r="C9" i="1"/>
  <c r="C31" i="1"/>
  <c r="H31" i="1" s="1"/>
  <c r="I31" i="1" s="1"/>
  <c r="C27" i="1"/>
  <c r="H27" i="1" s="1"/>
  <c r="C21" i="1"/>
  <c r="H21" i="1" s="1"/>
  <c r="C73" i="1"/>
  <c r="H73" i="1" s="1"/>
  <c r="C75" i="1"/>
  <c r="H75" i="1" s="1"/>
  <c r="C74" i="1"/>
  <c r="H74" i="1" s="1"/>
  <c r="C72" i="1"/>
  <c r="H72" i="1" s="1"/>
  <c r="C71" i="1"/>
  <c r="H71" i="1" s="1"/>
  <c r="C69" i="1"/>
  <c r="H69" i="1" s="1"/>
  <c r="C70" i="1"/>
  <c r="H70" i="1" s="1"/>
  <c r="C68" i="1"/>
  <c r="C65" i="1"/>
  <c r="C47" i="1"/>
  <c r="C60" i="1"/>
  <c r="C19" i="1"/>
  <c r="C58" i="1"/>
  <c r="C44" i="1"/>
  <c r="C11" i="1"/>
  <c r="C61" i="1"/>
  <c r="C24" i="1"/>
  <c r="C43" i="1"/>
  <c r="C36" i="1"/>
  <c r="C35" i="1"/>
  <c r="C62" i="1"/>
  <c r="C51" i="1"/>
  <c r="C8" i="1"/>
  <c r="C48" i="1"/>
  <c r="C40" i="1"/>
  <c r="C64" i="1"/>
  <c r="C28" i="1"/>
  <c r="C15" i="1"/>
  <c r="C54" i="1"/>
  <c r="C52" i="1"/>
  <c r="C29" i="1"/>
  <c r="C55" i="1"/>
  <c r="C67" i="1"/>
  <c r="C46" i="1"/>
  <c r="C38" i="1"/>
  <c r="C22" i="1"/>
  <c r="C13" i="1"/>
  <c r="C39" i="1"/>
  <c r="C32" i="1"/>
  <c r="C23" i="1"/>
  <c r="C14" i="1"/>
  <c r="C56" i="1"/>
  <c r="C57" i="1"/>
  <c r="C53" i="1"/>
  <c r="C45" i="1"/>
  <c r="C37" i="1"/>
  <c r="C30" i="1"/>
  <c r="C20" i="1"/>
  <c r="C12" i="1"/>
  <c r="C18" i="1"/>
  <c r="C63" i="1"/>
  <c r="C50" i="1"/>
  <c r="C42" i="1"/>
  <c r="C34" i="1"/>
  <c r="C26" i="1"/>
  <c r="C17" i="1"/>
  <c r="C10" i="1"/>
  <c r="C66" i="1"/>
  <c r="C59" i="1"/>
  <c r="C49" i="1"/>
  <c r="C41" i="1"/>
  <c r="C33" i="1"/>
  <c r="C25" i="1"/>
  <c r="C16" i="1"/>
  <c r="G1" i="5"/>
  <c r="G1" i="4"/>
  <c r="G1" i="3"/>
  <c r="I27" i="1" l="1"/>
  <c r="I21" i="1"/>
  <c r="J75" i="1"/>
  <c r="I75" i="1"/>
  <c r="I72" i="1"/>
  <c r="J72" i="1"/>
  <c r="J74" i="1"/>
  <c r="I74" i="1"/>
  <c r="I73" i="1"/>
  <c r="J73" i="1"/>
  <c r="I70" i="1"/>
  <c r="I69" i="1"/>
  <c r="I71" i="1"/>
  <c r="M8" i="1"/>
  <c r="M9" i="1"/>
  <c r="M10" i="1"/>
  <c r="M11" i="1"/>
  <c r="M7" i="1"/>
  <c r="AB15" i="2" l="1"/>
  <c r="AB14" i="2" l="1"/>
  <c r="AA8" i="2"/>
  <c r="AA9" i="2"/>
  <c r="AA10" i="2"/>
  <c r="AA11" i="2"/>
  <c r="AA12" i="2"/>
  <c r="AA13" i="2"/>
  <c r="AA7" i="2"/>
  <c r="AA15" i="2" l="1"/>
  <c r="AA14" i="2"/>
  <c r="H11" i="1" l="1"/>
  <c r="I11" i="1" s="1"/>
  <c r="H7" i="1"/>
  <c r="I7" i="1" s="1"/>
  <c r="H32" i="1"/>
  <c r="I32" i="1" s="1"/>
  <c r="H24" i="1"/>
  <c r="I24" i="1" s="1"/>
  <c r="H20" i="1" l="1"/>
  <c r="I20" i="1" s="1"/>
  <c r="H23" i="1"/>
  <c r="I23" i="1" s="1"/>
  <c r="H42" i="1"/>
  <c r="H30" i="1"/>
  <c r="I30" i="1" s="1"/>
  <c r="H35" i="1"/>
  <c r="I35" i="1" s="1"/>
  <c r="I42" i="1" l="1"/>
  <c r="H10" i="1"/>
  <c r="H46" i="1"/>
  <c r="H38" i="1"/>
  <c r="H8" i="1"/>
  <c r="I8" i="1" s="1"/>
  <c r="I46" i="1" l="1"/>
  <c r="I38" i="1"/>
  <c r="H37" i="1"/>
  <c r="H51" i="1"/>
  <c r="H39" i="1"/>
  <c r="H15" i="1"/>
  <c r="H14" i="1"/>
  <c r="I10" i="1"/>
  <c r="H36" i="1" l="1"/>
  <c r="H18" i="1"/>
  <c r="I39" i="1"/>
  <c r="I51" i="1"/>
  <c r="H29" i="1"/>
  <c r="H48" i="1"/>
  <c r="I14" i="1"/>
  <c r="I37" i="1"/>
  <c r="H47" i="1"/>
  <c r="I15" i="1"/>
  <c r="H9" i="1" l="1"/>
  <c r="I48" i="1"/>
  <c r="I18" i="1"/>
  <c r="H25" i="1"/>
  <c r="H40" i="1"/>
  <c r="I47" i="1"/>
  <c r="I29" i="1"/>
  <c r="H33" i="1"/>
  <c r="I36" i="1"/>
  <c r="H44" i="1" l="1"/>
  <c r="I25" i="1"/>
  <c r="H43" i="1"/>
  <c r="H41" i="1"/>
  <c r="H16" i="1"/>
  <c r="H12" i="1"/>
  <c r="I33" i="1"/>
  <c r="I40" i="1"/>
  <c r="I9" i="1"/>
  <c r="H13" i="1" l="1"/>
  <c r="H19" i="1"/>
  <c r="I12" i="1"/>
  <c r="I43" i="1"/>
  <c r="H26" i="1"/>
  <c r="I16" i="1"/>
  <c r="H49" i="1"/>
  <c r="H28" i="1"/>
  <c r="I41" i="1"/>
  <c r="I44" i="1"/>
  <c r="P14" i="1" l="1"/>
  <c r="H34" i="1"/>
  <c r="H45" i="1"/>
  <c r="I49" i="1"/>
  <c r="H22" i="1"/>
  <c r="P13" i="1" s="1"/>
  <c r="I28" i="1"/>
  <c r="I19" i="1"/>
  <c r="H17" i="1"/>
  <c r="H50" i="1"/>
  <c r="I26" i="1"/>
  <c r="I13" i="1"/>
  <c r="P12" i="1" l="1"/>
  <c r="H54" i="1"/>
  <c r="I22" i="1"/>
  <c r="I50" i="1"/>
  <c r="H52" i="1"/>
  <c r="I17" i="1"/>
  <c r="H60" i="1"/>
  <c r="H53" i="1"/>
  <c r="I45" i="1"/>
  <c r="I34" i="1"/>
  <c r="H57" i="1" l="1"/>
  <c r="H68" i="1"/>
  <c r="P10" i="1" s="1"/>
  <c r="H63" i="1"/>
  <c r="I53" i="1"/>
  <c r="I60" i="1"/>
  <c r="H55" i="1"/>
  <c r="H59" i="1"/>
  <c r="H58" i="1"/>
  <c r="H66" i="1"/>
  <c r="I52" i="1"/>
  <c r="I54" i="1"/>
  <c r="I66" i="1" l="1"/>
  <c r="I58" i="1"/>
  <c r="H65" i="1"/>
  <c r="H64" i="1"/>
  <c r="I59" i="1"/>
  <c r="I63" i="1"/>
  <c r="H62" i="1"/>
  <c r="H67" i="1"/>
  <c r="I68" i="1"/>
  <c r="H61" i="1"/>
  <c r="P7" i="1" s="1"/>
  <c r="H56" i="1"/>
  <c r="P8" i="1" s="1"/>
  <c r="I55" i="1"/>
  <c r="I57" i="1"/>
  <c r="P11" i="1" l="1"/>
  <c r="P9" i="1"/>
  <c r="I56" i="1"/>
  <c r="F2" i="1"/>
  <c r="I64" i="1"/>
  <c r="I61" i="1"/>
  <c r="I65" i="1"/>
  <c r="I67" i="1"/>
  <c r="I62" i="1"/>
  <c r="J31" i="1" l="1"/>
  <c r="J21" i="1"/>
  <c r="J27" i="1"/>
  <c r="J70" i="1"/>
  <c r="J69" i="1"/>
  <c r="J64" i="1"/>
  <c r="J71" i="1"/>
  <c r="J67" i="1"/>
  <c r="J65" i="1"/>
  <c r="J68" i="1"/>
  <c r="J52" i="1"/>
  <c r="J66" i="1"/>
  <c r="J56" i="1"/>
  <c r="J62" i="1"/>
  <c r="J61" i="1"/>
  <c r="J7" i="1"/>
  <c r="J11" i="1"/>
  <c r="J39" i="1"/>
  <c r="J15" i="1"/>
  <c r="J29" i="1"/>
  <c r="J12" i="1"/>
  <c r="J44" i="1"/>
  <c r="J49" i="1"/>
  <c r="J13" i="1"/>
  <c r="J19" i="1"/>
  <c r="J45" i="1"/>
  <c r="J22" i="1"/>
  <c r="J58" i="1"/>
  <c r="J55" i="1"/>
  <c r="J63" i="1"/>
  <c r="J30" i="1"/>
  <c r="J35" i="1"/>
  <c r="J20" i="1"/>
  <c r="J42" i="1"/>
  <c r="J23" i="1"/>
  <c r="J32" i="1"/>
  <c r="J8" i="1"/>
  <c r="J24" i="1"/>
  <c r="J10" i="1"/>
  <c r="J38" i="1"/>
  <c r="J46" i="1"/>
  <c r="J51" i="1"/>
  <c r="J37" i="1"/>
  <c r="J14" i="1"/>
  <c r="J18" i="1"/>
  <c r="J9" i="1"/>
  <c r="J47" i="1"/>
  <c r="J40" i="1"/>
  <c r="J48" i="1"/>
  <c r="J36" i="1"/>
  <c r="J33" i="1"/>
  <c r="J25" i="1"/>
  <c r="J41" i="1"/>
  <c r="J16" i="1"/>
  <c r="J43" i="1"/>
  <c r="J28" i="1"/>
  <c r="J26" i="1"/>
  <c r="J50" i="1"/>
  <c r="J17" i="1"/>
  <c r="J34" i="1"/>
  <c r="J60" i="1"/>
  <c r="J54" i="1"/>
  <c r="J53" i="1"/>
  <c r="J59" i="1"/>
  <c r="J57" i="1"/>
  <c r="O7" i="1" l="1"/>
  <c r="S59" i="4"/>
  <c r="S59" i="5"/>
  <c r="S59" i="3"/>
  <c r="J59" i="2"/>
  <c r="S65" i="3"/>
  <c r="S65" i="4"/>
  <c r="S65" i="5"/>
  <c r="J65" i="2"/>
  <c r="S55" i="3"/>
  <c r="J55" i="2"/>
  <c r="S55" i="4"/>
  <c r="S55" i="5"/>
  <c r="S60" i="3"/>
  <c r="S60" i="4"/>
  <c r="J60" i="2"/>
  <c r="M60" i="2" s="1"/>
  <c r="S60" i="5"/>
  <c r="S2" i="4"/>
  <c r="S2" i="5"/>
  <c r="S2" i="3"/>
  <c r="S48" i="5"/>
  <c r="S48" i="3"/>
  <c r="J48" i="2"/>
  <c r="T48" i="2" s="1"/>
  <c r="S48" i="4"/>
  <c r="S36" i="3"/>
  <c r="S36" i="4"/>
  <c r="S36" i="5"/>
  <c r="J36" i="2"/>
  <c r="S47" i="3"/>
  <c r="J47" i="2"/>
  <c r="T47" i="2" s="1"/>
  <c r="S47" i="4"/>
  <c r="S47" i="5"/>
  <c r="J46" i="2"/>
  <c r="S46" i="3"/>
  <c r="S46" i="4"/>
  <c r="S46" i="5"/>
  <c r="S49" i="5"/>
  <c r="S49" i="3"/>
  <c r="S49" i="4"/>
  <c r="J49" i="2"/>
  <c r="O49" i="2" s="1"/>
  <c r="S12" i="3"/>
  <c r="S12" i="4"/>
  <c r="S12" i="5"/>
  <c r="J12" i="2"/>
  <c r="Q12" i="2" s="1"/>
  <c r="S17" i="5"/>
  <c r="S17" i="3"/>
  <c r="S17" i="4"/>
  <c r="J17" i="2"/>
  <c r="Q17" i="2" s="1"/>
  <c r="S33" i="5"/>
  <c r="S33" i="3"/>
  <c r="S33" i="4"/>
  <c r="J33" i="2"/>
  <c r="O33" i="2" s="1"/>
  <c r="S3" i="4"/>
  <c r="S3" i="5"/>
  <c r="J3" i="2"/>
  <c r="S3" i="3"/>
  <c r="S69" i="3"/>
  <c r="S69" i="4"/>
  <c r="S69" i="5"/>
  <c r="J69" i="2"/>
  <c r="T69" i="2" s="1"/>
  <c r="S64" i="5"/>
  <c r="S64" i="3"/>
  <c r="J64" i="2"/>
  <c r="S64" i="4"/>
  <c r="S50" i="4"/>
  <c r="J50" i="2"/>
  <c r="S50" i="5"/>
  <c r="S50" i="3"/>
  <c r="S16" i="5"/>
  <c r="S16" i="3"/>
  <c r="J16" i="2"/>
  <c r="T16" i="2" s="1"/>
  <c r="S16" i="4"/>
  <c r="S5" i="3"/>
  <c r="S5" i="4"/>
  <c r="S5" i="5"/>
  <c r="J5" i="2"/>
  <c r="S4" i="3"/>
  <c r="S4" i="4"/>
  <c r="S4" i="5"/>
  <c r="J4" i="2"/>
  <c r="J22" i="2"/>
  <c r="S22" i="2" s="1"/>
  <c r="S22" i="3"/>
  <c r="S22" i="4"/>
  <c r="S22" i="5"/>
  <c r="S42" i="4"/>
  <c r="J42" i="2"/>
  <c r="T42" i="2" s="1"/>
  <c r="S42" i="5"/>
  <c r="S42" i="3"/>
  <c r="S70" i="5"/>
  <c r="S70" i="4"/>
  <c r="S70" i="3"/>
  <c r="J70" i="2"/>
  <c r="S53" i="3"/>
  <c r="S53" i="4"/>
  <c r="S53" i="5"/>
  <c r="J53" i="2"/>
  <c r="T53" i="2" s="1"/>
  <c r="S31" i="3"/>
  <c r="J31" i="2"/>
  <c r="S31" i="4"/>
  <c r="S31" i="5"/>
  <c r="S20" i="3"/>
  <c r="S20" i="4"/>
  <c r="S20" i="5"/>
  <c r="J20" i="2"/>
  <c r="S34" i="4"/>
  <c r="J34" i="2"/>
  <c r="S34" i="5"/>
  <c r="S34" i="3"/>
  <c r="S66" i="4"/>
  <c r="J66" i="2"/>
  <c r="O66" i="2" s="1"/>
  <c r="S66" i="5"/>
  <c r="S66" i="3"/>
  <c r="S26" i="4"/>
  <c r="J26" i="2"/>
  <c r="S26" i="5"/>
  <c r="S26" i="3"/>
  <c r="J14" i="2"/>
  <c r="S14" i="3"/>
  <c r="S14" i="4"/>
  <c r="S14" i="5"/>
  <c r="S45" i="3"/>
  <c r="S45" i="4"/>
  <c r="S45" i="5"/>
  <c r="J45" i="2"/>
  <c r="T45" i="2" s="1"/>
  <c r="S7" i="3"/>
  <c r="J7" i="2"/>
  <c r="T7" i="2" s="1"/>
  <c r="S7" i="4"/>
  <c r="S7" i="5"/>
  <c r="S41" i="5"/>
  <c r="S41" i="3"/>
  <c r="S41" i="4"/>
  <c r="J41" i="2"/>
  <c r="O41" i="2" s="1"/>
  <c r="J54" i="2"/>
  <c r="S54" i="3"/>
  <c r="S54" i="4"/>
  <c r="S54" i="5"/>
  <c r="S43" i="4"/>
  <c r="S43" i="5"/>
  <c r="J43" i="2"/>
  <c r="S43" i="3"/>
  <c r="S32" i="5"/>
  <c r="S32" i="3"/>
  <c r="J32" i="2"/>
  <c r="M32" i="2" s="1"/>
  <c r="S32" i="4"/>
  <c r="S9" i="5"/>
  <c r="S9" i="3"/>
  <c r="S9" i="4"/>
  <c r="J9" i="2"/>
  <c r="Q9" i="2" s="1"/>
  <c r="S68" i="3"/>
  <c r="S68" i="5"/>
  <c r="S68" i="4"/>
  <c r="J68" i="2"/>
  <c r="Q68" i="2" s="1"/>
  <c r="J62" i="2"/>
  <c r="S62" i="3"/>
  <c r="S62" i="4"/>
  <c r="S62" i="5"/>
  <c r="S40" i="5"/>
  <c r="S40" i="3"/>
  <c r="J40" i="2"/>
  <c r="N40" i="2" s="1"/>
  <c r="S40" i="4"/>
  <c r="S13" i="3"/>
  <c r="S13" i="4"/>
  <c r="S13" i="5"/>
  <c r="J13" i="2"/>
  <c r="N13" i="2" s="1"/>
  <c r="S67" i="4"/>
  <c r="S67" i="5"/>
  <c r="J67" i="2"/>
  <c r="M67" i="2" s="1"/>
  <c r="S67" i="3"/>
  <c r="S56" i="5"/>
  <c r="S56" i="3"/>
  <c r="J56" i="2"/>
  <c r="S56" i="4"/>
  <c r="S21" i="3"/>
  <c r="S21" i="4"/>
  <c r="S21" i="5"/>
  <c r="J21" i="2"/>
  <c r="M21" i="2" s="1"/>
  <c r="S57" i="5"/>
  <c r="S57" i="3"/>
  <c r="S57" i="4"/>
  <c r="J57" i="2"/>
  <c r="S57" i="2" s="1"/>
  <c r="S28" i="3"/>
  <c r="S28" i="4"/>
  <c r="S28" i="5"/>
  <c r="J28" i="2"/>
  <c r="Q28" i="2" s="1"/>
  <c r="S19" i="4"/>
  <c r="S19" i="5"/>
  <c r="J19" i="2"/>
  <c r="S19" i="3"/>
  <c r="S37" i="3"/>
  <c r="S37" i="4"/>
  <c r="S37" i="5"/>
  <c r="J37" i="2"/>
  <c r="N37" i="2" s="1"/>
  <c r="S18" i="4"/>
  <c r="J18" i="2"/>
  <c r="S18" i="5"/>
  <c r="S18" i="3"/>
  <c r="J38" i="2"/>
  <c r="S38" i="3"/>
  <c r="S38" i="4"/>
  <c r="S38" i="5"/>
  <c r="S25" i="5"/>
  <c r="S25" i="3"/>
  <c r="S25" i="4"/>
  <c r="J25" i="2"/>
  <c r="T25" i="2" s="1"/>
  <c r="S24" i="5"/>
  <c r="S24" i="3"/>
  <c r="J24" i="2"/>
  <c r="S24" i="4"/>
  <c r="S61" i="3"/>
  <c r="S61" i="4"/>
  <c r="S61" i="5"/>
  <c r="J61" i="2"/>
  <c r="P61" i="2" s="1"/>
  <c r="S63" i="3"/>
  <c r="J63" i="2"/>
  <c r="S63" i="4"/>
  <c r="S63" i="5"/>
  <c r="S15" i="3"/>
  <c r="J15" i="2"/>
  <c r="S15" i="4"/>
  <c r="S15" i="5"/>
  <c r="S44" i="3"/>
  <c r="S44" i="4"/>
  <c r="S44" i="5"/>
  <c r="J44" i="2"/>
  <c r="P44" i="2" s="1"/>
  <c r="S39" i="3"/>
  <c r="J39" i="2"/>
  <c r="S39" i="4"/>
  <c r="S39" i="5"/>
  <c r="J6" i="2"/>
  <c r="S6" i="3"/>
  <c r="S6" i="4"/>
  <c r="S6" i="5"/>
  <c r="S10" i="4"/>
  <c r="J10" i="2"/>
  <c r="S10" i="5"/>
  <c r="S10" i="3"/>
  <c r="J30" i="2"/>
  <c r="S30" i="3"/>
  <c r="S30" i="4"/>
  <c r="S30" i="5"/>
  <c r="S27" i="4"/>
  <c r="S27" i="5"/>
  <c r="J27" i="2"/>
  <c r="S27" i="3"/>
  <c r="S35" i="4"/>
  <c r="S35" i="5"/>
  <c r="J35" i="2"/>
  <c r="S35" i="3"/>
  <c r="S29" i="3"/>
  <c r="S29" i="4"/>
  <c r="S29" i="5"/>
  <c r="J29" i="2"/>
  <c r="S58" i="4"/>
  <c r="J58" i="2"/>
  <c r="S58" i="5"/>
  <c r="S58" i="3"/>
  <c r="S52" i="3"/>
  <c r="S52" i="4"/>
  <c r="S52" i="5"/>
  <c r="J52" i="2"/>
  <c r="N52" i="2" s="1"/>
  <c r="S8" i="5"/>
  <c r="S8" i="3"/>
  <c r="J8" i="2"/>
  <c r="S8" i="4"/>
  <c r="S23" i="3"/>
  <c r="J23" i="2"/>
  <c r="S23" i="2" s="1"/>
  <c r="S23" i="4"/>
  <c r="S23" i="5"/>
  <c r="S51" i="4"/>
  <c r="S51" i="5"/>
  <c r="J51" i="2"/>
  <c r="T51" i="2" s="1"/>
  <c r="S51" i="3"/>
  <c r="S11" i="4"/>
  <c r="S11" i="5"/>
  <c r="J11" i="2"/>
  <c r="S11" i="3"/>
  <c r="J2" i="2"/>
  <c r="S69" i="2"/>
  <c r="M69" i="2"/>
  <c r="P68" i="2"/>
  <c r="R30" i="2"/>
  <c r="O13" i="1"/>
  <c r="B1" i="4"/>
  <c r="B1" i="5"/>
  <c r="O12" i="1"/>
  <c r="O14" i="1"/>
  <c r="O2" i="2"/>
  <c r="N43" i="2"/>
  <c r="M11" i="2"/>
  <c r="P38" i="2"/>
  <c r="M36" i="2"/>
  <c r="O39" i="2"/>
  <c r="M59" i="2"/>
  <c r="T5" i="2"/>
  <c r="Q54" i="2"/>
  <c r="N56" i="2"/>
  <c r="Q31" i="2"/>
  <c r="S50" i="2"/>
  <c r="P55" i="2"/>
  <c r="T18" i="2"/>
  <c r="M27" i="2"/>
  <c r="O48" i="2"/>
  <c r="O11" i="1"/>
  <c r="Q55" i="2"/>
  <c r="M55" i="2"/>
  <c r="O55" i="2"/>
  <c r="T55" i="2"/>
  <c r="P12" i="2"/>
  <c r="N12" i="2"/>
  <c r="O10" i="1"/>
  <c r="P2" i="2"/>
  <c r="R27" i="2"/>
  <c r="P27" i="2"/>
  <c r="Q27" i="2"/>
  <c r="P45" i="2"/>
  <c r="O45" i="2"/>
  <c r="N18" i="2"/>
  <c r="P18" i="2"/>
  <c r="Q18" i="2"/>
  <c r="S18" i="2"/>
  <c r="O9" i="1"/>
  <c r="O8" i="1"/>
  <c r="B1" i="3"/>
  <c r="G2" i="1"/>
  <c r="R45" i="2" l="1"/>
  <c r="P51" i="2"/>
  <c r="N45" i="2"/>
  <c r="S66" i="2"/>
  <c r="S45" i="2"/>
  <c r="Q45" i="2"/>
  <c r="M12" i="2"/>
  <c r="S47" i="2"/>
  <c r="S12" i="2"/>
  <c r="R48" i="2"/>
  <c r="Q66" i="2"/>
  <c r="N66" i="2"/>
  <c r="P66" i="2"/>
  <c r="R66" i="2"/>
  <c r="T66" i="2"/>
  <c r="O47" i="2"/>
  <c r="M66" i="2"/>
  <c r="O51" i="2"/>
  <c r="N48" i="2"/>
  <c r="N51" i="2"/>
  <c r="Q48" i="2"/>
  <c r="R51" i="2"/>
  <c r="S48" i="2"/>
  <c r="S51" i="2"/>
  <c r="P48" i="2"/>
  <c r="Q51" i="2"/>
  <c r="M48" i="2"/>
  <c r="M51" i="2"/>
  <c r="N67" i="2"/>
  <c r="R67" i="2"/>
  <c r="P67" i="2"/>
  <c r="Q67" i="2"/>
  <c r="O67" i="2"/>
  <c r="S67" i="2"/>
  <c r="T67" i="2"/>
  <c r="T21" i="2"/>
  <c r="O17" i="2"/>
  <c r="S17" i="2"/>
  <c r="N21" i="2"/>
  <c r="P17" i="2"/>
  <c r="N68" i="2"/>
  <c r="Q69" i="2"/>
  <c r="R21" i="2"/>
  <c r="M53" i="2"/>
  <c r="N17" i="2"/>
  <c r="O12" i="2"/>
  <c r="S53" i="2"/>
  <c r="O68" i="2"/>
  <c r="O69" i="2"/>
  <c r="Q21" i="2"/>
  <c r="M17" i="2"/>
  <c r="T12" i="2"/>
  <c r="R68" i="2"/>
  <c r="N69" i="2"/>
  <c r="P21" i="2"/>
  <c r="T17" i="2"/>
  <c r="M68" i="2"/>
  <c r="P69" i="2"/>
  <c r="S21" i="2"/>
  <c r="M45" i="2"/>
  <c r="O21" i="2"/>
  <c r="R17" i="2"/>
  <c r="R12" i="2"/>
  <c r="T68" i="2"/>
  <c r="R69" i="2"/>
  <c r="S68" i="2"/>
  <c r="S70" i="2"/>
  <c r="Q70" i="2"/>
  <c r="O70" i="2"/>
  <c r="M70" i="2"/>
  <c r="T70" i="2"/>
  <c r="P70" i="2"/>
  <c r="R70" i="2"/>
  <c r="N70" i="2"/>
  <c r="P53" i="2"/>
  <c r="R53" i="2"/>
  <c r="Q53" i="2"/>
  <c r="O53" i="2"/>
  <c r="S31" i="2"/>
  <c r="N38" i="2"/>
  <c r="R38" i="2"/>
  <c r="P23" i="2"/>
  <c r="T2" i="2"/>
  <c r="O38" i="2"/>
  <c r="T38" i="2"/>
  <c r="M23" i="2"/>
  <c r="T23" i="2"/>
  <c r="R46" i="2"/>
  <c r="R23" i="2"/>
  <c r="P52" i="2"/>
  <c r="R9" i="2"/>
  <c r="M9" i="2"/>
  <c r="O52" i="2"/>
  <c r="N57" i="2"/>
  <c r="T52" i="2"/>
  <c r="T9" i="2"/>
  <c r="T54" i="2"/>
  <c r="M54" i="2"/>
  <c r="O9" i="2"/>
  <c r="N54" i="2"/>
  <c r="M44" i="2"/>
  <c r="R5" i="2"/>
  <c r="R52" i="2"/>
  <c r="Q52" i="2"/>
  <c r="P5" i="2"/>
  <c r="O5" i="2"/>
  <c r="M52" i="2"/>
  <c r="S5" i="2"/>
  <c r="M57" i="2"/>
  <c r="S16" i="2"/>
  <c r="R7" i="2"/>
  <c r="S52" i="2"/>
  <c r="P16" i="2"/>
  <c r="N5" i="2"/>
  <c r="Q57" i="2"/>
  <c r="M25" i="2"/>
  <c r="M61" i="2"/>
  <c r="M5" i="2"/>
  <c r="Q38" i="2"/>
  <c r="S9" i="2"/>
  <c r="O25" i="2"/>
  <c r="M16" i="2"/>
  <c r="P30" i="2"/>
  <c r="S30" i="2"/>
  <c r="P13" i="2"/>
  <c r="Q5" i="2"/>
  <c r="N2" i="2"/>
  <c r="P9" i="2"/>
  <c r="M37" i="2"/>
  <c r="O30" i="2"/>
  <c r="T49" i="2"/>
  <c r="R37" i="2"/>
  <c r="O57" i="2"/>
  <c r="O54" i="2"/>
  <c r="T61" i="2"/>
  <c r="Q37" i="2"/>
  <c r="N16" i="2"/>
  <c r="O28" i="2"/>
  <c r="O7" i="2"/>
  <c r="Q30" i="2"/>
  <c r="S37" i="2"/>
  <c r="M30" i="2"/>
  <c r="P37" i="2"/>
  <c r="T30" i="2"/>
  <c r="R13" i="2"/>
  <c r="T37" i="2"/>
  <c r="N28" i="2"/>
  <c r="N30" i="2"/>
  <c r="O37" i="2"/>
  <c r="R28" i="2"/>
  <c r="S36" i="2"/>
  <c r="N25" i="2"/>
  <c r="N9" i="2"/>
  <c r="Q25" i="2"/>
  <c r="S2" i="2"/>
  <c r="M39" i="2"/>
  <c r="P42" i="2"/>
  <c r="M42" i="2"/>
  <c r="P50" i="2"/>
  <c r="M28" i="2"/>
  <c r="S59" i="2"/>
  <c r="N50" i="2"/>
  <c r="N65" i="2"/>
  <c r="Q42" i="2"/>
  <c r="R11" i="2"/>
  <c r="N8" i="2"/>
  <c r="M56" i="2"/>
  <c r="S14" i="2"/>
  <c r="R6" i="2"/>
  <c r="Q46" i="2"/>
  <c r="M49" i="2"/>
  <c r="P57" i="2"/>
  <c r="S54" i="2"/>
  <c r="N24" i="2"/>
  <c r="Q7" i="2"/>
  <c r="R26" i="2"/>
  <c r="T4" i="2"/>
  <c r="N62" i="2"/>
  <c r="R60" i="2"/>
  <c r="O19" i="2"/>
  <c r="T15" i="2"/>
  <c r="R10" i="2"/>
  <c r="R42" i="2"/>
  <c r="T44" i="2"/>
  <c r="O35" i="2"/>
  <c r="S29" i="2"/>
  <c r="Q39" i="2"/>
  <c r="Q59" i="2"/>
  <c r="Q50" i="2"/>
  <c r="R65" i="2"/>
  <c r="R39" i="2"/>
  <c r="S44" i="2"/>
  <c r="P56" i="2"/>
  <c r="Q29" i="2"/>
  <c r="Q56" i="2"/>
  <c r="R44" i="2"/>
  <c r="Q44" i="2"/>
  <c r="N39" i="2"/>
  <c r="R56" i="2"/>
  <c r="N46" i="2"/>
  <c r="O44" i="2"/>
  <c r="T39" i="2"/>
  <c r="R8" i="2"/>
  <c r="O29" i="2"/>
  <c r="O46" i="2"/>
  <c r="M8" i="2"/>
  <c r="N44" i="2"/>
  <c r="S39" i="2"/>
  <c r="Q8" i="2"/>
  <c r="T29" i="2"/>
  <c r="M46" i="2"/>
  <c r="M4" i="2"/>
  <c r="P62" i="2"/>
  <c r="Q62" i="2"/>
  <c r="S62" i="2"/>
  <c r="T8" i="2"/>
  <c r="S56" i="2"/>
  <c r="S28" i="2"/>
  <c r="S42" i="2"/>
  <c r="S46" i="2"/>
  <c r="R62" i="2"/>
  <c r="N59" i="2"/>
  <c r="S65" i="2"/>
  <c r="M50" i="2"/>
  <c r="S8" i="2"/>
  <c r="T56" i="2"/>
  <c r="P28" i="2"/>
  <c r="N42" i="2"/>
  <c r="P46" i="2"/>
  <c r="T59" i="2"/>
  <c r="T62" i="2"/>
  <c r="O59" i="2"/>
  <c r="P65" i="2"/>
  <c r="O56" i="2"/>
  <c r="T28" i="2"/>
  <c r="O42" i="2"/>
  <c r="T46" i="2"/>
  <c r="R59" i="2"/>
  <c r="P59" i="2"/>
  <c r="O62" i="2"/>
  <c r="M62" i="2"/>
  <c r="M65" i="2"/>
  <c r="O65" i="2"/>
  <c r="T65" i="2"/>
  <c r="M63" i="2"/>
  <c r="N63" i="2"/>
  <c r="Q63" i="2"/>
  <c r="T63" i="2"/>
  <c r="P63" i="2"/>
  <c r="O63" i="2"/>
  <c r="S63" i="2"/>
  <c r="R63" i="2"/>
  <c r="P64" i="2"/>
  <c r="S64" i="2"/>
  <c r="N64" i="2"/>
  <c r="Q64" i="2"/>
  <c r="T64" i="2"/>
  <c r="M64" i="2"/>
  <c r="O64" i="2"/>
  <c r="R64" i="2"/>
  <c r="Q65" i="2"/>
  <c r="N60" i="2"/>
  <c r="N53" i="2"/>
  <c r="P8" i="2"/>
  <c r="M38" i="2"/>
  <c r="R57" i="2"/>
  <c r="T10" i="2"/>
  <c r="R16" i="2"/>
  <c r="Q16" i="2"/>
  <c r="N7" i="2"/>
  <c r="P47" i="2"/>
  <c r="O8" i="2"/>
  <c r="R49" i="2"/>
  <c r="S38" i="2"/>
  <c r="T57" i="2"/>
  <c r="O16" i="2"/>
  <c r="M7" i="2"/>
  <c r="P6" i="2"/>
  <c r="P60" i="2"/>
  <c r="R47" i="2"/>
  <c r="P49" i="2"/>
  <c r="O60" i="2"/>
  <c r="S10" i="2"/>
  <c r="N6" i="2"/>
  <c r="T60" i="2"/>
  <c r="M10" i="2"/>
  <c r="O6" i="2"/>
  <c r="Q23" i="2"/>
  <c r="M18" i="2"/>
  <c r="Q13" i="2"/>
  <c r="N27" i="2"/>
  <c r="Q60" i="2"/>
  <c r="O23" i="2"/>
  <c r="R18" i="2"/>
  <c r="M13" i="2"/>
  <c r="M31" i="2"/>
  <c r="P10" i="2"/>
  <c r="R24" i="2"/>
  <c r="M6" i="2"/>
  <c r="S60" i="2"/>
  <c r="N23" i="2"/>
  <c r="O18" i="2"/>
  <c r="S13" i="2"/>
  <c r="T31" i="2"/>
  <c r="R19" i="2"/>
  <c r="P41" i="2"/>
  <c r="T13" i="2"/>
  <c r="R31" i="2"/>
  <c r="P26" i="2"/>
  <c r="T36" i="2"/>
  <c r="Q19" i="2"/>
  <c r="O15" i="2"/>
  <c r="R15" i="2"/>
  <c r="M22" i="2"/>
  <c r="N41" i="2"/>
  <c r="R43" i="2"/>
  <c r="R4" i="2"/>
  <c r="N4" i="2"/>
  <c r="Q36" i="2"/>
  <c r="Q4" i="2"/>
  <c r="P7" i="2"/>
  <c r="Q15" i="2"/>
  <c r="P4" i="2"/>
  <c r="P15" i="2"/>
  <c r="Q26" i="2"/>
  <c r="S4" i="2"/>
  <c r="S19" i="2"/>
  <c r="S7" i="2"/>
  <c r="N15" i="2"/>
  <c r="M41" i="2"/>
  <c r="O4" i="2"/>
  <c r="N19" i="2"/>
  <c r="S15" i="2"/>
  <c r="S41" i="2"/>
  <c r="T43" i="2"/>
  <c r="M15" i="2"/>
  <c r="S43" i="2"/>
  <c r="N22" i="2"/>
  <c r="O13" i="2"/>
  <c r="P39" i="2"/>
  <c r="P31" i="2"/>
  <c r="R2" i="2"/>
  <c r="S33" i="2"/>
  <c r="O10" i="2"/>
  <c r="P36" i="2"/>
  <c r="S55" i="2"/>
  <c r="P24" i="2"/>
  <c r="S35" i="2"/>
  <c r="T6" i="2"/>
  <c r="T41" i="2"/>
  <c r="S25" i="2"/>
  <c r="O31" i="2"/>
  <c r="M2" i="2"/>
  <c r="Q33" i="2"/>
  <c r="Q10" i="2"/>
  <c r="O36" i="2"/>
  <c r="R55" i="2"/>
  <c r="Q24" i="2"/>
  <c r="P35" i="2"/>
  <c r="S6" i="2"/>
  <c r="R41" i="2"/>
  <c r="R25" i="2"/>
  <c r="N31" i="2"/>
  <c r="Q2" i="2"/>
  <c r="N10" i="2"/>
  <c r="N36" i="2"/>
  <c r="N55" i="2"/>
  <c r="M19" i="2"/>
  <c r="N35" i="2"/>
  <c r="Q6" i="2"/>
  <c r="Q41" i="2"/>
  <c r="P25" i="2"/>
  <c r="Q61" i="2"/>
  <c r="M33" i="2"/>
  <c r="R36" i="2"/>
  <c r="O24" i="2"/>
  <c r="P19" i="2"/>
  <c r="N61" i="2"/>
  <c r="S61" i="2"/>
  <c r="O61" i="2"/>
  <c r="R61" i="2"/>
  <c r="Q22" i="2"/>
  <c r="N33" i="2"/>
  <c r="P43" i="2"/>
  <c r="T19" i="2"/>
  <c r="N14" i="2"/>
  <c r="P11" i="2"/>
  <c r="T33" i="2"/>
  <c r="M43" i="2"/>
  <c r="M14" i="2"/>
  <c r="O11" i="2"/>
  <c r="S40" i="2"/>
  <c r="S32" i="2"/>
  <c r="N11" i="2"/>
  <c r="Q49" i="2"/>
  <c r="S27" i="2"/>
  <c r="M24" i="2"/>
  <c r="Q11" i="2"/>
  <c r="N49" i="2"/>
  <c r="O27" i="2"/>
  <c r="T40" i="2"/>
  <c r="T24" i="2"/>
  <c r="T11" i="2"/>
  <c r="S49" i="2"/>
  <c r="T26" i="2"/>
  <c r="T27" i="2"/>
  <c r="Q40" i="2"/>
  <c r="S24" i="2"/>
  <c r="O32" i="2"/>
  <c r="S11" i="2"/>
  <c r="M40" i="2"/>
  <c r="P14" i="2"/>
  <c r="N32" i="2"/>
  <c r="O26" i="2"/>
  <c r="N47" i="2"/>
  <c r="T50" i="2"/>
  <c r="M26" i="2"/>
  <c r="P33" i="2"/>
  <c r="R40" i="2"/>
  <c r="Q43" i="2"/>
  <c r="Q14" i="2"/>
  <c r="T35" i="2"/>
  <c r="R29" i="2"/>
  <c r="R54" i="2"/>
  <c r="T32" i="2"/>
  <c r="T22" i="2"/>
  <c r="M58" i="2"/>
  <c r="Q58" i="2"/>
  <c r="R58" i="2"/>
  <c r="P58" i="2"/>
  <c r="T58" i="2"/>
  <c r="S58" i="2"/>
  <c r="N58" i="2"/>
  <c r="O58" i="2"/>
  <c r="Q47" i="2"/>
  <c r="O50" i="2"/>
  <c r="N26" i="2"/>
  <c r="P40" i="2"/>
  <c r="R14" i="2"/>
  <c r="R35" i="2"/>
  <c r="P29" i="2"/>
  <c r="R32" i="2"/>
  <c r="P22" i="2"/>
  <c r="M47" i="2"/>
  <c r="R50" i="2"/>
  <c r="S26" i="2"/>
  <c r="R33" i="2"/>
  <c r="O40" i="2"/>
  <c r="O43" i="2"/>
  <c r="O14" i="2"/>
  <c r="M35" i="2"/>
  <c r="N29" i="2"/>
  <c r="P54" i="2"/>
  <c r="Q32" i="2"/>
  <c r="O22" i="2"/>
  <c r="T14" i="2"/>
  <c r="Q35" i="2"/>
  <c r="M29" i="2"/>
  <c r="P32" i="2"/>
  <c r="R22" i="2"/>
  <c r="T3" i="2"/>
  <c r="N3" i="2"/>
  <c r="M3" i="2"/>
  <c r="O3" i="2"/>
  <c r="P3" i="2"/>
  <c r="Q3" i="2"/>
  <c r="R3" i="2"/>
  <c r="S3" i="2"/>
  <c r="S20" i="2"/>
  <c r="M20" i="2"/>
  <c r="T20" i="2"/>
  <c r="N20" i="2"/>
  <c r="O20" i="2"/>
  <c r="R20" i="2"/>
  <c r="P20" i="2"/>
  <c r="Q20" i="2"/>
  <c r="M34" i="2"/>
  <c r="S34" i="2"/>
  <c r="O34" i="2"/>
  <c r="N34" i="2"/>
  <c r="P34" i="2"/>
  <c r="T34" i="2"/>
  <c r="Q34" i="2"/>
  <c r="R34" i="2"/>
  <c r="O17" i="1"/>
  <c r="O16" i="1"/>
  <c r="O71" i="2" l="1"/>
  <c r="P71" i="2"/>
  <c r="M71" i="2"/>
  <c r="N71" i="2"/>
  <c r="R71" i="2"/>
  <c r="Q71" i="2"/>
  <c r="S71" i="2"/>
  <c r="T71" i="2"/>
  <c r="E5" i="3"/>
  <c r="E9" i="3" s="1"/>
  <c r="C5" i="3"/>
  <c r="C9" i="3" s="1"/>
  <c r="F5" i="4"/>
  <c r="F9" i="4" s="1"/>
  <c r="G5" i="3"/>
  <c r="G9" i="3" s="1"/>
  <c r="E5" i="5"/>
  <c r="B11" i="6" s="1"/>
  <c r="A5" i="5"/>
  <c r="A9" i="5" s="1"/>
  <c r="F5" i="5"/>
  <c r="F9" i="5" s="1"/>
  <c r="B5" i="5"/>
  <c r="B8" i="6" s="1"/>
  <c r="G5" i="4"/>
  <c r="G9" i="4" s="1"/>
  <c r="B5" i="4"/>
  <c r="B9" i="4" s="1"/>
  <c r="D5" i="5"/>
  <c r="B10" i="6" s="1"/>
  <c r="E5" i="4"/>
  <c r="E9" i="4" s="1"/>
  <c r="D5" i="3"/>
  <c r="D9" i="3" s="1"/>
  <c r="C5" i="5"/>
  <c r="C9" i="5" s="1"/>
  <c r="A5" i="4"/>
  <c r="A9" i="4" s="1"/>
  <c r="B5" i="3"/>
  <c r="B9" i="3" s="1"/>
  <c r="F5" i="3"/>
  <c r="F9" i="3" s="1"/>
  <c r="C5" i="4"/>
  <c r="C9" i="4" s="1"/>
  <c r="D5" i="4"/>
  <c r="C10" i="6" s="1"/>
  <c r="M19" i="4" l="1"/>
  <c r="M68" i="4"/>
  <c r="M69" i="4"/>
  <c r="M70" i="4"/>
  <c r="N23" i="3"/>
  <c r="N68" i="3"/>
  <c r="N69" i="3"/>
  <c r="N70" i="3"/>
  <c r="R2" i="4"/>
  <c r="R70" i="4"/>
  <c r="R68" i="4"/>
  <c r="R69" i="4"/>
  <c r="P52" i="3"/>
  <c r="P70" i="3"/>
  <c r="P68" i="3"/>
  <c r="P69" i="3"/>
  <c r="N49" i="4"/>
  <c r="N69" i="4"/>
  <c r="N68" i="4"/>
  <c r="N70" i="4"/>
  <c r="M43" i="3"/>
  <c r="M70" i="3"/>
  <c r="M68" i="3"/>
  <c r="M69" i="3"/>
  <c r="L24" i="4"/>
  <c r="L70" i="4"/>
  <c r="L68" i="4"/>
  <c r="L69" i="4"/>
  <c r="Q26" i="5"/>
  <c r="Q69" i="5"/>
  <c r="Q68" i="5"/>
  <c r="Q70" i="5"/>
  <c r="N67" i="5"/>
  <c r="N70" i="5"/>
  <c r="N69" i="5"/>
  <c r="N68" i="5"/>
  <c r="L2" i="5"/>
  <c r="L68" i="5"/>
  <c r="L70" i="5"/>
  <c r="L69" i="5"/>
  <c r="O9" i="3"/>
  <c r="O70" i="3"/>
  <c r="O68" i="3"/>
  <c r="O69" i="3"/>
  <c r="Q30" i="3"/>
  <c r="Q70" i="3"/>
  <c r="Q69" i="3"/>
  <c r="Q68" i="3"/>
  <c r="P44" i="4"/>
  <c r="P68" i="4"/>
  <c r="P70" i="4"/>
  <c r="P69" i="4"/>
  <c r="R50" i="3"/>
  <c r="R70" i="3"/>
  <c r="R68" i="3"/>
  <c r="R69" i="3"/>
  <c r="Q61" i="4"/>
  <c r="Q70" i="4"/>
  <c r="Q68" i="4"/>
  <c r="Q69" i="4"/>
  <c r="A5" i="3"/>
  <c r="A9" i="3" s="1"/>
  <c r="S73" i="2"/>
  <c r="D11" i="6"/>
  <c r="R40" i="3"/>
  <c r="R15" i="3"/>
  <c r="R17" i="3"/>
  <c r="R39" i="3"/>
  <c r="R20" i="3"/>
  <c r="R6" i="3"/>
  <c r="R54" i="3"/>
  <c r="R14" i="3"/>
  <c r="R16" i="3"/>
  <c r="R45" i="3"/>
  <c r="R51" i="3"/>
  <c r="R30" i="3"/>
  <c r="R65" i="3"/>
  <c r="R31" i="3"/>
  <c r="R28" i="3"/>
  <c r="R63" i="3"/>
  <c r="R48" i="3"/>
  <c r="R55" i="3"/>
  <c r="R22" i="3"/>
  <c r="R10" i="3"/>
  <c r="R37" i="3"/>
  <c r="R23" i="3"/>
  <c r="R57" i="3"/>
  <c r="R56" i="3"/>
  <c r="R36" i="3"/>
  <c r="R26" i="3"/>
  <c r="R67" i="3"/>
  <c r="R41" i="3"/>
  <c r="R47" i="3"/>
  <c r="R7" i="3"/>
  <c r="R3" i="3"/>
  <c r="R9" i="3"/>
  <c r="R32" i="3"/>
  <c r="R4" i="3"/>
  <c r="R27" i="3"/>
  <c r="R42" i="3"/>
  <c r="R62" i="3"/>
  <c r="R12" i="3"/>
  <c r="R2" i="3"/>
  <c r="R64" i="3"/>
  <c r="R11" i="3"/>
  <c r="R5" i="3"/>
  <c r="R13" i="3"/>
  <c r="R35" i="3"/>
  <c r="R43" i="3"/>
  <c r="R66" i="3"/>
  <c r="R49" i="3"/>
  <c r="R38" i="3"/>
  <c r="R29" i="3"/>
  <c r="R18" i="3"/>
  <c r="R19" i="3"/>
  <c r="R24" i="3"/>
  <c r="R53" i="3"/>
  <c r="R46" i="3"/>
  <c r="R33" i="3"/>
  <c r="R60" i="3"/>
  <c r="R34" i="3"/>
  <c r="R44" i="3"/>
  <c r="R58" i="3"/>
  <c r="R25" i="3"/>
  <c r="R59" i="3"/>
  <c r="R52" i="3"/>
  <c r="R21" i="3"/>
  <c r="R8" i="3"/>
  <c r="R61" i="3"/>
  <c r="S74" i="2"/>
  <c r="Q52" i="4"/>
  <c r="Q62" i="4"/>
  <c r="Q5" i="4"/>
  <c r="Q24" i="4"/>
  <c r="Q63" i="4"/>
  <c r="Q23" i="4"/>
  <c r="Q25" i="4"/>
  <c r="Q54" i="4"/>
  <c r="Q41" i="4"/>
  <c r="Q15" i="4"/>
  <c r="Q20" i="4"/>
  <c r="Q26" i="4"/>
  <c r="Q59" i="4"/>
  <c r="Q49" i="4"/>
  <c r="Q16" i="4"/>
  <c r="Q31" i="4"/>
  <c r="Q67" i="4"/>
  <c r="Q14" i="4"/>
  <c r="Q40" i="4"/>
  <c r="Q19" i="4"/>
  <c r="Q13" i="4"/>
  <c r="Q3" i="4"/>
  <c r="Q9" i="4"/>
  <c r="Q32" i="4"/>
  <c r="Q58" i="4"/>
  <c r="Q43" i="4"/>
  <c r="Q66" i="4"/>
  <c r="Q45" i="4"/>
  <c r="Q35" i="4"/>
  <c r="Q30" i="4"/>
  <c r="Q37" i="4"/>
  <c r="Q2" i="4"/>
  <c r="Q44" i="4"/>
  <c r="Q39" i="4"/>
  <c r="M5" i="3"/>
  <c r="L5" i="5"/>
  <c r="M44" i="3"/>
  <c r="L44" i="5"/>
  <c r="N15" i="4"/>
  <c r="L15" i="4"/>
  <c r="M39" i="3"/>
  <c r="O20" i="3"/>
  <c r="R13" i="4"/>
  <c r="L13" i="5"/>
  <c r="N24" i="4"/>
  <c r="N24" i="5"/>
  <c r="Q58" i="5"/>
  <c r="N58" i="4"/>
  <c r="L26" i="4"/>
  <c r="L3" i="4"/>
  <c r="O62" i="3"/>
  <c r="M62" i="4"/>
  <c r="L16" i="5"/>
  <c r="M35" i="4"/>
  <c r="Q25" i="3"/>
  <c r="N25" i="4"/>
  <c r="L25" i="5"/>
  <c r="L30" i="4"/>
  <c r="N23" i="4"/>
  <c r="P31" i="3"/>
  <c r="N31" i="3"/>
  <c r="N31" i="5"/>
  <c r="M63" i="4"/>
  <c r="M67" i="3"/>
  <c r="N43" i="3"/>
  <c r="N43" i="5"/>
  <c r="L59" i="4"/>
  <c r="R9" i="4"/>
  <c r="L9" i="5"/>
  <c r="N54" i="3"/>
  <c r="N66" i="4"/>
  <c r="Q52" i="5"/>
  <c r="P28" i="4"/>
  <c r="P50" i="4"/>
  <c r="P46" i="4"/>
  <c r="P21" i="4"/>
  <c r="P18" i="4"/>
  <c r="P42" i="4"/>
  <c r="P33" i="4"/>
  <c r="P53" i="4"/>
  <c r="P12" i="4"/>
  <c r="P17" i="4"/>
  <c r="P55" i="4"/>
  <c r="P57" i="4"/>
  <c r="P48" i="4"/>
  <c r="P61" i="4"/>
  <c r="P4" i="4"/>
  <c r="P38" i="4"/>
  <c r="P32" i="4"/>
  <c r="P27" i="4"/>
  <c r="P34" i="4"/>
  <c r="P22" i="4"/>
  <c r="P47" i="4"/>
  <c r="P10" i="4"/>
  <c r="P36" i="4"/>
  <c r="P11" i="4"/>
  <c r="P40" i="4"/>
  <c r="P2" i="4"/>
  <c r="P6" i="4"/>
  <c r="P60" i="4"/>
  <c r="P8" i="4"/>
  <c r="P59" i="4"/>
  <c r="P29" i="4"/>
  <c r="P49" i="4"/>
  <c r="P52" i="4"/>
  <c r="P51" i="4"/>
  <c r="P7" i="4"/>
  <c r="P56" i="4"/>
  <c r="P64" i="4"/>
  <c r="P65" i="4"/>
  <c r="P45" i="4"/>
  <c r="P66" i="4"/>
  <c r="Q57" i="3"/>
  <c r="Q50" i="3"/>
  <c r="Q42" i="3"/>
  <c r="Q12" i="3"/>
  <c r="Q17" i="3"/>
  <c r="Q33" i="3"/>
  <c r="Q28" i="3"/>
  <c r="Q46" i="3"/>
  <c r="Q21" i="3"/>
  <c r="Q48" i="3"/>
  <c r="Q53" i="3"/>
  <c r="Q18" i="3"/>
  <c r="Q55" i="3"/>
  <c r="Q36" i="3"/>
  <c r="Q66" i="3"/>
  <c r="Q10" i="3"/>
  <c r="Q11" i="3"/>
  <c r="Q60" i="3"/>
  <c r="Q65" i="3"/>
  <c r="Q61" i="3"/>
  <c r="Q29" i="3"/>
  <c r="Q64" i="3"/>
  <c r="Q8" i="3"/>
  <c r="Q56" i="3"/>
  <c r="Q38" i="3"/>
  <c r="Q6" i="3"/>
  <c r="Q34" i="3"/>
  <c r="Q7" i="3"/>
  <c r="Q37" i="3"/>
  <c r="Q49" i="3"/>
  <c r="Q27" i="3"/>
  <c r="Q47" i="3"/>
  <c r="Q45" i="3"/>
  <c r="Q32" i="3"/>
  <c r="Q14" i="3"/>
  <c r="Q51" i="3"/>
  <c r="Q22" i="3"/>
  <c r="Q4" i="3"/>
  <c r="Q40" i="3"/>
  <c r="Q41" i="3"/>
  <c r="R5" i="4"/>
  <c r="P19" i="4"/>
  <c r="Q19" i="5"/>
  <c r="Q44" i="3"/>
  <c r="N39" i="4"/>
  <c r="L20" i="3"/>
  <c r="M20" i="3"/>
  <c r="L20" i="5"/>
  <c r="M13" i="3"/>
  <c r="P24" i="4"/>
  <c r="M58" i="4"/>
  <c r="M26" i="4"/>
  <c r="N3" i="4"/>
  <c r="N62" i="3"/>
  <c r="L62" i="5"/>
  <c r="L16" i="4"/>
  <c r="Q16" i="3"/>
  <c r="M25" i="4"/>
  <c r="M30" i="4"/>
  <c r="L23" i="5"/>
  <c r="O63" i="3"/>
  <c r="N63" i="4"/>
  <c r="Q63" i="5"/>
  <c r="R43" i="4"/>
  <c r="N59" i="5"/>
  <c r="L9" i="4"/>
  <c r="O66" i="3"/>
  <c r="N32" i="5"/>
  <c r="N28" i="4"/>
  <c r="N46" i="4"/>
  <c r="N17" i="4"/>
  <c r="N50" i="4"/>
  <c r="N42" i="4"/>
  <c r="N55" i="4"/>
  <c r="N48" i="4"/>
  <c r="N18" i="4"/>
  <c r="N53" i="4"/>
  <c r="N21" i="4"/>
  <c r="N57" i="4"/>
  <c r="N33" i="4"/>
  <c r="N12" i="4"/>
  <c r="N6" i="4"/>
  <c r="N11" i="4"/>
  <c r="N51" i="4"/>
  <c r="N61" i="4"/>
  <c r="N29" i="4"/>
  <c r="N4" i="4"/>
  <c r="N47" i="4"/>
  <c r="N38" i="4"/>
  <c r="N64" i="4"/>
  <c r="N7" i="4"/>
  <c r="N56" i="4"/>
  <c r="N45" i="4"/>
  <c r="N41" i="4"/>
  <c r="N10" i="4"/>
  <c r="N34" i="4"/>
  <c r="N27" i="4"/>
  <c r="N60" i="4"/>
  <c r="N22" i="4"/>
  <c r="N65" i="4"/>
  <c r="N14" i="4"/>
  <c r="N31" i="4"/>
  <c r="N36" i="4"/>
  <c r="N40" i="4"/>
  <c r="N37" i="4"/>
  <c r="N52" i="4"/>
  <c r="N59" i="4"/>
  <c r="N8" i="4"/>
  <c r="N2" i="4"/>
  <c r="N54" i="4"/>
  <c r="N46" i="3"/>
  <c r="N53" i="3"/>
  <c r="N57" i="3"/>
  <c r="N33" i="3"/>
  <c r="N18" i="3"/>
  <c r="N48" i="3"/>
  <c r="N12" i="3"/>
  <c r="N21" i="3"/>
  <c r="N28" i="3"/>
  <c r="N17" i="3"/>
  <c r="N50" i="3"/>
  <c r="N55" i="3"/>
  <c r="N42" i="3"/>
  <c r="N6" i="3"/>
  <c r="N60" i="3"/>
  <c r="N22" i="3"/>
  <c r="N45" i="3"/>
  <c r="N36" i="3"/>
  <c r="N7" i="3"/>
  <c r="N40" i="3"/>
  <c r="N11" i="3"/>
  <c r="N27" i="3"/>
  <c r="N66" i="3"/>
  <c r="N47" i="3"/>
  <c r="N8" i="3"/>
  <c r="N65" i="3"/>
  <c r="N49" i="3"/>
  <c r="N56" i="3"/>
  <c r="N37" i="3"/>
  <c r="N52" i="3"/>
  <c r="N9" i="3"/>
  <c r="N59" i="3"/>
  <c r="N67" i="3"/>
  <c r="N10" i="3"/>
  <c r="N51" i="3"/>
  <c r="N34" i="3"/>
  <c r="N29" i="3"/>
  <c r="N64" i="3"/>
  <c r="N41" i="3"/>
  <c r="N61" i="3"/>
  <c r="N4" i="3"/>
  <c r="N38" i="3"/>
  <c r="N5" i="5"/>
  <c r="O44" i="3"/>
  <c r="L15" i="5"/>
  <c r="Q39" i="3"/>
  <c r="P39" i="4"/>
  <c r="L20" i="4"/>
  <c r="R20" i="4"/>
  <c r="Q20" i="3"/>
  <c r="N13" i="5"/>
  <c r="N24" i="3"/>
  <c r="P24" i="3"/>
  <c r="P58" i="3"/>
  <c r="M58" i="3"/>
  <c r="N26" i="3"/>
  <c r="N26" i="4"/>
  <c r="M26" i="3"/>
  <c r="Q3" i="3"/>
  <c r="P62" i="3"/>
  <c r="R62" i="4"/>
  <c r="N62" i="4"/>
  <c r="P16" i="3"/>
  <c r="R16" i="4"/>
  <c r="P35" i="4"/>
  <c r="M25" i="3"/>
  <c r="P25" i="3"/>
  <c r="N25" i="5"/>
  <c r="N30" i="3"/>
  <c r="N30" i="4"/>
  <c r="M30" i="3"/>
  <c r="O31" i="3"/>
  <c r="L31" i="4"/>
  <c r="P63" i="3"/>
  <c r="L63" i="4"/>
  <c r="P67" i="4"/>
  <c r="M59" i="3"/>
  <c r="Q9" i="3"/>
  <c r="N9" i="4"/>
  <c r="P54" i="4"/>
  <c r="P66" i="3"/>
  <c r="Q52" i="3"/>
  <c r="M48" i="4"/>
  <c r="M12" i="4"/>
  <c r="M55" i="4"/>
  <c r="M50" i="4"/>
  <c r="M28" i="4"/>
  <c r="M17" i="4"/>
  <c r="M21" i="4"/>
  <c r="M18" i="4"/>
  <c r="M53" i="4"/>
  <c r="M46" i="4"/>
  <c r="M42" i="4"/>
  <c r="M57" i="4"/>
  <c r="M33" i="4"/>
  <c r="M36" i="4"/>
  <c r="M27" i="4"/>
  <c r="M7" i="4"/>
  <c r="M8" i="4"/>
  <c r="M2" i="4"/>
  <c r="M52" i="4"/>
  <c r="M6" i="4"/>
  <c r="M29" i="4"/>
  <c r="M38" i="4"/>
  <c r="M51" i="4"/>
  <c r="M61" i="4"/>
  <c r="M4" i="4"/>
  <c r="M47" i="4"/>
  <c r="M11" i="4"/>
  <c r="M49" i="4"/>
  <c r="M32" i="4"/>
  <c r="M64" i="4"/>
  <c r="M10" i="4"/>
  <c r="M34" i="4"/>
  <c r="M56" i="4"/>
  <c r="M22" i="4"/>
  <c r="M45" i="4"/>
  <c r="M41" i="4"/>
  <c r="M14" i="4"/>
  <c r="M60" i="4"/>
  <c r="M65" i="4"/>
  <c r="M40" i="4"/>
  <c r="M37" i="4"/>
  <c r="N5" i="3"/>
  <c r="L5" i="4"/>
  <c r="Q19" i="3"/>
  <c r="R19" i="4"/>
  <c r="L19" i="5"/>
  <c r="Q15" i="3"/>
  <c r="P39" i="3"/>
  <c r="R39" i="4"/>
  <c r="Q39" i="5"/>
  <c r="M20" i="4"/>
  <c r="Q13" i="3"/>
  <c r="L13" i="4"/>
  <c r="M24" i="3"/>
  <c r="L24" i="5"/>
  <c r="O58" i="3"/>
  <c r="P58" i="4"/>
  <c r="O26" i="3"/>
  <c r="N26" i="5"/>
  <c r="M3" i="3"/>
  <c r="Q3" i="5"/>
  <c r="Q62" i="3"/>
  <c r="M16" i="4"/>
  <c r="Q35" i="3"/>
  <c r="Q35" i="5"/>
  <c r="L30" i="5"/>
  <c r="M23" i="3"/>
  <c r="L31" i="5"/>
  <c r="N63" i="3"/>
  <c r="P63" i="4"/>
  <c r="N63" i="5"/>
  <c r="N67" i="4"/>
  <c r="Q43" i="3"/>
  <c r="M59" i="4"/>
  <c r="M9" i="4"/>
  <c r="P9" i="3"/>
  <c r="N14" i="3"/>
  <c r="R37" i="4"/>
  <c r="O17" i="3"/>
  <c r="O21" i="3"/>
  <c r="O53" i="3"/>
  <c r="O50" i="3"/>
  <c r="O12" i="3"/>
  <c r="O33" i="3"/>
  <c r="O18" i="3"/>
  <c r="O42" i="3"/>
  <c r="O57" i="3"/>
  <c r="O28" i="3"/>
  <c r="O55" i="3"/>
  <c r="O48" i="3"/>
  <c r="O46" i="3"/>
  <c r="O4" i="3"/>
  <c r="O47" i="3"/>
  <c r="O38" i="3"/>
  <c r="O37" i="3"/>
  <c r="O14" i="3"/>
  <c r="O52" i="3"/>
  <c r="O6" i="3"/>
  <c r="O64" i="3"/>
  <c r="O49" i="3"/>
  <c r="O27" i="3"/>
  <c r="O60" i="3"/>
  <c r="O8" i="3"/>
  <c r="O45" i="3"/>
  <c r="O36" i="3"/>
  <c r="O56" i="3"/>
  <c r="O40" i="3"/>
  <c r="O32" i="3"/>
  <c r="O41" i="3"/>
  <c r="O10" i="3"/>
  <c r="O11" i="3"/>
  <c r="O7" i="3"/>
  <c r="O65" i="3"/>
  <c r="O61" i="3"/>
  <c r="O29" i="3"/>
  <c r="O22" i="3"/>
  <c r="O54" i="3"/>
  <c r="O51" i="3"/>
  <c r="O34" i="3"/>
  <c r="R21" i="4"/>
  <c r="R48" i="4"/>
  <c r="R46" i="4"/>
  <c r="R42" i="4"/>
  <c r="R55" i="4"/>
  <c r="R57" i="4"/>
  <c r="R12" i="4"/>
  <c r="R33" i="4"/>
  <c r="R28" i="4"/>
  <c r="R53" i="4"/>
  <c r="R50" i="4"/>
  <c r="R17" i="4"/>
  <c r="R18" i="4"/>
  <c r="R10" i="4"/>
  <c r="R51" i="4"/>
  <c r="R34" i="4"/>
  <c r="R22" i="4"/>
  <c r="R14" i="4"/>
  <c r="R61" i="4"/>
  <c r="R8" i="4"/>
  <c r="R65" i="4"/>
  <c r="R40" i="4"/>
  <c r="R6" i="4"/>
  <c r="R11" i="4"/>
  <c r="R60" i="4"/>
  <c r="R64" i="4"/>
  <c r="R38" i="4"/>
  <c r="R52" i="4"/>
  <c r="R66" i="4"/>
  <c r="R56" i="4"/>
  <c r="R29" i="4"/>
  <c r="R45" i="4"/>
  <c r="R49" i="4"/>
  <c r="R32" i="4"/>
  <c r="R59" i="4"/>
  <c r="R23" i="4"/>
  <c r="R7" i="4"/>
  <c r="R4" i="4"/>
  <c r="R47" i="4"/>
  <c r="R36" i="4"/>
  <c r="R27" i="4"/>
  <c r="R41" i="4"/>
  <c r="Q5" i="3"/>
  <c r="N5" i="4"/>
  <c r="N19" i="3"/>
  <c r="P19" i="3"/>
  <c r="N19" i="5"/>
  <c r="N44" i="4"/>
  <c r="Q44" i="5"/>
  <c r="M15" i="4"/>
  <c r="P15" i="4"/>
  <c r="O39" i="3"/>
  <c r="N39" i="5"/>
  <c r="N20" i="5"/>
  <c r="M13" i="4"/>
  <c r="N13" i="4"/>
  <c r="O24" i="3"/>
  <c r="Q24" i="3"/>
  <c r="N58" i="5"/>
  <c r="N3" i="3"/>
  <c r="P3" i="3"/>
  <c r="N62" i="5"/>
  <c r="M62" i="3"/>
  <c r="O16" i="3"/>
  <c r="N35" i="3"/>
  <c r="R35" i="4"/>
  <c r="N25" i="3"/>
  <c r="O25" i="3"/>
  <c r="M23" i="4"/>
  <c r="P23" i="4"/>
  <c r="Q23" i="5"/>
  <c r="Q67" i="3"/>
  <c r="R67" i="4"/>
  <c r="L67" i="5"/>
  <c r="P43" i="4"/>
  <c r="M43" i="4"/>
  <c r="Q59" i="5"/>
  <c r="P9" i="4"/>
  <c r="R54" i="4"/>
  <c r="Q66" i="5"/>
  <c r="P37" i="4"/>
  <c r="N32" i="3"/>
  <c r="L46" i="4"/>
  <c r="L42" i="4"/>
  <c r="L33" i="4"/>
  <c r="L53" i="4"/>
  <c r="L57" i="4"/>
  <c r="L48" i="4"/>
  <c r="L12" i="4"/>
  <c r="L17" i="4"/>
  <c r="L50" i="4"/>
  <c r="L28" i="4"/>
  <c r="L18" i="4"/>
  <c r="L21" i="4"/>
  <c r="L55" i="4"/>
  <c r="L11" i="4"/>
  <c r="L64" i="4"/>
  <c r="L45" i="4"/>
  <c r="L37" i="4"/>
  <c r="L36" i="4"/>
  <c r="L56" i="4"/>
  <c r="L65" i="4"/>
  <c r="L6" i="4"/>
  <c r="L29" i="4"/>
  <c r="L8" i="4"/>
  <c r="L7" i="4"/>
  <c r="L47" i="4"/>
  <c r="L38" i="4"/>
  <c r="L40" i="4"/>
  <c r="L41" i="4"/>
  <c r="L66" i="4"/>
  <c r="L51" i="4"/>
  <c r="L2" i="4"/>
  <c r="L61" i="4"/>
  <c r="L27" i="4"/>
  <c r="L43" i="4"/>
  <c r="L67" i="4"/>
  <c r="L60" i="4"/>
  <c r="L4" i="4"/>
  <c r="L10" i="4"/>
  <c r="L34" i="4"/>
  <c r="L22" i="4"/>
  <c r="L49" i="4"/>
  <c r="L32" i="4"/>
  <c r="L14" i="4"/>
  <c r="L52" i="4"/>
  <c r="P18" i="3"/>
  <c r="P55" i="3"/>
  <c r="P21" i="3"/>
  <c r="P28" i="3"/>
  <c r="P42" i="3"/>
  <c r="P33" i="3"/>
  <c r="P50" i="3"/>
  <c r="P17" i="3"/>
  <c r="P53" i="3"/>
  <c r="P12" i="3"/>
  <c r="P48" i="3"/>
  <c r="P46" i="3"/>
  <c r="P57" i="3"/>
  <c r="P29" i="3"/>
  <c r="P22" i="3"/>
  <c r="P61" i="3"/>
  <c r="P10" i="3"/>
  <c r="P64" i="3"/>
  <c r="P4" i="3"/>
  <c r="P51" i="3"/>
  <c r="P60" i="3"/>
  <c r="P45" i="3"/>
  <c r="P40" i="3"/>
  <c r="P49" i="3"/>
  <c r="P37" i="3"/>
  <c r="P36" i="3"/>
  <c r="P27" i="3"/>
  <c r="P8" i="3"/>
  <c r="P54" i="3"/>
  <c r="P34" i="3"/>
  <c r="P47" i="3"/>
  <c r="P65" i="3"/>
  <c r="P32" i="3"/>
  <c r="P7" i="3"/>
  <c r="P56" i="3"/>
  <c r="P38" i="3"/>
  <c r="P6" i="3"/>
  <c r="P11" i="3"/>
  <c r="P41" i="3"/>
  <c r="P14" i="3"/>
  <c r="L17" i="3"/>
  <c r="L48" i="3"/>
  <c r="L21" i="3"/>
  <c r="L55" i="3"/>
  <c r="L46" i="3"/>
  <c r="L53" i="3"/>
  <c r="L50" i="3"/>
  <c r="L18" i="3"/>
  <c r="L57" i="3"/>
  <c r="L12" i="3"/>
  <c r="L28" i="3"/>
  <c r="L33" i="3"/>
  <c r="L42" i="3"/>
  <c r="L34" i="3"/>
  <c r="L65" i="3"/>
  <c r="L40" i="3"/>
  <c r="L11" i="3"/>
  <c r="L47" i="3"/>
  <c r="L8" i="3"/>
  <c r="L38" i="3"/>
  <c r="L36" i="3"/>
  <c r="L6" i="3"/>
  <c r="L56" i="3"/>
  <c r="L29" i="3"/>
  <c r="L4" i="3"/>
  <c r="L37" i="3"/>
  <c r="L60" i="3"/>
  <c r="L64" i="3"/>
  <c r="L41" i="3"/>
  <c r="L14" i="3"/>
  <c r="L52" i="3"/>
  <c r="L66" i="3"/>
  <c r="L51" i="3"/>
  <c r="L61" i="3"/>
  <c r="L22" i="3"/>
  <c r="L45" i="3"/>
  <c r="L49" i="3"/>
  <c r="L54" i="3"/>
  <c r="L27" i="3"/>
  <c r="L10" i="3"/>
  <c r="L7" i="3"/>
  <c r="L32" i="3"/>
  <c r="M5" i="4"/>
  <c r="L5" i="3"/>
  <c r="Q5" i="5"/>
  <c r="M19" i="3"/>
  <c r="O19" i="3"/>
  <c r="N44" i="3"/>
  <c r="R44" i="4"/>
  <c r="O15" i="3"/>
  <c r="R15" i="4"/>
  <c r="N39" i="3"/>
  <c r="L39" i="5"/>
  <c r="N20" i="4"/>
  <c r="Q13" i="5"/>
  <c r="L24" i="3"/>
  <c r="R24" i="4"/>
  <c r="L58" i="5"/>
  <c r="P26" i="4"/>
  <c r="O3" i="3"/>
  <c r="P3" i="4"/>
  <c r="L3" i="5"/>
  <c r="L62" i="3"/>
  <c r="M16" i="3"/>
  <c r="N16" i="4"/>
  <c r="N16" i="5"/>
  <c r="M35" i="3"/>
  <c r="P35" i="3"/>
  <c r="L35" i="5"/>
  <c r="L25" i="3"/>
  <c r="P25" i="4"/>
  <c r="P30" i="4"/>
  <c r="N30" i="5"/>
  <c r="P23" i="3"/>
  <c r="N23" i="5"/>
  <c r="Q31" i="3"/>
  <c r="L63" i="5"/>
  <c r="N43" i="4"/>
  <c r="Q59" i="3"/>
  <c r="L54" i="4"/>
  <c r="M66" i="4"/>
  <c r="P14" i="4"/>
  <c r="M17" i="3"/>
  <c r="M50" i="3"/>
  <c r="M28" i="3"/>
  <c r="M46" i="3"/>
  <c r="M53" i="3"/>
  <c r="M21" i="3"/>
  <c r="M55" i="3"/>
  <c r="M48" i="3"/>
  <c r="M18" i="3"/>
  <c r="M57" i="3"/>
  <c r="M42" i="3"/>
  <c r="M33" i="3"/>
  <c r="M12" i="3"/>
  <c r="M36" i="3"/>
  <c r="M6" i="3"/>
  <c r="M7" i="3"/>
  <c r="M60" i="3"/>
  <c r="M47" i="3"/>
  <c r="M66" i="3"/>
  <c r="M40" i="3"/>
  <c r="M32" i="3"/>
  <c r="M37" i="3"/>
  <c r="M51" i="3"/>
  <c r="M11" i="3"/>
  <c r="M4" i="3"/>
  <c r="M45" i="3"/>
  <c r="M8" i="3"/>
  <c r="M34" i="3"/>
  <c r="M56" i="3"/>
  <c r="M29" i="3"/>
  <c r="M22" i="3"/>
  <c r="M64" i="3"/>
  <c r="M41" i="3"/>
  <c r="M14" i="3"/>
  <c r="M54" i="3"/>
  <c r="M63" i="3"/>
  <c r="M31" i="3"/>
  <c r="M10" i="3"/>
  <c r="M61" i="3"/>
  <c r="M52" i="3"/>
  <c r="M27" i="3"/>
  <c r="M38" i="3"/>
  <c r="M65" i="3"/>
  <c r="N57" i="5"/>
  <c r="N12" i="5"/>
  <c r="N18" i="5"/>
  <c r="N17" i="5"/>
  <c r="N28" i="5"/>
  <c r="N53" i="5"/>
  <c r="N48" i="5"/>
  <c r="N46" i="5"/>
  <c r="N42" i="5"/>
  <c r="N33" i="5"/>
  <c r="N50" i="5"/>
  <c r="N21" i="5"/>
  <c r="N55" i="5"/>
  <c r="N56" i="5"/>
  <c r="N65" i="5"/>
  <c r="N10" i="5"/>
  <c r="N45" i="5"/>
  <c r="N2" i="5"/>
  <c r="N11" i="5"/>
  <c r="N22" i="5"/>
  <c r="N51" i="5"/>
  <c r="N60" i="5"/>
  <c r="N29" i="5"/>
  <c r="N49" i="5"/>
  <c r="N34" i="5"/>
  <c r="N40" i="5"/>
  <c r="N52" i="5"/>
  <c r="N6" i="5"/>
  <c r="N7" i="5"/>
  <c r="N4" i="5"/>
  <c r="N47" i="5"/>
  <c r="N38" i="5"/>
  <c r="N41" i="5"/>
  <c r="N66" i="5"/>
  <c r="N54" i="5"/>
  <c r="N36" i="5"/>
  <c r="N8" i="5"/>
  <c r="N37" i="5"/>
  <c r="N9" i="5"/>
  <c r="N61" i="5"/>
  <c r="N27" i="5"/>
  <c r="N64" i="5"/>
  <c r="Q28" i="5"/>
  <c r="Q46" i="5"/>
  <c r="Q55" i="5"/>
  <c r="Q33" i="5"/>
  <c r="Q18" i="5"/>
  <c r="Q48" i="5"/>
  <c r="Q50" i="5"/>
  <c r="Q21" i="5"/>
  <c r="Q17" i="5"/>
  <c r="Q12" i="5"/>
  <c r="Q53" i="5"/>
  <c r="Q57" i="5"/>
  <c r="Q42" i="5"/>
  <c r="Q56" i="5"/>
  <c r="Q60" i="5"/>
  <c r="Q29" i="5"/>
  <c r="Q22" i="5"/>
  <c r="Q14" i="5"/>
  <c r="Q34" i="5"/>
  <c r="Q40" i="5"/>
  <c r="Q49" i="5"/>
  <c r="Q51" i="5"/>
  <c r="Q61" i="5"/>
  <c r="Q27" i="5"/>
  <c r="Q4" i="5"/>
  <c r="Q38" i="5"/>
  <c r="Q36" i="5"/>
  <c r="Q10" i="5"/>
  <c r="Q6" i="5"/>
  <c r="Q41" i="5"/>
  <c r="Q37" i="5"/>
  <c r="Q45" i="5"/>
  <c r="Q11" i="5"/>
  <c r="Q2" i="5"/>
  <c r="Q43" i="5"/>
  <c r="Q7" i="5"/>
  <c r="Q64" i="5"/>
  <c r="Q47" i="5"/>
  <c r="Q8" i="5"/>
  <c r="Q65" i="5"/>
  <c r="Q32" i="5"/>
  <c r="P5" i="3"/>
  <c r="N19" i="4"/>
  <c r="L19" i="4"/>
  <c r="L44" i="3"/>
  <c r="L44" i="4"/>
  <c r="P15" i="3"/>
  <c r="N15" i="3"/>
  <c r="Q15" i="5"/>
  <c r="L39" i="4"/>
  <c r="P20" i="3"/>
  <c r="P20" i="4"/>
  <c r="P13" i="3"/>
  <c r="M24" i="4"/>
  <c r="N58" i="3"/>
  <c r="R58" i="4"/>
  <c r="P26" i="3"/>
  <c r="R3" i="4"/>
  <c r="N3" i="5"/>
  <c r="L62" i="4"/>
  <c r="Q16" i="5"/>
  <c r="N35" i="4"/>
  <c r="O35" i="3"/>
  <c r="N35" i="5"/>
  <c r="R25" i="4"/>
  <c r="O30" i="3"/>
  <c r="L23" i="3"/>
  <c r="Q23" i="3"/>
  <c r="P31" i="4"/>
  <c r="Q63" i="3"/>
  <c r="P67" i="3"/>
  <c r="M67" i="4"/>
  <c r="P43" i="3"/>
  <c r="L43" i="3"/>
  <c r="P59" i="3"/>
  <c r="M9" i="3"/>
  <c r="Q54" i="3"/>
  <c r="Q54" i="5"/>
  <c r="N32" i="4"/>
  <c r="L18" i="5"/>
  <c r="L21" i="5"/>
  <c r="L42" i="5"/>
  <c r="L57" i="5"/>
  <c r="L12" i="5"/>
  <c r="L17" i="5"/>
  <c r="L55" i="5"/>
  <c r="L46" i="5"/>
  <c r="L33" i="5"/>
  <c r="L28" i="5"/>
  <c r="L53" i="5"/>
  <c r="L50" i="5"/>
  <c r="L48" i="5"/>
  <c r="L27" i="5"/>
  <c r="L4" i="5"/>
  <c r="L40" i="5"/>
  <c r="L41" i="5"/>
  <c r="L37" i="5"/>
  <c r="L54" i="5"/>
  <c r="L36" i="5"/>
  <c r="L10" i="5"/>
  <c r="L61" i="5"/>
  <c r="L7" i="5"/>
  <c r="L60" i="5"/>
  <c r="L11" i="5"/>
  <c r="L64" i="5"/>
  <c r="L8" i="5"/>
  <c r="L65" i="5"/>
  <c r="L52" i="5"/>
  <c r="L56" i="5"/>
  <c r="L22" i="5"/>
  <c r="L14" i="5"/>
  <c r="L51" i="5"/>
  <c r="L29" i="5"/>
  <c r="L47" i="5"/>
  <c r="L45" i="5"/>
  <c r="L66" i="5"/>
  <c r="L49" i="5"/>
  <c r="L6" i="5"/>
  <c r="L34" i="5"/>
  <c r="L38" i="5"/>
  <c r="L32" i="5"/>
  <c r="P5" i="4"/>
  <c r="O5" i="3"/>
  <c r="L19" i="3"/>
  <c r="P44" i="3"/>
  <c r="N44" i="5"/>
  <c r="M44" i="4"/>
  <c r="L15" i="3"/>
  <c r="M15" i="3"/>
  <c r="N15" i="5"/>
  <c r="M39" i="4"/>
  <c r="N20" i="3"/>
  <c r="Q20" i="5"/>
  <c r="N13" i="3"/>
  <c r="P13" i="4"/>
  <c r="O13" i="3"/>
  <c r="Q24" i="5"/>
  <c r="Q58" i="3"/>
  <c r="L58" i="4"/>
  <c r="Q26" i="3"/>
  <c r="R26" i="4"/>
  <c r="L26" i="5"/>
  <c r="M3" i="4"/>
  <c r="L3" i="3"/>
  <c r="P62" i="4"/>
  <c r="Q62" i="5"/>
  <c r="N16" i="3"/>
  <c r="P16" i="4"/>
  <c r="L35" i="3"/>
  <c r="L35" i="4"/>
  <c r="L25" i="4"/>
  <c r="Q25" i="5"/>
  <c r="P30" i="3"/>
  <c r="R30" i="4"/>
  <c r="Q30" i="5"/>
  <c r="O23" i="3"/>
  <c r="L23" i="4"/>
  <c r="M31" i="4"/>
  <c r="R31" i="4"/>
  <c r="Q31" i="5"/>
  <c r="R63" i="4"/>
  <c r="O67" i="3"/>
  <c r="Q67" i="5"/>
  <c r="O43" i="3"/>
  <c r="L43" i="5"/>
  <c r="O59" i="3"/>
  <c r="L59" i="5"/>
  <c r="L9" i="3"/>
  <c r="Q9" i="5"/>
  <c r="M54" i="4"/>
  <c r="N14" i="5"/>
  <c r="P41" i="4"/>
  <c r="M49" i="3"/>
  <c r="Q47" i="4"/>
  <c r="Q4" i="4"/>
  <c r="Q29" i="4"/>
  <c r="Q51" i="4"/>
  <c r="Q38" i="4"/>
  <c r="Q11" i="4"/>
  <c r="Q65" i="4"/>
  <c r="Q60" i="4"/>
  <c r="Q6" i="4"/>
  <c r="Q8" i="4"/>
  <c r="Q18" i="4"/>
  <c r="Q42" i="4"/>
  <c r="Q17" i="4"/>
  <c r="Q21" i="4"/>
  <c r="Q33" i="4"/>
  <c r="Q57" i="4"/>
  <c r="Q12" i="4"/>
  <c r="Q48" i="4"/>
  <c r="Q55" i="4"/>
  <c r="Q28" i="4"/>
  <c r="Q46" i="4"/>
  <c r="Q53" i="4"/>
  <c r="Q50" i="4"/>
  <c r="Q27" i="4"/>
  <c r="Q10" i="4"/>
  <c r="Q22" i="4"/>
  <c r="Q56" i="4"/>
  <c r="Q7" i="4"/>
  <c r="Q34" i="4"/>
  <c r="Q36" i="4"/>
  <c r="Q64" i="4"/>
  <c r="E9" i="5"/>
  <c r="G5" i="5"/>
  <c r="G9" i="5" s="1"/>
  <c r="B9" i="5"/>
  <c r="D8" i="6"/>
  <c r="C8" i="6"/>
  <c r="D9" i="6"/>
  <c r="D9" i="5"/>
  <c r="C11" i="6"/>
  <c r="B9" i="6"/>
  <c r="Q2" i="3"/>
  <c r="D10" i="6"/>
  <c r="D9" i="4"/>
  <c r="C9" i="6"/>
  <c r="P2" i="3"/>
  <c r="M2" i="3"/>
  <c r="N2" i="3"/>
  <c r="O2" i="3"/>
  <c r="P68" i="5" l="1"/>
  <c r="P69" i="5"/>
  <c r="P70" i="5"/>
  <c r="O70" i="5"/>
  <c r="O68" i="5"/>
  <c r="O69" i="5"/>
  <c r="G13" i="3"/>
  <c r="L63" i="3"/>
  <c r="A13" i="3" s="1"/>
  <c r="L68" i="3"/>
  <c r="L69" i="3"/>
  <c r="L70" i="3"/>
  <c r="L2" i="3"/>
  <c r="O68" i="4"/>
  <c r="O69" i="4"/>
  <c r="O70" i="4"/>
  <c r="M70" i="5"/>
  <c r="M69" i="5"/>
  <c r="M68" i="5"/>
  <c r="R17" i="5"/>
  <c r="R68" i="5"/>
  <c r="R69" i="5"/>
  <c r="R70" i="5"/>
  <c r="C13" i="3"/>
  <c r="D17" i="6" s="1"/>
  <c r="I17" i="6" s="1"/>
  <c r="L59" i="3"/>
  <c r="L30" i="3"/>
  <c r="L31" i="3"/>
  <c r="L13" i="3"/>
  <c r="L26" i="3"/>
  <c r="L39" i="3"/>
  <c r="L67" i="3"/>
  <c r="L58" i="3"/>
  <c r="L16" i="3"/>
  <c r="R43" i="5"/>
  <c r="R32" i="5"/>
  <c r="R33" i="5"/>
  <c r="R21" i="5"/>
  <c r="R64" i="5"/>
  <c r="R10" i="5"/>
  <c r="R46" i="5"/>
  <c r="R53" i="5"/>
  <c r="R23" i="5"/>
  <c r="R52" i="5"/>
  <c r="R41" i="5"/>
  <c r="R62" i="5"/>
  <c r="R66" i="5"/>
  <c r="R14" i="5"/>
  <c r="R16" i="5"/>
  <c r="R25" i="5"/>
  <c r="R35" i="5"/>
  <c r="R15" i="5"/>
  <c r="R9" i="5"/>
  <c r="R50" i="5"/>
  <c r="R18" i="5"/>
  <c r="R65" i="5"/>
  <c r="R13" i="5"/>
  <c r="R28" i="5"/>
  <c r="R51" i="5"/>
  <c r="R26" i="5"/>
  <c r="R6" i="5"/>
  <c r="R55" i="5"/>
  <c r="R20" i="5"/>
  <c r="R48" i="5"/>
  <c r="R49" i="5"/>
  <c r="R19" i="5"/>
  <c r="R34" i="5"/>
  <c r="R24" i="5"/>
  <c r="R36" i="5"/>
  <c r="R22" i="5"/>
  <c r="R44" i="5"/>
  <c r="R57" i="5"/>
  <c r="R31" i="5"/>
  <c r="R60" i="5"/>
  <c r="R54" i="5"/>
  <c r="R29" i="5"/>
  <c r="R39" i="5"/>
  <c r="R11" i="5"/>
  <c r="R45" i="5"/>
  <c r="R27" i="5"/>
  <c r="R8" i="5"/>
  <c r="R58" i="5"/>
  <c r="R59" i="5"/>
  <c r="R38" i="5"/>
  <c r="R4" i="5"/>
  <c r="R5" i="5"/>
  <c r="R56" i="5"/>
  <c r="R12" i="5"/>
  <c r="R42" i="5"/>
  <c r="R40" i="5"/>
  <c r="R67" i="5"/>
  <c r="R30" i="5"/>
  <c r="R2" i="5"/>
  <c r="R7" i="5"/>
  <c r="R47" i="5"/>
  <c r="R63" i="5"/>
  <c r="R61" i="5"/>
  <c r="R37" i="5"/>
  <c r="R3" i="5"/>
  <c r="F13" i="4"/>
  <c r="A13" i="5"/>
  <c r="A13" i="4"/>
  <c r="O17" i="5"/>
  <c r="O42" i="5"/>
  <c r="O48" i="5"/>
  <c r="O28" i="5"/>
  <c r="O46" i="5"/>
  <c r="O53" i="5"/>
  <c r="O18" i="5"/>
  <c r="O55" i="5"/>
  <c r="O57" i="5"/>
  <c r="O12" i="5"/>
  <c r="O50" i="5"/>
  <c r="O21" i="5"/>
  <c r="O33" i="5"/>
  <c r="O7" i="5"/>
  <c r="O45" i="5"/>
  <c r="O49" i="5"/>
  <c r="O22" i="5"/>
  <c r="O32" i="5"/>
  <c r="O41" i="5"/>
  <c r="O34" i="5"/>
  <c r="O60" i="5"/>
  <c r="O29" i="5"/>
  <c r="O47" i="5"/>
  <c r="O65" i="5"/>
  <c r="O40" i="5"/>
  <c r="O38" i="5"/>
  <c r="O52" i="5"/>
  <c r="O10" i="5"/>
  <c r="O6" i="5"/>
  <c r="O27" i="5"/>
  <c r="O4" i="5"/>
  <c r="O66" i="5"/>
  <c r="O54" i="5"/>
  <c r="O36" i="5"/>
  <c r="O51" i="5"/>
  <c r="O8" i="5"/>
  <c r="O37" i="5"/>
  <c r="O61" i="5"/>
  <c r="O64" i="5"/>
  <c r="O2" i="5"/>
  <c r="O11" i="5"/>
  <c r="O56" i="5"/>
  <c r="O63" i="5"/>
  <c r="O19" i="5"/>
  <c r="O30" i="5"/>
  <c r="O16" i="5"/>
  <c r="O58" i="5"/>
  <c r="O9" i="5"/>
  <c r="O67" i="5"/>
  <c r="O31" i="5"/>
  <c r="O62" i="5"/>
  <c r="O20" i="5"/>
  <c r="O26" i="5"/>
  <c r="O15" i="5"/>
  <c r="O23" i="5"/>
  <c r="O13" i="5"/>
  <c r="O5" i="5"/>
  <c r="O59" i="5"/>
  <c r="O25" i="5"/>
  <c r="O35" i="5"/>
  <c r="O3" i="5"/>
  <c r="O24" i="5"/>
  <c r="O44" i="5"/>
  <c r="O14" i="5"/>
  <c r="O43" i="5"/>
  <c r="O39" i="5"/>
  <c r="O28" i="4"/>
  <c r="O55" i="4"/>
  <c r="O48" i="4"/>
  <c r="O17" i="4"/>
  <c r="O53" i="4"/>
  <c r="O57" i="4"/>
  <c r="O46" i="4"/>
  <c r="O18" i="4"/>
  <c r="O21" i="4"/>
  <c r="O42" i="4"/>
  <c r="O33" i="4"/>
  <c r="O50" i="4"/>
  <c r="O12" i="4"/>
  <c r="O51" i="4"/>
  <c r="O29" i="4"/>
  <c r="O40" i="4"/>
  <c r="O49" i="4"/>
  <c r="O7" i="4"/>
  <c r="O4" i="4"/>
  <c r="O32" i="4"/>
  <c r="O64" i="4"/>
  <c r="O45" i="4"/>
  <c r="O34" i="4"/>
  <c r="O27" i="4"/>
  <c r="O56" i="4"/>
  <c r="O22" i="4"/>
  <c r="O65" i="4"/>
  <c r="O14" i="4"/>
  <c r="O10" i="4"/>
  <c r="O61" i="4"/>
  <c r="O60" i="4"/>
  <c r="O38" i="4"/>
  <c r="O37" i="4"/>
  <c r="O36" i="4"/>
  <c r="O2" i="4"/>
  <c r="O52" i="4"/>
  <c r="O6" i="4"/>
  <c r="O11" i="4"/>
  <c r="O8" i="4"/>
  <c r="O66" i="4"/>
  <c r="O9" i="4"/>
  <c r="O59" i="4"/>
  <c r="O47" i="4"/>
  <c r="O20" i="4"/>
  <c r="O43" i="4"/>
  <c r="O16" i="4"/>
  <c r="O62" i="4"/>
  <c r="O44" i="4"/>
  <c r="O5" i="4"/>
  <c r="O58" i="4"/>
  <c r="O13" i="4"/>
  <c r="O31" i="4"/>
  <c r="O30" i="4"/>
  <c r="O26" i="4"/>
  <c r="O25" i="4"/>
  <c r="O3" i="4"/>
  <c r="O63" i="4"/>
  <c r="O23" i="4"/>
  <c r="O15" i="4"/>
  <c r="O41" i="4"/>
  <c r="O54" i="4"/>
  <c r="O67" i="4"/>
  <c r="O35" i="4"/>
  <c r="O24" i="4"/>
  <c r="O39" i="4"/>
  <c r="O19" i="4"/>
  <c r="F13" i="3"/>
  <c r="E13" i="3"/>
  <c r="D19" i="6" s="1"/>
  <c r="I19" i="6" s="1"/>
  <c r="D13" i="3"/>
  <c r="D18" i="6" s="1"/>
  <c r="I18" i="6" s="1"/>
  <c r="P53" i="5"/>
  <c r="P57" i="5"/>
  <c r="P28" i="5"/>
  <c r="P33" i="5"/>
  <c r="P50" i="5"/>
  <c r="P55" i="5"/>
  <c r="P21" i="5"/>
  <c r="P42" i="5"/>
  <c r="P46" i="5"/>
  <c r="P48" i="5"/>
  <c r="P17" i="5"/>
  <c r="P18" i="5"/>
  <c r="P12" i="5"/>
  <c r="P47" i="5"/>
  <c r="P38" i="5"/>
  <c r="P65" i="5"/>
  <c r="P2" i="5"/>
  <c r="P32" i="5"/>
  <c r="P6" i="5"/>
  <c r="P60" i="5"/>
  <c r="P29" i="5"/>
  <c r="P40" i="5"/>
  <c r="P27" i="5"/>
  <c r="P4" i="5"/>
  <c r="P49" i="5"/>
  <c r="P36" i="5"/>
  <c r="P51" i="5"/>
  <c r="P61" i="5"/>
  <c r="P8" i="5"/>
  <c r="P37" i="5"/>
  <c r="P34" i="5"/>
  <c r="P64" i="5"/>
  <c r="P41" i="5"/>
  <c r="P67" i="5"/>
  <c r="P63" i="5"/>
  <c r="P23" i="5"/>
  <c r="P11" i="5"/>
  <c r="P56" i="5"/>
  <c r="P22" i="5"/>
  <c r="P45" i="5"/>
  <c r="P14" i="5"/>
  <c r="P54" i="5"/>
  <c r="P10" i="5"/>
  <c r="P7" i="5"/>
  <c r="P52" i="5"/>
  <c r="P16" i="5"/>
  <c r="P9" i="5"/>
  <c r="P31" i="5"/>
  <c r="P25" i="5"/>
  <c r="P20" i="5"/>
  <c r="P15" i="5"/>
  <c r="P13" i="5"/>
  <c r="P5" i="5"/>
  <c r="P62" i="5"/>
  <c r="P44" i="5"/>
  <c r="P59" i="5"/>
  <c r="P43" i="5"/>
  <c r="P35" i="5"/>
  <c r="P3" i="5"/>
  <c r="P24" i="5"/>
  <c r="P39" i="5"/>
  <c r="P66" i="5"/>
  <c r="P30" i="5"/>
  <c r="P26" i="5"/>
  <c r="P58" i="5"/>
  <c r="P19" i="5"/>
  <c r="M42" i="5"/>
  <c r="M57" i="5"/>
  <c r="M12" i="5"/>
  <c r="M17" i="5"/>
  <c r="M53" i="5"/>
  <c r="M50" i="5"/>
  <c r="M55" i="5"/>
  <c r="M48" i="5"/>
  <c r="M46" i="5"/>
  <c r="M18" i="5"/>
  <c r="M21" i="5"/>
  <c r="M28" i="5"/>
  <c r="M33" i="5"/>
  <c r="M10" i="5"/>
  <c r="M61" i="5"/>
  <c r="M27" i="5"/>
  <c r="M7" i="5"/>
  <c r="M64" i="5"/>
  <c r="M65" i="5"/>
  <c r="M2" i="5"/>
  <c r="M11" i="5"/>
  <c r="M56" i="5"/>
  <c r="M36" i="5"/>
  <c r="M22" i="5"/>
  <c r="M45" i="5"/>
  <c r="M32" i="5"/>
  <c r="M14" i="5"/>
  <c r="M66" i="5"/>
  <c r="M29" i="5"/>
  <c r="M47" i="5"/>
  <c r="M49" i="5"/>
  <c r="M4" i="5"/>
  <c r="M40" i="5"/>
  <c r="M51" i="5"/>
  <c r="M6" i="5"/>
  <c r="M34" i="5"/>
  <c r="M38" i="5"/>
  <c r="M41" i="5"/>
  <c r="M54" i="5"/>
  <c r="M60" i="5"/>
  <c r="M8" i="5"/>
  <c r="M37" i="5"/>
  <c r="M3" i="5"/>
  <c r="M58" i="5"/>
  <c r="M24" i="5"/>
  <c r="M63" i="5"/>
  <c r="M39" i="5"/>
  <c r="M52" i="5"/>
  <c r="M31" i="5"/>
  <c r="M30" i="5"/>
  <c r="M16" i="5"/>
  <c r="M62" i="5"/>
  <c r="M20" i="5"/>
  <c r="M15" i="5"/>
  <c r="M44" i="5"/>
  <c r="M43" i="5"/>
  <c r="M67" i="5"/>
  <c r="M23" i="5"/>
  <c r="M19" i="5"/>
  <c r="M9" i="5"/>
  <c r="M25" i="5"/>
  <c r="M35" i="5"/>
  <c r="M13" i="5"/>
  <c r="M5" i="5"/>
  <c r="M59" i="5"/>
  <c r="M26" i="5"/>
  <c r="B13" i="3"/>
  <c r="D16" i="6" s="1"/>
  <c r="I16" i="6" s="1"/>
  <c r="F13" i="5"/>
  <c r="G13" i="4"/>
  <c r="E13" i="4"/>
  <c r="C19" i="6" s="1"/>
  <c r="H19" i="6" s="1"/>
  <c r="C13" i="4"/>
  <c r="C17" i="6" s="1"/>
  <c r="H17" i="6" s="1"/>
  <c r="C13" i="5"/>
  <c r="B17" i="6" s="1"/>
  <c r="G17" i="6" s="1"/>
  <c r="B13" i="4"/>
  <c r="C16" i="6" s="1"/>
  <c r="H16" i="6" s="1"/>
  <c r="G13" i="5" l="1"/>
  <c r="E13" i="5"/>
  <c r="B19" i="6" s="1"/>
  <c r="G19" i="6" s="1"/>
  <c r="B13" i="5"/>
  <c r="B16" i="6" s="1"/>
  <c r="G16" i="6" s="1"/>
  <c r="D13" i="5"/>
  <c r="B18" i="6" s="1"/>
  <c r="G18" i="6" s="1"/>
  <c r="D13" i="4"/>
  <c r="C18" i="6" s="1"/>
  <c r="H18" i="6" s="1"/>
  <c r="H22" i="6" l="1"/>
</calcChain>
</file>

<file path=xl/sharedStrings.xml><?xml version="1.0" encoding="utf-8"?>
<sst xmlns="http://schemas.openxmlformats.org/spreadsheetml/2006/main" count="328" uniqueCount="60">
  <si>
    <t>Conformer Relative Populations</t>
  </si>
  <si>
    <t>Conv. Hartree to kcal/mol</t>
  </si>
  <si>
    <t>r (in kcal/(K*mol))</t>
  </si>
  <si>
    <t>Temp (K)</t>
  </si>
  <si>
    <t>Sum of Rel Pop</t>
  </si>
  <si>
    <t>Sum of Weights</t>
  </si>
  <si>
    <t>Energy (hartrees)</t>
  </si>
  <si>
    <t>Energy (kcal)</t>
  </si>
  <si>
    <t>Rel E</t>
  </si>
  <si>
    <t>Gibbs Energy (hartree)</t>
  </si>
  <si>
    <t>Conformer</t>
  </si>
  <si>
    <t>Classification</t>
  </si>
  <si>
    <t>Rotamer</t>
  </si>
  <si>
    <t>rel G</t>
  </si>
  <si>
    <t>rel Pop</t>
  </si>
  <si>
    <t>weight</t>
  </si>
  <si>
    <t>Notes</t>
  </si>
  <si>
    <t>4H6</t>
  </si>
  <si>
    <t>6H4</t>
  </si>
  <si>
    <t>5C12</t>
  </si>
  <si>
    <t>12C5</t>
  </si>
  <si>
    <t>Boltzmann Contribution</t>
  </si>
  <si>
    <t>Average E</t>
  </si>
  <si>
    <t>J1,2</t>
  </si>
  <si>
    <t>J2,3</t>
  </si>
  <si>
    <t>J34</t>
  </si>
  <si>
    <t>J45</t>
  </si>
  <si>
    <t>J56</t>
  </si>
  <si>
    <t>J67</t>
  </si>
  <si>
    <t>J77'</t>
  </si>
  <si>
    <t>J67'</t>
  </si>
  <si>
    <t>classification</t>
  </si>
  <si>
    <t>Column1</t>
  </si>
  <si>
    <t>Sum of Chair Weights</t>
  </si>
  <si>
    <t>Column2</t>
  </si>
  <si>
    <t>J1,23</t>
  </si>
  <si>
    <t>J2,34</t>
  </si>
  <si>
    <t>J345</t>
  </si>
  <si>
    <t>J456</t>
  </si>
  <si>
    <t>J567</t>
  </si>
  <si>
    <t>J678</t>
  </si>
  <si>
    <t>J67'9</t>
  </si>
  <si>
    <t>J77'10</t>
  </si>
  <si>
    <t>RMSD</t>
  </si>
  <si>
    <t>Exp (Hz)</t>
  </si>
  <si>
    <t>DFT (Hz)</t>
  </si>
  <si>
    <t>Scaled DFT (Hz)</t>
  </si>
  <si>
    <t>weighted</t>
  </si>
  <si>
    <t>Average</t>
  </si>
  <si>
    <t>SdDev</t>
  </si>
  <si>
    <t>J23</t>
  </si>
  <si>
    <t>SD</t>
  </si>
  <si>
    <t>125B</t>
  </si>
  <si>
    <t>gt</t>
  </si>
  <si>
    <t>gg</t>
  </si>
  <si>
    <t>tg</t>
  </si>
  <si>
    <t>eclipsed</t>
  </si>
  <si>
    <t>TH45</t>
  </si>
  <si>
    <t>45TH</t>
  </si>
  <si>
    <t>56TH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</si>
</sst>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00B0F0"/>
      <name val="Arial"/>
      <family val="2"/>
    </font>
    <font>
      <sz val="8"/>
      <name val="Calibri"/>
      <family val="2"/>
      <scheme val="minor"/>
    </font>
    <font>
      <sz val="10"/>
      <color rgb="FF00000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NumberFormat="1"/>
    <xf numFmtId="0" fontId="0" fillId="0" borderId="1" xfId="0" applyBorder="1"/>
    <xf numFmtId="2" fontId="0" fillId="0" borderId="0" xfId="0" applyNumberFormat="1"/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0" fillId="0" borderId="0" xfId="0" applyFont="1"/>
    <xf numFmtId="164" fontId="0" fillId="0" borderId="0" xfId="0" applyNumberFormat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2" fontId="0" fillId="0" borderId="1" xfId="0" applyNumberFormat="1" applyBorder="1"/>
    <xf numFmtId="1" fontId="0" fillId="0" borderId="0" xfId="0" applyNumberFormat="1"/>
    <xf numFmtId="1" fontId="0" fillId="0" borderId="1" xfId="0" applyNumberFormat="1" applyBorder="1"/>
    <xf numFmtId="0" fontId="0" fillId="0" borderId="0" xfId="0" applyFill="1"/>
    <xf numFmtId="0" fontId="0" fillId="0" borderId="0" xfId="1" applyNumberFormat="1" applyFont="1"/>
    <xf numFmtId="164" fontId="0" fillId="0" borderId="1" xfId="0" applyNumberFormat="1" applyFont="1" applyBorder="1"/>
    <xf numFmtId="164" fontId="0" fillId="0" borderId="3" xfId="0" applyNumberFormat="1" applyBorder="1"/>
  </cellXfs>
  <cellStyles count="2">
    <cellStyle name="Normal" xfId="0" builtinId="0"/>
    <cellStyle name="Percent" xfId="1" builtinId="5"/>
  </cellStyles>
  <dxfs count="22">
    <dxf>
      <numFmt numFmtId="0" formatCode="General"/>
    </dxf>
    <dxf>
      <font>
        <color rgb="FF006100"/>
      </font>
      <fill>
        <patternFill>
          <bgColor rgb="FFC6EF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rgb="FF9C0006"/>
      </font>
      <fill>
        <patternFill>
          <bgColor rgb="FFFFC7CE"/>
        </patternFill>
      </fill>
    </dxf>
    <dxf>
      <numFmt numFmtId="0" formatCode="General"/>
    </dxf>
    <dxf>
      <numFmt numFmtId="1" formatCode="0"/>
    </dxf>
    <dxf>
      <numFmt numFmtId="164" formatCode="0.0000"/>
    </dxf>
    <dxf>
      <numFmt numFmtId="164" formatCode="0.0000"/>
    </dxf>
    <dxf>
      <numFmt numFmtId="164" formatCode="0.0000"/>
    </dxf>
    <dxf>
      <numFmt numFmtId="0" formatCode="General"/>
    </dxf>
    <dxf>
      <numFmt numFmtId="0" formatCode="General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Boltzmann</a:t>
            </a:r>
            <a:r>
              <a:rPr lang="en-US" baseline="0"/>
              <a:t> Distribution of Mannose-based Oxepine in Chloroform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DED-4924-AC9A-58265F8E505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DED-4924-AC9A-58265F8E505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DED-4924-AC9A-58265F8E505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DED-4924-AC9A-58265F8E505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DED-4924-AC9A-58265F8E5055}"/>
              </c:ext>
            </c:extLst>
          </c:dPt>
          <c:dLbls>
            <c:dLbl>
              <c:idx val="3"/>
              <c:layout>
                <c:manualLayout>
                  <c:x val="2.2405074365704287E-2"/>
                  <c:y val="5.506211723534558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ED-4924-AC9A-58265F8E50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chloroform!$N$7:$N$11</c:f>
              <c:strCache>
                <c:ptCount val="5"/>
                <c:pt idx="0">
                  <c:v>4H6</c:v>
                </c:pt>
                <c:pt idx="1">
                  <c:v>45TH</c:v>
                </c:pt>
                <c:pt idx="2">
                  <c:v>5C12</c:v>
                </c:pt>
                <c:pt idx="3">
                  <c:v>56TH</c:v>
                </c:pt>
                <c:pt idx="4">
                  <c:v>12C5</c:v>
                </c:pt>
              </c:strCache>
            </c:strRef>
          </c:cat>
          <c:val>
            <c:numRef>
              <c:f>chloroform!$O$7:$O$11</c:f>
              <c:numCache>
                <c:formatCode>General</c:formatCode>
                <c:ptCount val="5"/>
                <c:pt idx="0">
                  <c:v>0.71725426389689328</c:v>
                </c:pt>
                <c:pt idx="1">
                  <c:v>0.17300513189130079</c:v>
                </c:pt>
                <c:pt idx="2">
                  <c:v>8.5383093834451224E-2</c:v>
                </c:pt>
                <c:pt idx="3">
                  <c:v>1.5555934899308932E-2</c:v>
                </c:pt>
                <c:pt idx="4">
                  <c:v>3.7364689667734119E-3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87-4FFD-BFD3-5EBF4F45B71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44203849518811"/>
          <c:y val="0.15804357904496988"/>
          <c:w val="0.89655796150481193"/>
          <c:h val="0.7204994542580647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chloroform!$N$7:$N$12</c:f>
              <c:strCache>
                <c:ptCount val="6"/>
                <c:pt idx="0">
                  <c:v>4H6</c:v>
                </c:pt>
                <c:pt idx="1">
                  <c:v>45TH</c:v>
                </c:pt>
                <c:pt idx="2">
                  <c:v>5C12</c:v>
                </c:pt>
                <c:pt idx="3">
                  <c:v>56TH</c:v>
                </c:pt>
                <c:pt idx="4">
                  <c:v>12C5</c:v>
                </c:pt>
                <c:pt idx="5">
                  <c:v>6H4</c:v>
                </c:pt>
              </c:strCache>
            </c:strRef>
          </c:cat>
          <c:val>
            <c:numRef>
              <c:f>chloroform!$P$7:$P$12</c:f>
              <c:numCache>
                <c:formatCode>General</c:formatCode>
                <c:ptCount val="6"/>
                <c:pt idx="0">
                  <c:v>2.0864028083228998</c:v>
                </c:pt>
                <c:pt idx="1">
                  <c:v>3.0964064633861805</c:v>
                </c:pt>
                <c:pt idx="2">
                  <c:v>3.1129028949442064</c:v>
                </c:pt>
                <c:pt idx="3">
                  <c:v>3.0024691517852866</c:v>
                </c:pt>
                <c:pt idx="4">
                  <c:v>4.1154581687490763</c:v>
                </c:pt>
                <c:pt idx="5">
                  <c:v>3.9380950133587853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20-4F27-8A67-3CE97FF56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927360"/>
        <c:axId val="159401408"/>
      </c:lineChart>
      <c:catAx>
        <c:axId val="17092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401408"/>
        <c:crosses val="autoZero"/>
        <c:auto val="1"/>
        <c:lblAlgn val="ctr"/>
        <c:lblOffset val="100"/>
        <c:noMultiLvlLbl val="0"/>
      </c:catAx>
      <c:valAx>
        <c:axId val="15940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927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Populations</a:t>
            </a:r>
            <a:r>
              <a:rPr lang="en-US" baseline="0"/>
              <a:t> in Solution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47C-4E7D-BC79-5900030166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47C-4E7D-BC79-59000301665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47C-4E7D-BC79-59000301665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Sheet6!$M$9:$M$11</c:f>
              <c:strCache>
                <c:ptCount val="3"/>
                <c:pt idx="0">
                  <c:v>4H6</c:v>
                </c:pt>
                <c:pt idx="1">
                  <c:v>5C12</c:v>
                </c:pt>
                <c:pt idx="2">
                  <c:v>45TH</c:v>
                </c:pt>
              </c:strCache>
            </c:strRef>
          </c:cat>
          <c:val>
            <c:numRef>
              <c:f>Sheet6!$N$9:$N$11</c:f>
              <c:numCache>
                <c:formatCode>General</c:formatCode>
                <c:ptCount val="3"/>
                <c:pt idx="0">
                  <c:v>0.5635</c:v>
                </c:pt>
                <c:pt idx="1">
                  <c:v>0.31290000000000001</c:v>
                </c:pt>
                <c:pt idx="2">
                  <c:v>0.1236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44-4B7E-84DF-1A0D32F9891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205740</xdr:colOff>
      <xdr:row>19</xdr:row>
      <xdr:rowOff>0</xdr:rowOff>
    </xdr:from>
    <xdr:to>
      <xdr:col>19</xdr:col>
      <xdr:colOff>510540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D88416-F6C6-4E8B-BF60-08E01D1EC4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361950</xdr:colOff>
      <xdr:row>0</xdr:row>
      <xdr:rowOff>181927</xdr:rowOff>
    </xdr:from>
    <xdr:to>
      <xdr:col>24</xdr:col>
      <xdr:colOff>57150</xdr:colOff>
      <xdr:row>16</xdr:row>
      <xdr:rowOff>20002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462B5B3-B473-4A4D-BD21-F0490023D8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280987</xdr:colOff>
      <xdr:row>14</xdr:row>
      <xdr:rowOff>98107</xdr:rowOff>
    </xdr:from>
    <xdr:to>
      <xdr:col>21</xdr:col>
      <xdr:colOff>585787</xdr:colOff>
      <xdr:row>28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9369B8-BB4E-49C6-825A-729EE5C9DA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0F378A-7FF5-477E-9F58-AA57ACA0A4EA}" name="Table1" displayName="Table1" ref="A6:K75" totalsRowShown="0">
  <autoFilter ref="A6:K75" xr:uid="{D2222DA1-7940-4CAF-B639-69BE9EB6EC23}"/>
  <sortState xmlns:xlrd2="http://schemas.microsoft.com/office/spreadsheetml/2017/richdata2" ref="A7:K75">
    <sortCondition ref="E6:E75"/>
  </sortState>
  <tableColumns count="11">
    <tableColumn id="1" xr3:uid="{FEE07942-27E5-496C-9CE0-57C74379E5FA}" name="Energy (hartrees)">
      <calculatedColumnFormula>Table1[[#This Row],[Gibbs Energy (hartree)]]</calculatedColumnFormula>
    </tableColumn>
    <tableColumn id="2" xr3:uid="{63BAC07D-9EEB-4F2C-8811-E61BDC1C21EA}" name="Energy (kcal)">
      <calculatedColumnFormula>Table1[[#This Row],[Energy (hartrees)]]*$C$2</calculatedColumnFormula>
    </tableColumn>
    <tableColumn id="3" xr3:uid="{12894FA1-734B-45A6-9EF2-5148A247DA7B}" name="Rel E" dataDxfId="18">
      <calculatedColumnFormula>Table1[[#This Row],[Energy (kcal)]]-MIN(Table1[Energy (kcal)])</calculatedColumnFormula>
    </tableColumn>
    <tableColumn id="4" xr3:uid="{54C0F622-FA42-47B1-9E9E-743875831B4F}" name="Gibbs Energy (hartree)" dataDxfId="17"/>
    <tableColumn id="5" xr3:uid="{BDB0ECDE-37A8-4A43-A3CD-DD9087669A2C}" name="Conformer" dataCellStyle="Normal"/>
    <tableColumn id="6" xr3:uid="{21628E59-03EB-4814-A6DC-64A3C143958C}" name="Classification"/>
    <tableColumn id="7" xr3:uid="{AA0E77B5-E211-487E-B49A-CB97CCF7EB4C}" name="Rotamer"/>
    <tableColumn id="8" xr3:uid="{C8505BC0-77EE-412B-881D-63638FDCF736}" name="rel G" dataDxfId="16">
      <calculatedColumnFormula>Table1[[#This Row],[Rel E]]</calculatedColumnFormula>
    </tableColumn>
    <tableColumn id="9" xr3:uid="{EBC562E8-B9B1-406E-97BC-1FF976A70B16}" name="rel Pop" dataDxfId="15">
      <calculatedColumnFormula>IF(Table1[[#This Row],[rel G]]&lt;5,EXP(-H7/(D$2*E$2)),0)</calculatedColumnFormula>
    </tableColumn>
    <tableColumn id="10" xr3:uid="{7DDF65B3-2008-4EF1-B471-33FC09D4BF35}" name="weight" dataDxfId="14">
      <calculatedColumnFormula>IF(Table1[[#This Row],[rel G]]&lt;5,I7/$F$2,0)</calculatedColumnFormula>
    </tableColumn>
    <tableColumn id="11" xr3:uid="{89EB24DF-08B1-411D-9901-685CD4A89140}" name="Notes">
      <calculatedColumnFormula>"1-"&amp;Table1[[#This Row],[Conformer]]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20E235-C4B7-40BE-BA2F-32B5A8BAB326}" name="Table2" displayName="Table2" ref="A1:T70" totalsRowShown="0">
  <autoFilter ref="A1:T70" xr:uid="{80F3E59D-79C5-4B7B-9568-C30BCF944036}"/>
  <tableColumns count="20">
    <tableColumn id="1" xr3:uid="{2198BB88-6605-48FF-B11D-ABBAC4DF32C9}" name="Column1" dataDxfId="13"/>
    <tableColumn id="2" xr3:uid="{ECA138EF-DFE0-4FA2-8395-F326AA2F3EC0}" name="J1,2"/>
    <tableColumn id="3" xr3:uid="{B9719F06-DA97-4A47-A1D7-7DB788F1468E}" name="J2,3"/>
    <tableColumn id="4" xr3:uid="{433F98E4-42A0-4622-9B85-6ED7E3978782}" name="J34"/>
    <tableColumn id="5" xr3:uid="{0D07CCDF-37DB-4EE9-8CAB-117F3F1CC3F9}" name="J45"/>
    <tableColumn id="6" xr3:uid="{35492A16-3276-4B47-BBDF-0FEDEEFEA748}" name="J56"/>
    <tableColumn id="7" xr3:uid="{CAAE7FE1-3744-44F8-AF5E-3389DFAB73C4}" name="J67"/>
    <tableColumn id="8" xr3:uid="{9D491360-065E-4CBB-9EB5-7812C352DDD6}" name="J77'"/>
    <tableColumn id="9" xr3:uid="{16E42B76-E02F-4E7A-B038-1A1894011742}" name="J67'"/>
    <tableColumn id="10" xr3:uid="{A5ABFF3F-34FD-4AA6-A6B0-B78B399F171C}" name="weight" dataDxfId="12">
      <calculatedColumnFormula>chloroform!J7</calculatedColumnFormula>
    </tableColumn>
    <tableColumn id="11" xr3:uid="{F5D86611-FEEF-4B78-86A2-EDD564E6E521}" name="classification">
      <calculatedColumnFormula>chloroform!F7</calculatedColumnFormula>
    </tableColumn>
    <tableColumn id="12" xr3:uid="{BA3D2A2B-257F-4BF1-8E9D-90AD4EBF46A9}" name="Column2"/>
    <tableColumn id="13" xr3:uid="{5F435E63-4F32-4514-99E6-0CED455594F8}" name="J1,23">
      <calculatedColumnFormula>0.9155*Table2[[#This Row],[J1,2]]*Table2[[#This Row],[weight]]</calculatedColumnFormula>
    </tableColumn>
    <tableColumn id="14" xr3:uid="{D5A178FE-CB99-47E9-8362-119DC69FD52C}" name="J2,34">
      <calculatedColumnFormula>0.9155*Table2[[#This Row],[J2,3]]*Table2[[#This Row],[weight]]</calculatedColumnFormula>
    </tableColumn>
    <tableColumn id="15" xr3:uid="{8DCD0B45-C5C6-4C5E-B29A-BB6B1BB901BE}" name="J345">
      <calculatedColumnFormula>0.9155*Table2[[#This Row],[J34]]*Table2[[#This Row],[weight]]</calculatedColumnFormula>
    </tableColumn>
    <tableColumn id="16" xr3:uid="{38299B99-8E91-4F27-81EB-5940CBE11CD5}" name="J456">
      <calculatedColumnFormula>0.9155*Table2[[#This Row],[J45]]*Table2[[#This Row],[weight]]</calculatedColumnFormula>
    </tableColumn>
    <tableColumn id="17" xr3:uid="{ABCC17F3-244D-4473-80F1-D83E9E5DB0D9}" name="J567">
      <calculatedColumnFormula>0.9155*Table2[[#This Row],[J56]]*Table2[[#This Row],[weight]]</calculatedColumnFormula>
    </tableColumn>
    <tableColumn id="18" xr3:uid="{31B4933A-A11E-45C2-895C-F766E90CEA50}" name="J678">
      <calculatedColumnFormula>0.9155*Table2[[#This Row],[J67]]*Table2[[#This Row],[weight]]</calculatedColumnFormula>
    </tableColumn>
    <tableColumn id="19" xr3:uid="{91FA6AC6-01C4-442E-910F-0358D29D2E39}" name="J67'9">
      <calculatedColumnFormula>0.9155*Table2[[#This Row],[J67'']]*Table2[[#This Row],[weight]]</calculatedColumnFormula>
    </tableColumn>
    <tableColumn id="20" xr3:uid="{5A98559C-FB8A-42AD-8563-88BCBF6953A2}" name="J77'10">
      <calculatedColumnFormula>0.9155*Table2[[#This Row],[J77'']]*Table2[[#This Row],[weight]]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C9683B3-1EAE-460D-8A60-9BB936A5D5B7}" name="Table3" displayName="Table3" ref="K1:T70" totalsRowShown="0">
  <autoFilter ref="K1:T70" xr:uid="{D8941E95-9795-4A93-81A8-7906E931066E}"/>
  <tableColumns count="10">
    <tableColumn id="1" xr3:uid="{502316A8-00C9-483C-A55E-042B44DAC480}" name="Column1">
      <calculatedColumnFormula>chloroform!E7</calculatedColumnFormula>
    </tableColumn>
    <tableColumn id="2" xr3:uid="{0E2E6069-2A77-412C-ADA4-C97F3F31DD5A}" name="J1,2" dataDxfId="10">
      <calculatedColumnFormula>Table3[[#This Row],[weight]]*(0.9155*Table2[[#This Row],[J1,2]]-A$9)^2</calculatedColumnFormula>
    </tableColumn>
    <tableColumn id="3" xr3:uid="{99C8AE46-1D36-4558-BECE-2A9182B49057}" name="J2,3" dataDxfId="9">
      <calculatedColumnFormula>Table3[[#This Row],[weight]]*(0.9155*Table2[[#This Row],[J2,3]]-B$9)^2</calculatedColumnFormula>
    </tableColumn>
    <tableColumn id="4" xr3:uid="{803275AF-CFEE-4850-AA59-B7DB234A210B}" name="J34" dataDxfId="8">
      <calculatedColumnFormula>Table3[[#This Row],[weight]]*(0.9155*Table2[[#This Row],[J34]]-C$9)^2</calculatedColumnFormula>
    </tableColumn>
    <tableColumn id="5" xr3:uid="{AD807DCB-A3B0-4EB1-BD30-22361475CD38}" name="J45" dataDxfId="7">
      <calculatedColumnFormula>Table3[[#This Row],[weight]]*(0.9155*Table2[[#This Row],[J45]]-D$9)^2</calculatedColumnFormula>
    </tableColumn>
    <tableColumn id="6" xr3:uid="{37B27F45-4581-4973-9AE8-D34D9029691D}" name="J56" dataDxfId="6">
      <calculatedColumnFormula>Table3[[#This Row],[weight]]*(0.9155*Table2[[#This Row],[J56]]-E$9)^2</calculatedColumnFormula>
    </tableColumn>
    <tableColumn id="7" xr3:uid="{BF4C5F4D-3601-4174-8A18-5C730E7E580B}" name="J67" dataDxfId="5">
      <calculatedColumnFormula>Table3[[#This Row],[weight]]*(0.9155*Table2[[#This Row],[J67]]-F$9)^2</calculatedColumnFormula>
    </tableColumn>
    <tableColumn id="8" xr3:uid="{8B48EF87-E5AD-478B-B6EE-9EF474E2BF1E}" name="J67'" dataDxfId="4">
      <calculatedColumnFormula>Table3[[#This Row],[weight]]*(0.9155*Table2[[#This Row],[J67'']]-G$9)^2</calculatedColumnFormula>
    </tableColumn>
    <tableColumn id="9" xr3:uid="{23ACD263-BA0B-4F2B-A70A-089C885DE580}" name="weight" dataDxfId="3">
      <calculatedColumnFormula>chloroform!J7</calculatedColumnFormula>
    </tableColumn>
    <tableColumn id="10" xr3:uid="{B8477986-80BC-40E3-A47B-C498CC76E9FD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B06FBB3-A2C2-4FDE-B1AD-D11119206D28}" name="Table4" displayName="Table4" ref="K1:T70" totalsRowShown="0">
  <autoFilter ref="K1:T70" xr:uid="{A1075F35-F7AD-4E01-AD07-ABB443989D8A}"/>
  <tableColumns count="10">
    <tableColumn id="1" xr3:uid="{539EC493-8612-4824-BBA5-4F3410BCF95C}" name="Column1">
      <calculatedColumnFormula>chloroform!K7</calculatedColumnFormula>
    </tableColumn>
    <tableColumn id="2" xr3:uid="{ADE1840D-4E63-4056-B087-720E3C8D48F8}" name="J1,2">
      <calculatedColumnFormula>Table3[[#This Row],[weight]]*(0.9155*Table2[[#This Row],[J1,2]]-A$9)^2</calculatedColumnFormula>
    </tableColumn>
    <tableColumn id="3" xr3:uid="{0A5E9677-D60C-4A68-8F67-38BE2CBD0EF0}" name="J2,3">
      <calculatedColumnFormula>Table3[[#This Row],[weight]]*(0.9155*Table2[[#This Row],[J2,3]]-B$9)^2</calculatedColumnFormula>
    </tableColumn>
    <tableColumn id="4" xr3:uid="{DE156935-A678-4B97-BE6F-34AAE2225C8D}" name="J34">
      <calculatedColumnFormula>Table3[[#This Row],[weight]]*(0.9155*Table2[[#This Row],[J34]]-C$9)^2</calculatedColumnFormula>
    </tableColumn>
    <tableColumn id="5" xr3:uid="{2235EAC3-D676-4449-A975-3F1A26E0FBEE}" name="J45">
      <calculatedColumnFormula>Table3[[#This Row],[weight]]*(0.9155*Table2[[#This Row],[J45]]-D$9)^2</calculatedColumnFormula>
    </tableColumn>
    <tableColumn id="6" xr3:uid="{E35ADD3D-B856-4D0D-BB2D-E2CC2A5A02D0}" name="J56">
      <calculatedColumnFormula>Table3[[#This Row],[weight]]*(0.9155*Table2[[#This Row],[J56]]-E$9)^2</calculatedColumnFormula>
    </tableColumn>
    <tableColumn id="7" xr3:uid="{B704A86F-4F50-4C59-944F-34BEC12A3640}" name="J67">
      <calculatedColumnFormula>Table3[[#This Row],[weight]]*(0.9155*Table2[[#This Row],[J67]]-F$9)^2</calculatedColumnFormula>
    </tableColumn>
    <tableColumn id="8" xr3:uid="{C243E690-F4BB-4D38-AF09-CB0A497D1D0B}" name="J67'">
      <calculatedColumnFormula>Table3[[#This Row],[weight]]*(0.9155*Table2[[#This Row],[J67'']]-G$9)^2</calculatedColumnFormula>
    </tableColumn>
    <tableColumn id="9" xr3:uid="{82D38FBE-4844-4268-A0BD-4068CC7C9C73}" name="weight" dataDxfId="2">
      <calculatedColumnFormula>chloroform!J7</calculatedColumnFormula>
    </tableColumn>
    <tableColumn id="10" xr3:uid="{A9818B2B-AA90-4CE5-A099-51B2F36D6008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7DFCD93-EE66-4461-AB65-74347531B34D}" name="Table5" displayName="Table5" ref="K1:T70" totalsRowShown="0">
  <autoFilter ref="K1:T70" xr:uid="{AA7FD910-FF4D-43EE-B893-1EC5E6F6550E}"/>
  <tableColumns count="10">
    <tableColumn id="1" xr3:uid="{774DC80B-714D-4654-8353-7EF1A8195396}" name="Column1">
      <calculatedColumnFormula>chloroform!K7</calculatedColumnFormula>
    </tableColumn>
    <tableColumn id="2" xr3:uid="{38C2153D-BAF4-4A1A-8EDB-8785A4AD0908}" name="J1,2">
      <calculatedColumnFormula>Table3[[#This Row],[weight]]*(0.9155*Table2[[#This Row],[J1,2]]-A$9)^2</calculatedColumnFormula>
    </tableColumn>
    <tableColumn id="3" xr3:uid="{EF6BB1C6-3368-4F70-9F54-37273CEC4E36}" name="J2,3">
      <calculatedColumnFormula>Table3[[#This Row],[weight]]*(0.9155*Table2[[#This Row],[J2,3]]-B$9)^2</calculatedColumnFormula>
    </tableColumn>
    <tableColumn id="4" xr3:uid="{516BE08A-FB82-4D43-A476-A7C775B4687C}" name="J34">
      <calculatedColumnFormula>Table3[[#This Row],[weight]]*(0.9155*Table2[[#This Row],[J34]]-C$9)^2</calculatedColumnFormula>
    </tableColumn>
    <tableColumn id="5" xr3:uid="{9F32F96E-7268-4E1F-BA3D-6A9F224A2372}" name="J45">
      <calculatedColumnFormula>Table3[[#This Row],[weight]]*(0.9155*Table2[[#This Row],[J45]]-D$9)^2</calculatedColumnFormula>
    </tableColumn>
    <tableColumn id="6" xr3:uid="{BDBB980C-0C59-4C08-9C9E-95CC8B229416}" name="J56">
      <calculatedColumnFormula>Table3[[#This Row],[weight]]*(0.9155*Table2[[#This Row],[J56]]-E$9)^2</calculatedColumnFormula>
    </tableColumn>
    <tableColumn id="7" xr3:uid="{9E6445BF-8159-469C-B3E4-F2D851C86772}" name="J67">
      <calculatedColumnFormula>Table3[[#This Row],[weight]]*(0.9155*Table2[[#This Row],[J67]]-F$9)^2</calculatedColumnFormula>
    </tableColumn>
    <tableColumn id="8" xr3:uid="{889F0A2C-2A66-4510-BD8C-65650A6D86E4}" name="J67'">
      <calculatedColumnFormula>Table3[[#This Row],[weight]]*(0.9155*Table2[[#This Row],[J67'']]-G$9)^2</calculatedColumnFormula>
    </tableColumn>
    <tableColumn id="9" xr3:uid="{616ABDC3-DE35-4068-871E-D545F9DF1E71}" name="weight" dataDxfId="0">
      <calculatedColumnFormula>chloroform!J7</calculatedColumnFormula>
    </tableColumn>
    <tableColumn id="10" xr3:uid="{C5468787-465A-4B91-ACB0-C1521F115E20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C78BB-2BC0-4325-8544-70B963963355}">
  <dimension ref="A1:T83"/>
  <sheetViews>
    <sheetView zoomScale="85" zoomScaleNormal="85" workbookViewId="0">
      <selection activeCell="J4" sqref="J4"/>
    </sheetView>
  </sheetViews>
  <sheetFormatPr defaultRowHeight="15" x14ac:dyDescent="0.25"/>
  <cols>
    <col min="1" max="1" width="16.7109375" customWidth="1"/>
    <col min="2" max="2" width="22.7109375" customWidth="1"/>
    <col min="4" max="4" width="20.7109375" customWidth="1"/>
    <col min="5" max="5" width="11.7109375" customWidth="1"/>
    <col min="6" max="6" width="13.7109375" customWidth="1"/>
    <col min="7" max="7" width="10" customWidth="1"/>
    <col min="8" max="8" width="11.140625" bestFit="1" customWidth="1"/>
    <col min="9" max="10" width="9.7109375" bestFit="1" customWidth="1"/>
    <col min="15" max="15" width="24.28515625" customWidth="1"/>
    <col min="19" max="20" width="10.42578125" bestFit="1" customWidth="1"/>
    <col min="24" max="24" width="11" bestFit="1" customWidth="1"/>
  </cols>
  <sheetData>
    <row r="1" spans="1:16" x14ac:dyDescent="0.25">
      <c r="A1" s="1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16" x14ac:dyDescent="0.25">
      <c r="A2" s="3"/>
      <c r="B2" s="2"/>
      <c r="C2" s="2">
        <v>627.51</v>
      </c>
      <c r="D2" s="2">
        <v>1.9858800000000002E-3</v>
      </c>
      <c r="E2" s="2">
        <v>298.2</v>
      </c>
      <c r="F2">
        <f>SUMIF(Table1[rel G],"&lt;5",Table1[rel Pop])</f>
        <v>7.2983098284774819</v>
      </c>
      <c r="G2">
        <f>SUM(J7:J111)</f>
        <v>0.99999999999999944</v>
      </c>
    </row>
    <row r="6" spans="1:16" x14ac:dyDescent="0.25">
      <c r="A6" t="s">
        <v>6</v>
      </c>
      <c r="B6" t="s">
        <v>7</v>
      </c>
      <c r="C6" t="s">
        <v>8</v>
      </c>
      <c r="D6" t="s">
        <v>9</v>
      </c>
      <c r="E6" t="s">
        <v>10</v>
      </c>
      <c r="F6" t="s">
        <v>11</v>
      </c>
      <c r="G6" t="s">
        <v>12</v>
      </c>
      <c r="H6" t="s">
        <v>13</v>
      </c>
      <c r="I6" t="s">
        <v>14</v>
      </c>
      <c r="J6" t="s">
        <v>15</v>
      </c>
      <c r="K6" t="s">
        <v>16</v>
      </c>
      <c r="O6" t="s">
        <v>21</v>
      </c>
      <c r="P6" t="s">
        <v>22</v>
      </c>
    </row>
    <row r="7" spans="1:16" x14ac:dyDescent="0.25">
      <c r="A7">
        <f>Table1[[#This Row],[Gibbs Energy (hartree)]]</f>
        <v>-1260.0249108232599</v>
      </c>
      <c r="B7">
        <f>Table1[[#This Row],[Energy (hartrees)]]*$C$2</f>
        <v>-790678.23179070384</v>
      </c>
      <c r="C7" s="4">
        <f>Table1[[#This Row],[Energy (kcal)]]-MIN(Table1[Energy (kcal)])</f>
        <v>1.1266199077945203</v>
      </c>
      <c r="D7">
        <v>-1260.0249108232599</v>
      </c>
      <c r="E7">
        <v>2</v>
      </c>
      <c r="F7" t="s">
        <v>17</v>
      </c>
      <c r="G7" t="s">
        <v>53</v>
      </c>
      <c r="H7" s="6">
        <f>Table1[[#This Row],[Rel E]]</f>
        <v>1.1266199077945203</v>
      </c>
      <c r="I7" s="10">
        <f>IF(Table1[[#This Row],[rel G]]&lt;5,EXP(-H7/(D$2*E$2)),0)</f>
        <v>0.14920031846174725</v>
      </c>
      <c r="J7" s="19">
        <f>IF(Table1[[#This Row],[rel G]]&lt;5,I7/$F$2,0)</f>
        <v>2.0443132994926894E-2</v>
      </c>
      <c r="K7" t="str">
        <f>"1-"&amp;Table1[[#This Row],[Conformer]]</f>
        <v>1-2</v>
      </c>
      <c r="M7">
        <f>COUNTIF(Table1[Classification],N7)</f>
        <v>17</v>
      </c>
      <c r="N7" t="s">
        <v>17</v>
      </c>
      <c r="O7">
        <f>SUMIF(Table1[Classification],N7,Table1[weight])</f>
        <v>0.71725426389689328</v>
      </c>
      <c r="P7">
        <f>AVERAGEIF(Table1[Classification],N7,Table1[rel G])</f>
        <v>2.0864028083228998</v>
      </c>
    </row>
    <row r="8" spans="1:16" x14ac:dyDescent="0.25">
      <c r="A8">
        <f>Table1[[#This Row],[Gibbs Energy (hartree)]]</f>
        <v>-1260.0251547999601</v>
      </c>
      <c r="B8">
        <f>Table1[[#This Row],[Energy (hartrees)]]*$C$2</f>
        <v>-790678.38488852291</v>
      </c>
      <c r="C8" s="4">
        <f>Table1[[#This Row],[Energy (kcal)]]-MIN(Table1[Energy (kcal)])</f>
        <v>0.97352208872325718</v>
      </c>
      <c r="D8">
        <v>-1260.0251547999601</v>
      </c>
      <c r="E8">
        <v>3</v>
      </c>
      <c r="F8" t="s">
        <v>17</v>
      </c>
      <c r="G8" t="s">
        <v>53</v>
      </c>
      <c r="H8" s="6">
        <f>Table1[[#This Row],[Rel E]]</f>
        <v>0.97352208872325718</v>
      </c>
      <c r="I8" s="10">
        <f>IF(Table1[[#This Row],[rel G]]&lt;5,EXP(-H8/(D$2*E$2)),0)</f>
        <v>0.19321784529536404</v>
      </c>
      <c r="J8" s="19">
        <f>IF(Table1[[#This Row],[rel G]]&lt;5,I8/$F$2,0)</f>
        <v>2.6474327595882797E-2</v>
      </c>
      <c r="K8" t="str">
        <f>"1-"&amp;Table1[[#This Row],[Conformer]]</f>
        <v>1-3</v>
      </c>
      <c r="M8">
        <f>COUNTIF(Table1[Classification],N8)</f>
        <v>15</v>
      </c>
      <c r="N8" t="s">
        <v>58</v>
      </c>
      <c r="O8">
        <f>SUMIF(Table1[Classification],N8,Table1[weight])</f>
        <v>0.17300513189130079</v>
      </c>
      <c r="P8">
        <f>AVERAGEIF(Table1[Classification],N8,Table1[rel G])</f>
        <v>3.0964064633861805</v>
      </c>
    </row>
    <row r="9" spans="1:16" x14ac:dyDescent="0.25">
      <c r="A9">
        <f>Table1[[#This Row],[Gibbs Energy (hartree)]]</f>
        <v>-1260.0262318595901</v>
      </c>
      <c r="B9">
        <f>Table1[[#This Row],[Energy (hartrees)]]*$C$2</f>
        <v>-790679.06075421139</v>
      </c>
      <c r="C9" s="4">
        <f>Table1[[#This Row],[Energy (kcal)]]-MIN(Table1[Energy (kcal)])</f>
        <v>0.29765640024561435</v>
      </c>
      <c r="D9">
        <v>-1260.0262318595901</v>
      </c>
      <c r="E9">
        <v>4</v>
      </c>
      <c r="F9" t="s">
        <v>17</v>
      </c>
      <c r="G9" t="s">
        <v>54</v>
      </c>
      <c r="H9" s="6">
        <f>Table1[[#This Row],[Rel E]]</f>
        <v>0.29765640024561435</v>
      </c>
      <c r="I9" s="10">
        <f>IF(Table1[[#This Row],[rel G]]&lt;5,EXP(-H9/(D$2*E$2)),0)</f>
        <v>0.60493325468193593</v>
      </c>
      <c r="J9" s="19">
        <f>IF(Table1[[#This Row],[rel G]]&lt;5,I9/$F$2,0)</f>
        <v>8.2886759934681004E-2</v>
      </c>
      <c r="K9" t="str">
        <f>"1-"&amp;Table1[[#This Row],[Conformer]]</f>
        <v>1-4</v>
      </c>
      <c r="M9">
        <f>COUNTIF(Table1[Classification],N9)</f>
        <v>11</v>
      </c>
      <c r="N9" t="s">
        <v>19</v>
      </c>
      <c r="O9">
        <f>SUMIF(Table1[Classification],N9,Table1[weight])</f>
        <v>8.5383093834451224E-2</v>
      </c>
      <c r="P9">
        <f>AVERAGEIF(Table1[Classification],N9,Table1[rel G])</f>
        <v>3.1129028949442064</v>
      </c>
    </row>
    <row r="10" spans="1:16" x14ac:dyDescent="0.25">
      <c r="A10">
        <f>Table1[[#This Row],[Gibbs Energy (hartree)]]</f>
        <v>-1260.0267062048599</v>
      </c>
      <c r="B10">
        <f>Table1[[#This Row],[Energy (hartrees)]]*$C$2</f>
        <v>-790679.35841061163</v>
      </c>
      <c r="C10" s="4">
        <f>Table1[[#This Row],[Energy (kcal)]]-MIN(Table1[Energy (kcal)])</f>
        <v>0</v>
      </c>
      <c r="D10">
        <v>-1260.0267062048599</v>
      </c>
      <c r="E10">
        <v>6</v>
      </c>
      <c r="F10" t="s">
        <v>17</v>
      </c>
      <c r="G10" t="s">
        <v>54</v>
      </c>
      <c r="H10" s="6">
        <f>Table1[[#This Row],[Rel E]]</f>
        <v>0</v>
      </c>
      <c r="I10" s="10">
        <f>IF(Table1[[#This Row],[rel G]]&lt;5,EXP(-H10/(D$2*E$2)),0)</f>
        <v>1</v>
      </c>
      <c r="J10" s="19">
        <f>IF(Table1[[#This Row],[rel G]]&lt;5,I10/$F$2,0)</f>
        <v>0.13701802520058434</v>
      </c>
      <c r="K10" t="str">
        <f>"1-"&amp;Table1[[#This Row],[Conformer]]</f>
        <v>1-6</v>
      </c>
      <c r="M10">
        <f>COUNTIF(Table1[Classification],N10)</f>
        <v>3</v>
      </c>
      <c r="N10" t="s">
        <v>59</v>
      </c>
      <c r="O10">
        <f>SUMIF(Table1[Classification],N10,Table1[weight])</f>
        <v>1.5555934899308932E-2</v>
      </c>
      <c r="P10">
        <f>AVERAGEIF(Table1[Classification],N10,Table1[rel G])</f>
        <v>3.0024691517852866</v>
      </c>
    </row>
    <row r="11" spans="1:16" x14ac:dyDescent="0.25">
      <c r="A11">
        <f>Table1[[#This Row],[Gibbs Energy (hartree)]]</f>
        <v>-1260.0235624224299</v>
      </c>
      <c r="B11">
        <f>Table1[[#This Row],[Energy (hartrees)]]*$C$2</f>
        <v>-790677.38565569895</v>
      </c>
      <c r="C11" s="4">
        <f>Table1[[#This Row],[Energy (kcal)]]-MIN(Table1[Energy (kcal)])</f>
        <v>1.9727549126837403</v>
      </c>
      <c r="D11">
        <v>-1260.0235624224299</v>
      </c>
      <c r="E11">
        <v>7</v>
      </c>
      <c r="F11" t="s">
        <v>58</v>
      </c>
      <c r="G11" t="s">
        <v>54</v>
      </c>
      <c r="H11" s="6">
        <f>Table1[[#This Row],[Rel E]]</f>
        <v>1.9727549126837403</v>
      </c>
      <c r="I11" s="10">
        <f>IF(Table1[[#This Row],[rel G]]&lt;5,EXP(-H11/(D$2*E$2)),0)</f>
        <v>3.5746947662697426E-2</v>
      </c>
      <c r="J11" s="19">
        <f>IF(Table1[[#This Row],[rel G]]&lt;5,I11/$F$2,0)</f>
        <v>4.8979761756914458E-3</v>
      </c>
      <c r="K11" t="str">
        <f>"1-"&amp;Table1[[#This Row],[Conformer]]</f>
        <v>1-7</v>
      </c>
      <c r="M11">
        <f>COUNTIF(Table1[Classification],N11)</f>
        <v>12</v>
      </c>
      <c r="N11" t="s">
        <v>20</v>
      </c>
      <c r="O11">
        <f>SUMIF(Table1[Classification],N11,Table1[weight])</f>
        <v>3.7364689667734119E-3</v>
      </c>
      <c r="P11">
        <f>AVERAGEIF(Table1[Classification],N11,Table1[rel G])</f>
        <v>4.1154581687490763</v>
      </c>
    </row>
    <row r="12" spans="1:16" x14ac:dyDescent="0.25">
      <c r="A12">
        <f>Table1[[#This Row],[Gibbs Energy (hartree)]]</f>
        <v>-1260.0260532126099</v>
      </c>
      <c r="B12">
        <f>Table1[[#This Row],[Energy (hartrees)]]*$C$2</f>
        <v>-790678.94865144487</v>
      </c>
      <c r="C12" s="4">
        <f>Table1[[#This Row],[Energy (kcal)]]-MIN(Table1[Energy (kcal)])</f>
        <v>0.40975916676688939</v>
      </c>
      <c r="D12">
        <v>-1260.0260532126099</v>
      </c>
      <c r="E12">
        <v>8</v>
      </c>
      <c r="F12" t="s">
        <v>17</v>
      </c>
      <c r="G12" t="s">
        <v>54</v>
      </c>
      <c r="H12" s="6">
        <f>Table1[[#This Row],[Rel E]]</f>
        <v>0.40975916676688939</v>
      </c>
      <c r="I12" s="10">
        <f>IF(Table1[[#This Row],[rel G]]&lt;5,EXP(-H12/(D$2*E$2)),0)</f>
        <v>0.50060427406843333</v>
      </c>
      <c r="J12" s="19">
        <f>IF(Table1[[#This Row],[rel G]]&lt;5,I12/$F$2,0)</f>
        <v>6.8591809039828824E-2</v>
      </c>
      <c r="K12" t="str">
        <f>"1-"&amp;Table1[[#This Row],[Conformer]]</f>
        <v>1-8</v>
      </c>
      <c r="M12">
        <f>COUNTIF(Table1[Classification],N12)</f>
        <v>6</v>
      </c>
      <c r="N12" t="s">
        <v>18</v>
      </c>
      <c r="O12">
        <f>SUMIF(Table1[Classification],N12,Table1[weight])</f>
        <v>4.9177319628258571E-3</v>
      </c>
      <c r="P12">
        <f>AVERAGEIF(Table1[Classification],N12,Table1[rel G])</f>
        <v>3.9380950133587853</v>
      </c>
    </row>
    <row r="13" spans="1:16" x14ac:dyDescent="0.25">
      <c r="A13">
        <f>Table1[[#This Row],[Gibbs Energy (hartree)]]</f>
        <v>-1260.02546375161</v>
      </c>
      <c r="B13">
        <f>Table1[[#This Row],[Energy (hartrees)]]*$C$2</f>
        <v>-790678.57875877281</v>
      </c>
      <c r="C13" s="4">
        <f>Table1[[#This Row],[Energy (kcal)]]-MIN(Table1[Energy (kcal)])</f>
        <v>0.77965183882042766</v>
      </c>
      <c r="D13">
        <v>-1260.02546375161</v>
      </c>
      <c r="E13">
        <v>9</v>
      </c>
      <c r="F13" t="s">
        <v>17</v>
      </c>
      <c r="G13" t="s">
        <v>54</v>
      </c>
      <c r="H13" s="6">
        <f>Table1[[#This Row],[Rel E]]</f>
        <v>0.77965183882042766</v>
      </c>
      <c r="I13" s="10">
        <f>IF(Table1[[#This Row],[rel G]]&lt;5,EXP(-H13/(D$2*E$2)),0)</f>
        <v>0.26805630903188576</v>
      </c>
      <c r="J13" s="19">
        <f>IF(Table1[[#This Row],[rel G]]&lt;5,I13/$F$2,0)</f>
        <v>3.6728546106106548E-2</v>
      </c>
      <c r="K13" t="str">
        <f>"1-"&amp;Table1[[#This Row],[Conformer]]</f>
        <v>1-9</v>
      </c>
      <c r="M13">
        <f>COUNTIF(Table1[Classification],N13)</f>
        <v>4</v>
      </c>
      <c r="N13" t="s">
        <v>57</v>
      </c>
      <c r="O13">
        <f>SUMIF(Table1[Classification],N13,Table1[weight])</f>
        <v>1.4737454844605875E-4</v>
      </c>
      <c r="P13">
        <f>AVERAGEIF(Table1[Classification],N13,Table1[rel G])</f>
        <v>4.9325300463242456</v>
      </c>
    </row>
    <row r="14" spans="1:16" x14ac:dyDescent="0.25">
      <c r="A14">
        <f>Table1[[#This Row],[Gibbs Energy (hartree)]]</f>
        <v>-1260.01606292358</v>
      </c>
      <c r="B14">
        <f>Table1[[#This Row],[Energy (hartrees)]]*$C$2</f>
        <v>-790672.6796451757</v>
      </c>
      <c r="C14" s="4">
        <f>Table1[[#This Row],[Energy (kcal)]]-MIN(Table1[Energy (kcal)])</f>
        <v>6.6787654359359294</v>
      </c>
      <c r="D14">
        <v>-1260.01606292358</v>
      </c>
      <c r="E14">
        <v>14</v>
      </c>
      <c r="F14" t="s">
        <v>58</v>
      </c>
      <c r="G14" t="s">
        <v>54</v>
      </c>
      <c r="H14" s="10">
        <f>Table1[[#This Row],[Rel E]]</f>
        <v>6.6787654359359294</v>
      </c>
      <c r="I14" s="10">
        <f>IF(Table1[[#This Row],[rel G]]&lt;5,EXP(-H14/(D$2*E$2)),0)</f>
        <v>0</v>
      </c>
      <c r="J14" s="10">
        <f>IF(Table1[[#This Row],[rel G]]&lt;5,I14/$F$2,0)</f>
        <v>0</v>
      </c>
      <c r="K14" t="str">
        <f>"1-"&amp;Table1[[#This Row],[Conformer]]</f>
        <v>1-14</v>
      </c>
      <c r="M14">
        <f>COUNTIF(Table1[Classification],N14)</f>
        <v>1</v>
      </c>
      <c r="N14" t="s">
        <v>52</v>
      </c>
      <c r="O14">
        <f>SUMIF(Table1[Classification],N14,Table1[weight])</f>
        <v>0</v>
      </c>
      <c r="P14">
        <f>AVERAGEIF(Table1[Classification],N14,Table1[rel G])</f>
        <v>7.0115245700580999</v>
      </c>
    </row>
    <row r="15" spans="1:16" x14ac:dyDescent="0.25">
      <c r="A15">
        <f>Table1[[#This Row],[Gibbs Energy (hartree)]]</f>
        <v>-1260.02484406756</v>
      </c>
      <c r="B15">
        <f>Table1[[#This Row],[Energy (hartrees)]]*$C$2</f>
        <v>-790678.18990083458</v>
      </c>
      <c r="C15" s="4">
        <f>Table1[[#This Row],[Energy (kcal)]]-MIN(Table1[Energy (kcal)])</f>
        <v>1.1685097770532593</v>
      </c>
      <c r="D15">
        <v>-1260.02484406756</v>
      </c>
      <c r="E15">
        <v>15</v>
      </c>
      <c r="F15" t="s">
        <v>58</v>
      </c>
      <c r="G15" t="s">
        <v>53</v>
      </c>
      <c r="H15" s="6">
        <f>Table1[[#This Row],[Rel E]]</f>
        <v>1.1685097770532593</v>
      </c>
      <c r="I15" s="10">
        <f>IF(Table1[[#This Row],[rel G]]&lt;5,EXP(-H15/(D$2*E$2)),0)</f>
        <v>0.1390109269237649</v>
      </c>
      <c r="J15" s="19">
        <f>IF(Table1[[#This Row],[rel G]]&lt;5,I15/$F$2,0)</f>
        <v>1.9047002688397006E-2</v>
      </c>
      <c r="K15" t="str">
        <f>"1-"&amp;Table1[[#This Row],[Conformer]]</f>
        <v>1-15</v>
      </c>
    </row>
    <row r="16" spans="1:16" x14ac:dyDescent="0.25">
      <c r="A16">
        <f>Table1[[#This Row],[Gibbs Energy (hartree)]]</f>
        <v>-1260.0261612827201</v>
      </c>
      <c r="B16">
        <f>Table1[[#This Row],[Energy (hartrees)]]*$C$2</f>
        <v>-790679.01646651968</v>
      </c>
      <c r="C16" s="4">
        <f>Table1[[#This Row],[Energy (kcal)]]-MIN(Table1[Energy (kcal)])</f>
        <v>0.34194409195333719</v>
      </c>
      <c r="D16">
        <v>-1260.0261612827201</v>
      </c>
      <c r="E16">
        <v>16</v>
      </c>
      <c r="F16" t="s">
        <v>17</v>
      </c>
      <c r="G16" t="s">
        <v>54</v>
      </c>
      <c r="H16" s="6">
        <f>Table1[[#This Row],[Rel E]]</f>
        <v>0.34194409195333719</v>
      </c>
      <c r="I16" s="10">
        <f>IF(Table1[[#This Row],[rel G]]&lt;5,EXP(-H16/(D$2*E$2)),0)</f>
        <v>0.56134279835076062</v>
      </c>
      <c r="J16" s="19">
        <f>IF(Table1[[#This Row],[rel G]]&lt;5,I16/$F$2,0)</f>
        <v>7.6914081690591052E-2</v>
      </c>
      <c r="K16" t="str">
        <f>"1-"&amp;Table1[[#This Row],[Conformer]]</f>
        <v>1-16</v>
      </c>
      <c r="O16">
        <f>SUM(O7:O13)</f>
        <v>0.99999999999999956</v>
      </c>
    </row>
    <row r="17" spans="1:15" x14ac:dyDescent="0.25">
      <c r="A17">
        <f>Table1[[#This Row],[Gibbs Energy (hartree)]]</f>
        <v>-1260.0260675596901</v>
      </c>
      <c r="B17">
        <f>Table1[[#This Row],[Energy (hartrees)]]*$C$2</f>
        <v>-790678.95765438117</v>
      </c>
      <c r="C17" s="4">
        <f>Table1[[#This Row],[Energy (kcal)]]-MIN(Table1[Energy (kcal)])</f>
        <v>0.40075623046141118</v>
      </c>
      <c r="D17">
        <v>-1260.0260675596901</v>
      </c>
      <c r="E17">
        <v>17</v>
      </c>
      <c r="F17" t="s">
        <v>58</v>
      </c>
      <c r="G17" t="s">
        <v>54</v>
      </c>
      <c r="H17" s="6">
        <f>Table1[[#This Row],[Rel E]]</f>
        <v>0.40075623046141118</v>
      </c>
      <c r="I17" s="10">
        <f>IF(Table1[[#This Row],[rel G]]&lt;5,EXP(-H17/(D$2*E$2)),0)</f>
        <v>0.50827300530985986</v>
      </c>
      <c r="J17" s="19">
        <f>IF(Table1[[#This Row],[rel G]]&lt;5,I17/$F$2,0)</f>
        <v>6.9642563450323117E-2</v>
      </c>
      <c r="K17" t="str">
        <f>"1-"&amp;Table1[[#This Row],[Conformer]]</f>
        <v>1-17</v>
      </c>
      <c r="O17">
        <f>SUM(O7:O9)</f>
        <v>0.97564248962264533</v>
      </c>
    </row>
    <row r="18" spans="1:15" x14ac:dyDescent="0.25">
      <c r="A18">
        <f>Table1[[#This Row],[Gibbs Energy (hartree)]]</f>
        <v>-1260.0230529180801</v>
      </c>
      <c r="B18">
        <f>Table1[[#This Row],[Energy (hartrees)]]*$C$2</f>
        <v>-790677.06593662442</v>
      </c>
      <c r="C18" s="4">
        <f>Table1[[#This Row],[Energy (kcal)]]-MIN(Table1[Energy (kcal)])</f>
        <v>2.292473987210542</v>
      </c>
      <c r="D18">
        <v>-1260.0230529180801</v>
      </c>
      <c r="E18">
        <v>19</v>
      </c>
      <c r="F18" t="s">
        <v>18</v>
      </c>
      <c r="G18" t="s">
        <v>55</v>
      </c>
      <c r="H18" s="6">
        <f>Table1[[#This Row],[Rel E]]</f>
        <v>2.292473987210542</v>
      </c>
      <c r="I18" s="10">
        <f>IF(Table1[[#This Row],[rel G]]&lt;5,EXP(-H18/(D$2*E$2)),0)</f>
        <v>2.0833694941550025E-2</v>
      </c>
      <c r="J18" s="19">
        <f>IF(Table1[[#This Row],[rel G]]&lt;5,I18/$F$2,0)</f>
        <v>2.8545917385225878E-3</v>
      </c>
      <c r="K18" t="str">
        <f>"1-"&amp;Table1[[#This Row],[Conformer]]</f>
        <v>1-19</v>
      </c>
    </row>
    <row r="19" spans="1:15" x14ac:dyDescent="0.25">
      <c r="A19">
        <f>Table1[[#This Row],[Gibbs Energy (hartree)]]</f>
        <v>-1260.0260382347001</v>
      </c>
      <c r="B19">
        <f>Table1[[#This Row],[Energy (hartrees)]]*$C$2</f>
        <v>-790678.93925265665</v>
      </c>
      <c r="C19" s="4">
        <f>Table1[[#This Row],[Energy (kcal)]]-MIN(Table1[Energy (kcal)])</f>
        <v>0.41915795498061925</v>
      </c>
      <c r="D19">
        <v>-1260.0260382347001</v>
      </c>
      <c r="E19">
        <v>20</v>
      </c>
      <c r="F19" t="s">
        <v>17</v>
      </c>
      <c r="G19" t="s">
        <v>54</v>
      </c>
      <c r="H19" s="6">
        <f>Table1[[#This Row],[Rel E]]</f>
        <v>0.41915795498061925</v>
      </c>
      <c r="I19" s="10">
        <f>IF(Table1[[#This Row],[rel G]]&lt;5,EXP(-H19/(D$2*E$2)),0)</f>
        <v>0.49272177487393126</v>
      </c>
      <c r="J19" s="19">
        <f>IF(Table1[[#This Row],[rel G]]&lt;5,I19/$F$2,0)</f>
        <v>6.7511764566552959E-2</v>
      </c>
      <c r="K19" t="str">
        <f>"1-"&amp;Table1[[#This Row],[Conformer]]</f>
        <v>1-20</v>
      </c>
    </row>
    <row r="20" spans="1:15" x14ac:dyDescent="0.25">
      <c r="A20">
        <f>Table1[[#This Row],[Gibbs Energy (hartree)]]</f>
        <v>-1260.01918518569</v>
      </c>
      <c r="B20">
        <f>Table1[[#This Row],[Energy (hartrees)]]*$C$2</f>
        <v>-790674.6388958724</v>
      </c>
      <c r="C20" s="4">
        <f>Table1[[#This Row],[Energy (kcal)]]-MIN(Table1[Energy (kcal)])</f>
        <v>4.7195147392340004</v>
      </c>
      <c r="D20">
        <v>-1260.01918518569</v>
      </c>
      <c r="E20">
        <v>21</v>
      </c>
      <c r="F20" t="s">
        <v>57</v>
      </c>
      <c r="G20" t="s">
        <v>54</v>
      </c>
      <c r="H20" s="10">
        <f>Table1[[#This Row],[Rel E]]</f>
        <v>4.7195147392340004</v>
      </c>
      <c r="I20" s="10">
        <f>IF(Table1[[#This Row],[rel G]]&lt;5,EXP(-H20/(D$2*E$2)),0)</f>
        <v>3.4581613504277897E-4</v>
      </c>
      <c r="J20" s="10">
        <f>IF(Table1[[#This Row],[rel G]]&lt;5,I20/$F$2,0)</f>
        <v>4.7383043906060167E-5</v>
      </c>
      <c r="K20" t="str">
        <f>"1-"&amp;Table1[[#This Row],[Conformer]]</f>
        <v>1-21</v>
      </c>
    </row>
    <row r="21" spans="1:15" x14ac:dyDescent="0.25">
      <c r="A21">
        <f>Table1[[#This Row],[Gibbs Energy (hartree)]]</f>
        <v>-1260.02095514507</v>
      </c>
      <c r="B21">
        <f>Table1[[#This Row],[Energy (hartrees)]]*$C$2</f>
        <v>-790675.74956308294</v>
      </c>
      <c r="C21" s="4">
        <f>Table1[[#This Row],[Energy (kcal)]]-MIN(Table1[Energy (kcal)])</f>
        <v>3.6088475286960602</v>
      </c>
      <c r="D21" s="4">
        <v>-1260.02095514507</v>
      </c>
      <c r="E21" s="18">
        <v>22</v>
      </c>
      <c r="F21" t="s">
        <v>58</v>
      </c>
      <c r="G21" t="s">
        <v>53</v>
      </c>
      <c r="H21" s="10">
        <f>Table1[[#This Row],[Rel E]]</f>
        <v>3.6088475286960602</v>
      </c>
      <c r="I21" s="10">
        <f>IF(Table1[[#This Row],[rel G]]&lt;5,EXP(-H21/(D$2*E$2)),0)</f>
        <v>2.2561930582931863E-3</v>
      </c>
      <c r="J21" s="10">
        <f>IF(Table1[[#This Row],[rel G]]&lt;5,I21/$F$2,0)</f>
        <v>3.0913911731859928E-4</v>
      </c>
      <c r="K21" t="str">
        <f>"1-"&amp;Table1[[#This Row],[Conformer]]</f>
        <v>1-22</v>
      </c>
    </row>
    <row r="22" spans="1:15" x14ac:dyDescent="0.25">
      <c r="A22">
        <f>Table1[[#This Row],[Gibbs Energy (hartree)]]</f>
        <v>-1260.0182993508199</v>
      </c>
      <c r="B22">
        <f>Table1[[#This Row],[Energy (hartrees)]]*$C$2</f>
        <v>-790674.08302563301</v>
      </c>
      <c r="C22" s="4">
        <f>Table1[[#This Row],[Energy (kcal)]]-MIN(Table1[Energy (kcal)])</f>
        <v>5.2753849786240608</v>
      </c>
      <c r="D22">
        <v>-1260.0182993508199</v>
      </c>
      <c r="E22">
        <v>23</v>
      </c>
      <c r="F22" t="s">
        <v>57</v>
      </c>
      <c r="G22" t="s">
        <v>56</v>
      </c>
      <c r="H22" s="10">
        <f>Table1[[#This Row],[Rel E]]</f>
        <v>5.2753849786240608</v>
      </c>
      <c r="I22" s="10">
        <f>IF(Table1[[#This Row],[rel G]]&lt;5,EXP(-H22/(D$2*E$2)),0)</f>
        <v>0</v>
      </c>
      <c r="J22" s="10">
        <f>IF(Table1[[#This Row],[rel G]]&lt;5,I22/$F$2,0)</f>
        <v>0</v>
      </c>
      <c r="K22" t="str">
        <f>"1-"&amp;Table1[[#This Row],[Conformer]]</f>
        <v>1-23</v>
      </c>
    </row>
    <row r="23" spans="1:15" x14ac:dyDescent="0.25">
      <c r="A23">
        <f>Table1[[#This Row],[Gibbs Energy (hartree)]]</f>
        <v>-1260.0213930795801</v>
      </c>
      <c r="B23">
        <f>Table1[[#This Row],[Energy (hartrees)]]*$C$2</f>
        <v>-790676.0243713673</v>
      </c>
      <c r="C23" s="4">
        <f>Table1[[#This Row],[Energy (kcal)]]-MIN(Table1[Energy (kcal)])</f>
        <v>3.3340392443351448</v>
      </c>
      <c r="D23">
        <v>-1260.0213930795801</v>
      </c>
      <c r="E23">
        <v>24</v>
      </c>
      <c r="F23" t="s">
        <v>58</v>
      </c>
      <c r="G23" t="s">
        <v>55</v>
      </c>
      <c r="H23" s="10">
        <f>Table1[[#This Row],[Rel E]]</f>
        <v>3.3340392443351448</v>
      </c>
      <c r="I23" s="10">
        <f>IF(Table1[[#This Row],[rel G]]&lt;5,EXP(-H23/(D$2*E$2)),0)</f>
        <v>3.5884975667134071E-3</v>
      </c>
      <c r="J23" s="10">
        <f>IF(Table1[[#This Row],[rel G]]&lt;5,I23/$F$2,0)</f>
        <v>4.9168885002817317E-4</v>
      </c>
      <c r="K23" t="str">
        <f>"1-"&amp;Table1[[#This Row],[Conformer]]</f>
        <v>1-24</v>
      </c>
    </row>
    <row r="24" spans="1:15" x14ac:dyDescent="0.25">
      <c r="A24">
        <f>Table1[[#This Row],[Gibbs Energy (hartree)]]</f>
        <v>-1260.02379140729</v>
      </c>
      <c r="B24">
        <f>Table1[[#This Row],[Energy (hartrees)]]*$C$2</f>
        <v>-790677.52934598853</v>
      </c>
      <c r="C24" s="4">
        <f>Table1[[#This Row],[Energy (kcal)]]-MIN(Table1[Energy (kcal)])</f>
        <v>1.8290646231034771</v>
      </c>
      <c r="D24">
        <v>-1260.02379140729</v>
      </c>
      <c r="E24">
        <v>26</v>
      </c>
      <c r="F24" t="s">
        <v>58</v>
      </c>
      <c r="G24" t="s">
        <v>54</v>
      </c>
      <c r="H24" s="6">
        <f>Table1[[#This Row],[Rel E]]</f>
        <v>1.8290646231034771</v>
      </c>
      <c r="I24" s="10">
        <f>IF(Table1[[#This Row],[rel G]]&lt;5,EXP(-H24/(D$2*E$2)),0)</f>
        <v>4.5563517133366309E-2</v>
      </c>
      <c r="J24" s="19">
        <f>IF(Table1[[#This Row],[rel G]]&lt;5,I24/$F$2,0)</f>
        <v>6.2430231388068413E-3</v>
      </c>
      <c r="K24" t="str">
        <f>"1-"&amp;Table1[[#This Row],[Conformer]]</f>
        <v>1-26</v>
      </c>
    </row>
    <row r="25" spans="1:15" x14ac:dyDescent="0.25">
      <c r="A25">
        <f>Table1[[#This Row],[Gibbs Energy (hartree)]]</f>
        <v>-1260.0258399122199</v>
      </c>
      <c r="B25">
        <f>Table1[[#This Row],[Energy (hartrees)]]*$C$2</f>
        <v>-790678.81480331707</v>
      </c>
      <c r="C25" s="4">
        <f>Table1[[#This Row],[Energy (kcal)]]-MIN(Table1[Energy (kcal)])</f>
        <v>0.54360729455947876</v>
      </c>
      <c r="D25">
        <v>-1260.0258399122199</v>
      </c>
      <c r="E25">
        <v>27</v>
      </c>
      <c r="F25" t="s">
        <v>17</v>
      </c>
      <c r="G25" t="s">
        <v>53</v>
      </c>
      <c r="H25" s="6">
        <f>Table1[[#This Row],[Rel E]]</f>
        <v>0.54360729455947876</v>
      </c>
      <c r="I25" s="10">
        <f>IF(Table1[[#This Row],[rel G]]&lt;5,EXP(-H25/(D$2*E$2)),0)</f>
        <v>0.39933210914668438</v>
      </c>
      <c r="J25" s="19">
        <f>IF(Table1[[#This Row],[rel G]]&lt;5,I25/$F$2,0)</f>
        <v>5.4715696994462895E-2</v>
      </c>
      <c r="K25" t="str">
        <f>"1-"&amp;Table1[[#This Row],[Conformer]]</f>
        <v>1-27</v>
      </c>
    </row>
    <row r="26" spans="1:15" x14ac:dyDescent="0.25">
      <c r="A26">
        <f>Table1[[#This Row],[Gibbs Energy (hartree)]]</f>
        <v>-1260.02169638643</v>
      </c>
      <c r="B26">
        <f>Table1[[#This Row],[Energy (hartrees)]]*$C$2</f>
        <v>-790676.21469944867</v>
      </c>
      <c r="C26" s="4">
        <f>Table1[[#This Row],[Energy (kcal)]]-MIN(Table1[Energy (kcal)])</f>
        <v>3.1437111629638821</v>
      </c>
      <c r="D26">
        <v>-1260.02169638643</v>
      </c>
      <c r="E26">
        <v>30</v>
      </c>
      <c r="F26" t="s">
        <v>18</v>
      </c>
      <c r="G26" t="s">
        <v>55</v>
      </c>
      <c r="H26" s="10">
        <f>Table1[[#This Row],[Rel E]]</f>
        <v>3.1437111629638821</v>
      </c>
      <c r="I26" s="10">
        <f>IF(Table1[[#This Row],[rel G]]&lt;5,EXP(-H26/(D$2*E$2)),0)</f>
        <v>4.9487296790615308E-3</v>
      </c>
      <c r="J26" s="10">
        <f>IF(Table1[[#This Row],[rel G]]&lt;5,I26/$F$2,0)</f>
        <v>6.7806516787653249E-4</v>
      </c>
      <c r="K26" t="str">
        <f>"1-"&amp;Table1[[#This Row],[Conformer]]</f>
        <v>1-30</v>
      </c>
    </row>
    <row r="27" spans="1:15" x14ac:dyDescent="0.25">
      <c r="A27">
        <f>Table1[[#This Row],[Gibbs Energy (hartree)]]</f>
        <v>-1260.0223229574301</v>
      </c>
      <c r="B27">
        <f>Table1[[#This Row],[Energy (hartrees)]]*$C$2</f>
        <v>-790676.6078790169</v>
      </c>
      <c r="C27" s="4">
        <f>Table1[[#This Row],[Energy (kcal)]]-MIN(Table1[Energy (kcal)])</f>
        <v>2.7505315947346389</v>
      </c>
      <c r="D27" s="4">
        <v>-1260.0223229574301</v>
      </c>
      <c r="E27" s="18">
        <v>33</v>
      </c>
      <c r="F27" t="s">
        <v>58</v>
      </c>
      <c r="G27" t="s">
        <v>53</v>
      </c>
      <c r="H27" s="10">
        <f>Table1[[#This Row],[Rel E]]</f>
        <v>2.7505315947346389</v>
      </c>
      <c r="I27" s="10">
        <f>IF(Table1[[#This Row],[rel G]]&lt;5,EXP(-H27/(D$2*E$2)),0)</f>
        <v>9.6125847805398484E-3</v>
      </c>
      <c r="J27" s="10">
        <f>IF(Table1[[#This Row],[rel G]]&lt;5,I27/$F$2,0)</f>
        <v>1.3170973837027624E-3</v>
      </c>
      <c r="K27" t="str">
        <f>"1-"&amp;Table1[[#This Row],[Conformer]]</f>
        <v>1-33</v>
      </c>
    </row>
    <row r="28" spans="1:15" x14ac:dyDescent="0.25">
      <c r="A28">
        <f>Table1[[#This Row],[Gibbs Energy (hartree)]]</f>
        <v>-1260.0214971156599</v>
      </c>
      <c r="B28">
        <f>Table1[[#This Row],[Energy (hartrees)]]*$C$2</f>
        <v>-790676.08965504775</v>
      </c>
      <c r="C28" s="4">
        <f>Table1[[#This Row],[Energy (kcal)]]-MIN(Table1[Energy (kcal)])</f>
        <v>3.2687555638840422</v>
      </c>
      <c r="D28">
        <v>-1260.0214971156599</v>
      </c>
      <c r="E28">
        <v>34</v>
      </c>
      <c r="F28" t="s">
        <v>18</v>
      </c>
      <c r="G28" t="s">
        <v>54</v>
      </c>
      <c r="H28" s="10">
        <f>Table1[[#This Row],[Rel E]]</f>
        <v>3.2687555638840422</v>
      </c>
      <c r="I28" s="10">
        <f>IF(Table1[[#This Row],[rel G]]&lt;5,EXP(-H28/(D$2*E$2)),0)</f>
        <v>4.0067275039499415E-3</v>
      </c>
      <c r="J28" s="10">
        <f>IF(Table1[[#This Row],[rel G]]&lt;5,I28/$F$2,0)</f>
        <v>5.489938901080875E-4</v>
      </c>
      <c r="K28" t="str">
        <f>"1-"&amp;Table1[[#This Row],[Conformer]]</f>
        <v>1-34</v>
      </c>
    </row>
    <row r="29" spans="1:15" x14ac:dyDescent="0.25">
      <c r="A29">
        <f>Table1[[#This Row],[Gibbs Energy (hartree)]]</f>
        <v>-1260.0254102640899</v>
      </c>
      <c r="B29">
        <f>Table1[[#This Row],[Energy (hartrees)]]*$C$2</f>
        <v>-790678.5451948191</v>
      </c>
      <c r="C29" s="4">
        <f>Table1[[#This Row],[Energy (kcal)]]-MIN(Table1[Energy (kcal)])</f>
        <v>0.81321579252835363</v>
      </c>
      <c r="D29">
        <v>-1260.0254102640899</v>
      </c>
      <c r="E29">
        <v>38</v>
      </c>
      <c r="F29" t="s">
        <v>58</v>
      </c>
      <c r="G29" t="s">
        <v>54</v>
      </c>
      <c r="H29" s="6">
        <f>Table1[[#This Row],[Rel E]]</f>
        <v>0.81321579252835363</v>
      </c>
      <c r="I29" s="10">
        <f>IF(Table1[[#This Row],[rel G]]&lt;5,EXP(-H29/(D$2*E$2)),0)</f>
        <v>0.25328601229609243</v>
      </c>
      <c r="J29" s="19">
        <f>IF(Table1[[#This Row],[rel G]]&lt;5,I29/$F$2,0)</f>
        <v>3.4704749215741508E-2</v>
      </c>
      <c r="K29" t="str">
        <f>"1-"&amp;Table1[[#This Row],[Conformer]]</f>
        <v>1-38</v>
      </c>
    </row>
    <row r="30" spans="1:15" x14ac:dyDescent="0.25">
      <c r="A30">
        <f>Table1[[#This Row],[Gibbs Energy (hartree)]]</f>
        <v>-1260.0263205547999</v>
      </c>
      <c r="B30">
        <f>Table1[[#This Row],[Energy (hartrees)]]*$C$2</f>
        <v>-790679.11641134252</v>
      </c>
      <c r="C30" s="4">
        <f>Table1[[#This Row],[Energy (kcal)]]-MIN(Table1[Energy (kcal)])</f>
        <v>0.24199926911387593</v>
      </c>
      <c r="D30">
        <v>-1260.0263205547999</v>
      </c>
      <c r="E30">
        <v>39</v>
      </c>
      <c r="F30" t="s">
        <v>17</v>
      </c>
      <c r="G30" t="s">
        <v>53</v>
      </c>
      <c r="H30" s="6">
        <f>Table1[[#This Row],[Rel E]]</f>
        <v>0.24199926911387593</v>
      </c>
      <c r="I30" s="10">
        <f>IF(Table1[[#This Row],[rel G]]&lt;5,EXP(-H30/(D$2*E$2)),0)</f>
        <v>0.66454558869458014</v>
      </c>
      <c r="J30" s="19">
        <f>IF(Table1[[#This Row],[rel G]]&lt;5,I30/$F$2,0)</f>
        <v>9.1054724218691138E-2</v>
      </c>
      <c r="K30" t="str">
        <f>"1-"&amp;Table1[[#This Row],[Conformer]]</f>
        <v>1-39</v>
      </c>
    </row>
    <row r="31" spans="1:15" x14ac:dyDescent="0.25">
      <c r="A31">
        <f>Table1[[#This Row],[Gibbs Energy (hartree)]]</f>
        <v>-1260.02578684473</v>
      </c>
      <c r="B31">
        <f>Table1[[#This Row],[Energy (hartrees)]]*$C$2</f>
        <v>-790678.7815029365</v>
      </c>
      <c r="C31" s="4">
        <f>Table1[[#This Row],[Energy (kcal)]]-MIN(Table1[Energy (kcal)])</f>
        <v>0.5769076751312241</v>
      </c>
      <c r="D31">
        <v>-1260.02578684473</v>
      </c>
      <c r="E31">
        <v>41</v>
      </c>
      <c r="F31" t="s">
        <v>17</v>
      </c>
      <c r="G31" t="s">
        <v>53</v>
      </c>
      <c r="H31" s="6">
        <f>Table1[[#This Row],[Rel E]]</f>
        <v>0.5769076751312241</v>
      </c>
      <c r="I31" s="10">
        <f>IF(Table1[[#This Row],[rel G]]&lt;5,EXP(-H31/(D$2*E$2)),0)</f>
        <v>0.37749630242389176</v>
      </c>
      <c r="J31" s="19">
        <f>IF(Table1[[#This Row],[rel G]]&lt;5,I31/$F$2,0)</f>
        <v>5.1723797878644208E-2</v>
      </c>
      <c r="K31" t="str">
        <f>"1-"&amp;Table1[[#This Row],[Conformer]]</f>
        <v>1-41</v>
      </c>
    </row>
    <row r="32" spans="1:15" x14ac:dyDescent="0.25">
      <c r="A32">
        <f>Table1[[#This Row],[Gibbs Energy (hartree)]]</f>
        <v>-1260.01782521116</v>
      </c>
      <c r="B32">
        <f>Table1[[#This Row],[Energy (hartrees)]]*$C$2</f>
        <v>-790673.78549825505</v>
      </c>
      <c r="C32" s="4">
        <f>Table1[[#This Row],[Energy (kcal)]]-MIN(Table1[Energy (kcal)])</f>
        <v>5.5729123565834016</v>
      </c>
      <c r="D32">
        <v>-1260.01782521116</v>
      </c>
      <c r="E32" s="18">
        <v>45</v>
      </c>
      <c r="F32" t="s">
        <v>58</v>
      </c>
      <c r="G32" t="s">
        <v>54</v>
      </c>
      <c r="H32" s="10">
        <f>Table1[[#This Row],[Rel E]]</f>
        <v>5.5729123565834016</v>
      </c>
      <c r="I32" s="10">
        <f>IF(Table1[[#This Row],[rel G]]&lt;5,EXP(-H32/(D$2*E$2)),0)</f>
        <v>0</v>
      </c>
      <c r="J32" s="10">
        <f>IF(Table1[[#This Row],[rel G]]&lt;5,I32/$F$2,0)</f>
        <v>0</v>
      </c>
      <c r="K32" t="str">
        <f>"1-"&amp;Table1[[#This Row],[Conformer]]</f>
        <v>1-45</v>
      </c>
    </row>
    <row r="33" spans="1:20" x14ac:dyDescent="0.25">
      <c r="A33">
        <f>Table1[[#This Row],[Gibbs Energy (hartree)]]</f>
        <v>-1260.0244252790401</v>
      </c>
      <c r="B33">
        <f>Table1[[#This Row],[Energy (hartrees)]]*$C$2</f>
        <v>-790677.92710685043</v>
      </c>
      <c r="C33" s="4">
        <f>Table1[[#This Row],[Energy (kcal)]]-MIN(Table1[Energy (kcal)])</f>
        <v>1.4313037612009794</v>
      </c>
      <c r="D33">
        <v>-1260.0244252790401</v>
      </c>
      <c r="E33" s="18">
        <v>48</v>
      </c>
      <c r="F33" t="s">
        <v>59</v>
      </c>
      <c r="G33" t="s">
        <v>53</v>
      </c>
      <c r="H33" s="6">
        <f>Table1[[#This Row],[Rel E]]</f>
        <v>1.4313037612009794</v>
      </c>
      <c r="I33" s="10">
        <f>IF(Table1[[#This Row],[rel G]]&lt;5,EXP(-H33/(D$2*E$2)),0)</f>
        <v>8.9191502480164261E-2</v>
      </c>
      <c r="J33" s="19">
        <f>IF(Table1[[#This Row],[rel G]]&lt;5,I33/$F$2,0)</f>
        <v>1.2220843534505128E-2</v>
      </c>
      <c r="K33" t="str">
        <f>"1-"&amp;Table1[[#This Row],[Conformer]]</f>
        <v>1-48</v>
      </c>
    </row>
    <row r="34" spans="1:20" x14ac:dyDescent="0.25">
      <c r="A34">
        <f>Table1[[#This Row],[Gibbs Energy (hartree)]]</f>
        <v>-1260.0218940776199</v>
      </c>
      <c r="B34">
        <f>Table1[[#This Row],[Energy (hartrees)]]*$C$2</f>
        <v>-790676.33875264728</v>
      </c>
      <c r="C34" s="4">
        <f>Table1[[#This Row],[Energy (kcal)]]-MIN(Table1[Energy (kcal)])</f>
        <v>3.0196579643525183</v>
      </c>
      <c r="D34">
        <v>-1260.0218940776199</v>
      </c>
      <c r="E34" s="18">
        <v>57</v>
      </c>
      <c r="F34" t="s">
        <v>18</v>
      </c>
      <c r="G34" t="s">
        <v>53</v>
      </c>
      <c r="H34" s="10">
        <f>Table1[[#This Row],[Rel E]]</f>
        <v>3.0196579643525183</v>
      </c>
      <c r="I34" s="10">
        <f>IF(Table1[[#This Row],[rel G]]&lt;5,EXP(-H34/(D$2*E$2)),0)</f>
        <v>6.1019793935483159E-3</v>
      </c>
      <c r="J34" s="10">
        <f>IF(Table1[[#This Row],[rel G]]&lt;5,I34/$F$2,0)</f>
        <v>8.3608116631864952E-4</v>
      </c>
      <c r="K34" t="str">
        <f>"1-"&amp;Table1[[#This Row],[Conformer]]</f>
        <v>1-57</v>
      </c>
    </row>
    <row r="35" spans="1:20" x14ac:dyDescent="0.25">
      <c r="A35">
        <f>Table1[[#This Row],[Gibbs Energy (hartree)]]</f>
        <v>-1260.0195252072101</v>
      </c>
      <c r="B35">
        <f>Table1[[#This Row],[Energy (hartrees)]]*$C$2</f>
        <v>-790674.85226277646</v>
      </c>
      <c r="C35" s="4">
        <f>Table1[[#This Row],[Energy (kcal)]]-MIN(Table1[Energy (kcal)])</f>
        <v>4.5061478351708502</v>
      </c>
      <c r="D35">
        <v>-1260.0195252072101</v>
      </c>
      <c r="E35" s="18">
        <v>59</v>
      </c>
      <c r="F35" t="s">
        <v>58</v>
      </c>
      <c r="G35" t="s">
        <v>53</v>
      </c>
      <c r="H35" s="10">
        <f>Table1[[#This Row],[Rel E]]</f>
        <v>4.5061478351708502</v>
      </c>
      <c r="I35" s="10">
        <f>IF(Table1[[#This Row],[rel G]]&lt;5,EXP(-H35/(D$2*E$2)),0)</f>
        <v>4.9581804661148873E-4</v>
      </c>
      <c r="J35" s="10">
        <f>IF(Table1[[#This Row],[rel G]]&lt;5,I35/$F$2,0)</f>
        <v>6.7936009605517467E-5</v>
      </c>
      <c r="K35" t="str">
        <f>"1-"&amp;Table1[[#This Row],[Conformer]]</f>
        <v>1-59</v>
      </c>
    </row>
    <row r="36" spans="1:20" x14ac:dyDescent="0.25">
      <c r="A36">
        <f>Table1[[#This Row],[Gibbs Energy (hartree)]]</f>
        <v>-1260.0231468591901</v>
      </c>
      <c r="B36">
        <f>Table1[[#This Row],[Energy (hartrees)]]*$C$2</f>
        <v>-790677.12488561042</v>
      </c>
      <c r="C36" s="4">
        <f>Table1[[#This Row],[Energy (kcal)]]-MIN(Table1[Energy (kcal)])</f>
        <v>2.2335250012110919</v>
      </c>
      <c r="D36">
        <v>-1260.0231468591901</v>
      </c>
      <c r="E36" s="18">
        <v>72</v>
      </c>
      <c r="F36" t="s">
        <v>17</v>
      </c>
      <c r="G36" t="s">
        <v>55</v>
      </c>
      <c r="H36" s="6">
        <f>Table1[[#This Row],[Rel E]]</f>
        <v>2.2335250012110919</v>
      </c>
      <c r="I36" s="10">
        <f>IF(Table1[[#This Row],[rel G]]&lt;5,EXP(-H36/(D$2*E$2)),0)</f>
        <v>2.301430006980024E-2</v>
      </c>
      <c r="J36" s="19">
        <f>IF(Table1[[#This Row],[rel G]]&lt;5,I36/$F$2,0)</f>
        <v>3.1533739469376994E-3</v>
      </c>
      <c r="K36" t="str">
        <f>"1-"&amp;Table1[[#This Row],[Conformer]]</f>
        <v>1-72</v>
      </c>
    </row>
    <row r="37" spans="1:20" x14ac:dyDescent="0.25">
      <c r="A37">
        <f>Table1[[#This Row],[Gibbs Energy (hartree)]]</f>
        <v>-1260.02583222722</v>
      </c>
      <c r="B37">
        <f>Table1[[#This Row],[Energy (hartrees)]]*$C$2</f>
        <v>-790678.80998090282</v>
      </c>
      <c r="C37" s="4">
        <f>Table1[[#This Row],[Energy (kcal)]]-MIN(Table1[Energy (kcal)])</f>
        <v>0.54842970881145447</v>
      </c>
      <c r="D37">
        <v>-1260.02583222722</v>
      </c>
      <c r="E37" s="18">
        <v>73</v>
      </c>
      <c r="F37" t="s">
        <v>19</v>
      </c>
      <c r="G37" t="s">
        <v>54</v>
      </c>
      <c r="H37" s="6">
        <f>Table1[[#This Row],[Rel E]]</f>
        <v>0.54842970881145447</v>
      </c>
      <c r="I37" s="10">
        <f>IF(Table1[[#This Row],[rel G]]&lt;5,EXP(-H37/(D$2*E$2)),0)</f>
        <v>0.39609340709912694</v>
      </c>
      <c r="J37" s="19">
        <f>IF(Table1[[#This Row],[rel G]]&lt;5,I37/$F$2,0)</f>
        <v>5.4271936435693488E-2</v>
      </c>
      <c r="K37" t="str">
        <f>"1-"&amp;Table1[[#This Row],[Conformer]]</f>
        <v>1-73</v>
      </c>
    </row>
    <row r="38" spans="1:20" x14ac:dyDescent="0.25">
      <c r="A38">
        <f>Table1[[#This Row],[Gibbs Energy (hartree)]]</f>
        <v>-1260.01988997026</v>
      </c>
      <c r="B38">
        <f>Table1[[#This Row],[Energy (hartrees)]]*$C$2</f>
        <v>-790675.08115523786</v>
      </c>
      <c r="C38" s="4">
        <f>Table1[[#This Row],[Energy (kcal)]]-MIN(Table1[Energy (kcal)])</f>
        <v>4.2772553737740964</v>
      </c>
      <c r="D38">
        <v>-1260.01988997026</v>
      </c>
      <c r="E38" s="18">
        <v>76</v>
      </c>
      <c r="F38" t="s">
        <v>57</v>
      </c>
      <c r="G38" t="s">
        <v>53</v>
      </c>
      <c r="H38" s="10">
        <f>Table1[[#This Row],[Rel E]]</f>
        <v>4.2772553737740964</v>
      </c>
      <c r="I38" s="10">
        <f>IF(Table1[[#This Row],[rel G]]&lt;5,EXP(-H38/(D$2*E$2)),0)</f>
        <v>7.2976898034852252E-4</v>
      </c>
      <c r="J38" s="10">
        <f>IF(Table1[[#This Row],[rel G]]&lt;5,I38/$F$2,0)</f>
        <v>9.9991504539998592E-5</v>
      </c>
      <c r="K38" t="str">
        <f>"1-"&amp;Table1[[#This Row],[Conformer]]</f>
        <v>1-76</v>
      </c>
    </row>
    <row r="39" spans="1:20" x14ac:dyDescent="0.25">
      <c r="A39">
        <f>Table1[[#This Row],[Gibbs Energy (hartree)]]</f>
        <v>-1260.02511612645</v>
      </c>
      <c r="B39">
        <f>Table1[[#This Row],[Energy (hartrees)]]*$C$2</f>
        <v>-790678.36062050867</v>
      </c>
      <c r="C39" s="4">
        <f>Table1[[#This Row],[Energy (kcal)]]-MIN(Table1[Energy (kcal)])</f>
        <v>0.99779010296333581</v>
      </c>
      <c r="D39">
        <v>-1260.02511612645</v>
      </c>
      <c r="E39" s="18">
        <v>78</v>
      </c>
      <c r="F39" t="s">
        <v>58</v>
      </c>
      <c r="G39" t="s">
        <v>53</v>
      </c>
      <c r="H39" s="6">
        <f>Table1[[#This Row],[Rel E]]</f>
        <v>0.99779010296333581</v>
      </c>
      <c r="I39" s="10">
        <f>IF(Table1[[#This Row],[rel G]]&lt;5,EXP(-H39/(D$2*E$2)),0)</f>
        <v>0.18545979669606169</v>
      </c>
      <c r="J39" s="19">
        <f>IF(Table1[[#This Row],[rel G]]&lt;5,I39/$F$2,0)</f>
        <v>2.541133509739623E-2</v>
      </c>
      <c r="K39" t="str">
        <f>"1-"&amp;Table1[[#This Row],[Conformer]]</f>
        <v>1-78</v>
      </c>
      <c r="Q39" s="11"/>
    </row>
    <row r="40" spans="1:20" x14ac:dyDescent="0.25">
      <c r="A40">
        <f>Table1[[#This Row],[Gibbs Energy (hartree)]]</f>
        <v>-1260.0198675946799</v>
      </c>
      <c r="B40">
        <f>Table1[[#This Row],[Energy (hartrees)]]*$C$2</f>
        <v>-790675.06711433758</v>
      </c>
      <c r="C40" s="4">
        <f>Table1[[#This Row],[Energy (kcal)]]-MIN(Table1[Energy (kcal)])</f>
        <v>4.2912962740520015</v>
      </c>
      <c r="D40">
        <v>-1260.0198675946799</v>
      </c>
      <c r="E40" s="18">
        <v>86</v>
      </c>
      <c r="F40" t="s">
        <v>20</v>
      </c>
      <c r="G40" t="s">
        <v>55</v>
      </c>
      <c r="H40" s="10">
        <f>Table1[[#This Row],[Rel E]]</f>
        <v>4.2912962740520015</v>
      </c>
      <c r="I40" s="10">
        <f>IF(Table1[[#This Row],[rel G]]&lt;5,EXP(-H40/(D$2*E$2)),0)</f>
        <v>7.1266956380147369E-4</v>
      </c>
      <c r="J40" s="10">
        <f>IF(Table1[[#This Row],[rel G]]&lt;5,I40/$F$2,0)</f>
        <v>9.7648576252639774E-5</v>
      </c>
      <c r="K40" t="str">
        <f>"1-"&amp;Table1[[#This Row],[Conformer]]</f>
        <v>1-86</v>
      </c>
      <c r="Q40" s="11"/>
    </row>
    <row r="41" spans="1:20" x14ac:dyDescent="0.25">
      <c r="A41">
        <f>Table1[[#This Row],[Gibbs Energy (hartree)]]</f>
        <v>-1260.01670736459</v>
      </c>
      <c r="B41">
        <f>Table1[[#This Row],[Energy (hartrees)]]*$C$2</f>
        <v>-790673.08403835387</v>
      </c>
      <c r="C41" s="4">
        <f>Table1[[#This Row],[Energy (kcal)]]-MIN(Table1[Energy (kcal)])</f>
        <v>6.2743722577579319</v>
      </c>
      <c r="D41">
        <v>-1260.01670736459</v>
      </c>
      <c r="E41" s="18">
        <v>94</v>
      </c>
      <c r="F41" t="s">
        <v>18</v>
      </c>
      <c r="G41" t="s">
        <v>55</v>
      </c>
      <c r="H41" s="10">
        <f>Table1[[#This Row],[Rel E]]</f>
        <v>6.2743722577579319</v>
      </c>
      <c r="I41" s="10">
        <f>IF(Table1[[#This Row],[rel G]]&lt;5,EXP(-H41/(D$2*E$2)),0)</f>
        <v>0</v>
      </c>
      <c r="J41" s="10">
        <f>IF(Table1[[#This Row],[rel G]]&lt;5,I41/$F$2,0)</f>
        <v>0</v>
      </c>
      <c r="K41" t="str">
        <f>"1-"&amp;Table1[[#This Row],[Conformer]]</f>
        <v>1-94</v>
      </c>
      <c r="Q41" s="11"/>
    </row>
    <row r="42" spans="1:20" x14ac:dyDescent="0.25">
      <c r="A42">
        <f>Table1[[#This Row],[Gibbs Energy (hartree)]]</f>
        <v>-1260.01800839113</v>
      </c>
      <c r="B42">
        <f>Table1[[#This Row],[Energy (hartrees)]]*$C$2</f>
        <v>-790673.90044551797</v>
      </c>
      <c r="C42" s="4">
        <f>Table1[[#This Row],[Energy (kcal)]]-MIN(Table1[Energy (kcal)])</f>
        <v>5.457965093664825</v>
      </c>
      <c r="D42">
        <v>-1260.01800839113</v>
      </c>
      <c r="E42" s="18">
        <v>101</v>
      </c>
      <c r="F42" t="s">
        <v>57</v>
      </c>
      <c r="G42" t="s">
        <v>55</v>
      </c>
      <c r="H42" s="10">
        <f>Table1[[#This Row],[Rel E]]</f>
        <v>5.457965093664825</v>
      </c>
      <c r="I42" s="10">
        <f>IF(Table1[[#This Row],[rel G]]&lt;5,EXP(-H42/(D$2*E$2)),0)</f>
        <v>0</v>
      </c>
      <c r="J42" s="10">
        <f>IF(Table1[[#This Row],[rel G]]&lt;5,I42/$F$2,0)</f>
        <v>0</v>
      </c>
      <c r="K42" t="str">
        <f>"1-"&amp;Table1[[#This Row],[Conformer]]</f>
        <v>1-101</v>
      </c>
      <c r="Q42" s="11"/>
    </row>
    <row r="43" spans="1:20" x14ac:dyDescent="0.25">
      <c r="A43">
        <f>Table1[[#This Row],[Gibbs Energy (hartree)]]</f>
        <v>-1260.02491702919</v>
      </c>
      <c r="B43">
        <f>Table1[[#This Row],[Energy (hartrees)]]*$C$2</f>
        <v>-790678.23568498704</v>
      </c>
      <c r="C43" s="4">
        <f>Table1[[#This Row],[Energy (kcal)]]-MIN(Table1[Energy (kcal)])</f>
        <v>1.1227256245911121</v>
      </c>
      <c r="D43">
        <v>-1260.02491702919</v>
      </c>
      <c r="E43" s="18">
        <v>103</v>
      </c>
      <c r="F43" t="s">
        <v>19</v>
      </c>
      <c r="G43" t="s">
        <v>53</v>
      </c>
      <c r="H43" s="6">
        <f>Table1[[#This Row],[Rel E]]</f>
        <v>1.1227256245911121</v>
      </c>
      <c r="I43" s="10">
        <f>IF(Table1[[#This Row],[rel G]]&lt;5,EXP(-H43/(D$2*E$2)),0)</f>
        <v>0.15018470439708576</v>
      </c>
      <c r="J43" s="19">
        <f>IF(Table1[[#This Row],[rel G]]&lt;5,I43/$F$2,0)</f>
        <v>2.0578011611822208E-2</v>
      </c>
      <c r="K43" t="str">
        <f>"1-"&amp;Table1[[#This Row],[Conformer]]</f>
        <v>1-103</v>
      </c>
      <c r="Q43" s="11"/>
    </row>
    <row r="44" spans="1:20" x14ac:dyDescent="0.25">
      <c r="A44">
        <f>Table1[[#This Row],[Gibbs Energy (hartree)]]</f>
        <v>-1260.0152662543101</v>
      </c>
      <c r="B44">
        <f>Table1[[#This Row],[Energy (hartrees)]]*$C$2</f>
        <v>-790672.1797272421</v>
      </c>
      <c r="C44" s="4">
        <f>Table1[[#This Row],[Energy (kcal)]]-MIN(Table1[Energy (kcal)])</f>
        <v>7.1786833695368841</v>
      </c>
      <c r="D44">
        <v>-1260.0152662543101</v>
      </c>
      <c r="E44" s="18">
        <v>104</v>
      </c>
      <c r="F44" t="s">
        <v>58</v>
      </c>
      <c r="G44" t="s">
        <v>55</v>
      </c>
      <c r="H44" s="10">
        <f>Table1[[#This Row],[Rel E]]</f>
        <v>7.1786833695368841</v>
      </c>
      <c r="I44" s="10">
        <f>IF(Table1[[#This Row],[rel G]]&lt;5,EXP(-H44/(D$2*E$2)),0)</f>
        <v>0</v>
      </c>
      <c r="J44" s="10">
        <f>IF(Table1[[#This Row],[rel G]]&lt;5,I44/$F$2,0)</f>
        <v>0</v>
      </c>
      <c r="K44" t="str">
        <f>"1-"&amp;Table1[[#This Row],[Conformer]]</f>
        <v>1-104</v>
      </c>
      <c r="Q44" s="11"/>
    </row>
    <row r="45" spans="1:20" x14ac:dyDescent="0.25">
      <c r="A45">
        <f>Table1[[#This Row],[Gibbs Energy (hartree)]]</f>
        <v>-1260.0177348750899</v>
      </c>
      <c r="B45">
        <f>Table1[[#This Row],[Energy (hartrees)]]*$C$2</f>
        <v>-790673.72881146765</v>
      </c>
      <c r="C45" s="4">
        <f>Table1[[#This Row],[Energy (kcal)]]-MIN(Table1[Energy (kcal)])</f>
        <v>5.6295991439837962</v>
      </c>
      <c r="D45">
        <v>-1260.0177348750899</v>
      </c>
      <c r="E45" s="18">
        <v>106</v>
      </c>
      <c r="F45" t="s">
        <v>18</v>
      </c>
      <c r="G45" t="s">
        <v>55</v>
      </c>
      <c r="H45" s="10">
        <f>Table1[[#This Row],[Rel E]]</f>
        <v>5.6295991439837962</v>
      </c>
      <c r="I45" s="10">
        <f>IF(Table1[[#This Row],[rel G]]&lt;5,EXP(-H45/(D$2*E$2)),0)</f>
        <v>0</v>
      </c>
      <c r="J45" s="10">
        <f>IF(Table1[[#This Row],[rel G]]&lt;5,I45/$F$2,0)</f>
        <v>0</v>
      </c>
      <c r="K45" t="str">
        <f>"1-"&amp;Table1[[#This Row],[Conformer]]</f>
        <v>1-106</v>
      </c>
      <c r="Q45" s="11"/>
    </row>
    <row r="46" spans="1:20" x14ac:dyDescent="0.25">
      <c r="A46">
        <f>Table1[[#This Row],[Gibbs Energy (hartree)]]</f>
        <v>-1260.0181531983999</v>
      </c>
      <c r="B46">
        <f>Table1[[#This Row],[Energy (hartrees)]]*$C$2</f>
        <v>-790673.99131352792</v>
      </c>
      <c r="C46" s="4">
        <f>Table1[[#This Row],[Energy (kcal)]]-MIN(Table1[Energy (kcal)])</f>
        <v>5.3670970837119967</v>
      </c>
      <c r="D46">
        <v>-1260.0181531983999</v>
      </c>
      <c r="E46" s="18">
        <v>107</v>
      </c>
      <c r="F46" t="s">
        <v>20</v>
      </c>
      <c r="G46" t="s">
        <v>55</v>
      </c>
      <c r="H46" s="10">
        <f>Table1[[#This Row],[Rel E]]</f>
        <v>5.3670970837119967</v>
      </c>
      <c r="I46" s="10">
        <f>IF(Table1[[#This Row],[rel G]]&lt;5,EXP(-H46/(D$2*E$2)),0)</f>
        <v>0</v>
      </c>
      <c r="J46" s="10">
        <f>IF(Table1[[#This Row],[rel G]]&lt;5,I46/$F$2,0)</f>
        <v>0</v>
      </c>
      <c r="K46" t="str">
        <f>"1-"&amp;Table1[[#This Row],[Conformer]]</f>
        <v>1-107</v>
      </c>
      <c r="Q46" s="11"/>
    </row>
    <row r="47" spans="1:20" x14ac:dyDescent="0.25">
      <c r="A47">
        <f>Table1[[#This Row],[Gibbs Energy (hartree)]]</f>
        <v>-1260.0243037011301</v>
      </c>
      <c r="B47">
        <f>Table1[[#This Row],[Energy (hartrees)]]*$C$2</f>
        <v>-790677.85081549606</v>
      </c>
      <c r="C47" s="4">
        <f>Table1[[#This Row],[Energy (kcal)]]-MIN(Table1[Energy (kcal)])</f>
        <v>1.5075951155740768</v>
      </c>
      <c r="D47">
        <v>-1260.0243037011301</v>
      </c>
      <c r="E47" s="18">
        <v>109</v>
      </c>
      <c r="F47" t="s">
        <v>58</v>
      </c>
      <c r="G47" t="s">
        <v>53</v>
      </c>
      <c r="H47" s="6">
        <f>Table1[[#This Row],[Rel E]]</f>
        <v>1.5075951155740768</v>
      </c>
      <c r="I47" s="10">
        <f>IF(Table1[[#This Row],[rel G]]&lt;5,EXP(-H47/(D$2*E$2)),0)</f>
        <v>7.8410391286557704E-2</v>
      </c>
      <c r="J47" s="19">
        <f>IF(Table1[[#This Row],[rel G]]&lt;5,I47/$F$2,0)</f>
        <v>1.0743636969289242E-2</v>
      </c>
      <c r="K47" t="str">
        <f>"1-"&amp;Table1[[#This Row],[Conformer]]</f>
        <v>1-109</v>
      </c>
      <c r="Q47" s="11"/>
    </row>
    <row r="48" spans="1:20" x14ac:dyDescent="0.25">
      <c r="A48">
        <f>Table1[[#This Row],[Gibbs Energy (hartree)]]</f>
        <v>-1260.02222891718</v>
      </c>
      <c r="B48">
        <f>Table1[[#This Row],[Energy (hartrees)]]*$C$2</f>
        <v>-790676.5488678196</v>
      </c>
      <c r="C48" s="4">
        <f>Table1[[#This Row],[Energy (kcal)]]-MIN(Table1[Energy (kcal)])</f>
        <v>2.8095427920343354</v>
      </c>
      <c r="D48">
        <v>-1260.02222891718</v>
      </c>
      <c r="E48" s="18">
        <v>123</v>
      </c>
      <c r="F48" t="s">
        <v>19</v>
      </c>
      <c r="G48" t="s">
        <v>54</v>
      </c>
      <c r="H48" s="10">
        <f>Table1[[#This Row],[Rel E]]</f>
        <v>2.8095427920343354</v>
      </c>
      <c r="I48" s="10">
        <f>IF(Table1[[#This Row],[rel G]]&lt;5,EXP(-H48/(D$2*E$2)),0)</f>
        <v>8.7008781887075743E-3</v>
      </c>
      <c r="J48" s="10">
        <f>IF(Table1[[#This Row],[rel G]]&lt;5,I48/$F$2,0)</f>
        <v>1.1921771469275491E-3</v>
      </c>
      <c r="K48" t="str">
        <f>"1-"&amp;Table1[[#This Row],[Conformer]]</f>
        <v>1-123</v>
      </c>
      <c r="Q48" s="11"/>
      <c r="S48" s="20"/>
      <c r="T48" s="11"/>
    </row>
    <row r="49" spans="1:20" x14ac:dyDescent="0.25">
      <c r="A49">
        <f>Table1[[#This Row],[Gibbs Energy (hartree)]]</f>
        <v>-1260.01553263859</v>
      </c>
      <c r="B49">
        <f>Table1[[#This Row],[Energy (hartrees)]]*$C$2</f>
        <v>-790672.34688604157</v>
      </c>
      <c r="C49" s="4">
        <f>Table1[[#This Row],[Energy (kcal)]]-MIN(Table1[Energy (kcal)])</f>
        <v>7.0115245700580999</v>
      </c>
      <c r="D49">
        <v>-1260.01553263859</v>
      </c>
      <c r="E49" s="18">
        <v>125</v>
      </c>
      <c r="F49" t="s">
        <v>52</v>
      </c>
      <c r="G49" t="s">
        <v>55</v>
      </c>
      <c r="H49" s="10">
        <f>Table1[[#This Row],[Rel E]]</f>
        <v>7.0115245700580999</v>
      </c>
      <c r="I49" s="10">
        <f>IF(Table1[[#This Row],[rel G]]&lt;5,EXP(-H49/(D$2*E$2)),0)</f>
        <v>0</v>
      </c>
      <c r="J49" s="10">
        <f>IF(Table1[[#This Row],[rel G]]&lt;5,I49/$F$2,0)</f>
        <v>0</v>
      </c>
      <c r="K49" t="str">
        <f>"1-"&amp;Table1[[#This Row],[Conformer]]</f>
        <v>1-125</v>
      </c>
      <c r="Q49" s="11"/>
      <c r="S49" s="21"/>
      <c r="T49" s="5"/>
    </row>
    <row r="50" spans="1:20" x14ac:dyDescent="0.25">
      <c r="A50">
        <f>Table1[[#This Row],[Gibbs Energy (hartree)]]</f>
        <v>-1260.02105650045</v>
      </c>
      <c r="B50">
        <f>Table1[[#This Row],[Energy (hartrees)]]*$C$2</f>
        <v>-790675.81316459738</v>
      </c>
      <c r="C50" s="4">
        <f>Table1[[#This Row],[Energy (kcal)]]-MIN(Table1[Energy (kcal)])</f>
        <v>3.545246014255099</v>
      </c>
      <c r="D50">
        <v>-1260.02105650045</v>
      </c>
      <c r="E50" s="18">
        <v>128</v>
      </c>
      <c r="F50" t="s">
        <v>20</v>
      </c>
      <c r="G50" t="s">
        <v>53</v>
      </c>
      <c r="H50" s="10">
        <f>Table1[[#This Row],[Rel E]]</f>
        <v>3.545246014255099</v>
      </c>
      <c r="I50" s="10">
        <f>IF(Table1[[#This Row],[rel G]]&lt;5,EXP(-H50/(D$2*E$2)),0)</f>
        <v>2.5120007124442528E-3</v>
      </c>
      <c r="J50" s="10">
        <f>IF(Table1[[#This Row],[rel G]]&lt;5,I50/$F$2,0)</f>
        <v>3.4418937692157247E-4</v>
      </c>
      <c r="K50" t="str">
        <f>"1-"&amp;Table1[[#This Row],[Conformer]]</f>
        <v>1-128</v>
      </c>
      <c r="Q50" s="11"/>
    </row>
    <row r="51" spans="1:20" x14ac:dyDescent="0.25">
      <c r="A51">
        <f>Table1[[#This Row],[Gibbs Energy (hartree)]]</f>
        <v>-1260.0231997327</v>
      </c>
      <c r="B51">
        <f>Table1[[#This Row],[Energy (hartrees)]]*$C$2</f>
        <v>-790677.15806426655</v>
      </c>
      <c r="C51" s="4">
        <f>Table1[[#This Row],[Energy (kcal)]]-MIN(Table1[Energy (kcal)])</f>
        <v>2.2003463450819254</v>
      </c>
      <c r="D51">
        <v>-1260.0231997327</v>
      </c>
      <c r="E51" s="18">
        <v>135</v>
      </c>
      <c r="F51" t="s">
        <v>59</v>
      </c>
      <c r="G51" t="s">
        <v>53</v>
      </c>
      <c r="H51" s="6">
        <f>Table1[[#This Row],[Rel E]]</f>
        <v>2.2003463450819254</v>
      </c>
      <c r="I51" s="10">
        <f>IF(Table1[[#This Row],[rel G]]&lt;5,EXP(-H51/(D$2*E$2)),0)</f>
        <v>2.4340530086617979E-2</v>
      </c>
      <c r="J51" s="19">
        <f>IF(Table1[[#This Row],[rel G]]&lt;5,I51/$F$2,0)</f>
        <v>3.3350913648038036E-3</v>
      </c>
      <c r="K51" t="str">
        <f>"1-"&amp;Table1[[#This Row],[Conformer]]</f>
        <v>1-135</v>
      </c>
      <c r="Q51" s="11"/>
    </row>
    <row r="52" spans="1:20" x14ac:dyDescent="0.25">
      <c r="A52">
        <f>Table1[[#This Row],[Gibbs Energy (hartree)]]</f>
        <v>-1260.0220594986499</v>
      </c>
      <c r="B52">
        <f>Table1[[#This Row],[Energy (hartrees)]]*$C$2</f>
        <v>-790676.44255599775</v>
      </c>
      <c r="C52" s="4">
        <f>Table1[[#This Row],[Energy (kcal)]]-MIN(Table1[Energy (kcal)])</f>
        <v>2.9158546138787642</v>
      </c>
      <c r="D52">
        <v>-1260.0220594986499</v>
      </c>
      <c r="E52" s="18">
        <v>136</v>
      </c>
      <c r="F52" t="s">
        <v>19</v>
      </c>
      <c r="G52" t="s">
        <v>53</v>
      </c>
      <c r="H52" s="10">
        <f>Table1[[#This Row],[Rel E]]</f>
        <v>2.9158546138787642</v>
      </c>
      <c r="I52" s="10">
        <f>IF(Table1[[#This Row],[rel G]]&lt;5,EXP(-H52/(D$2*E$2)),0)</f>
        <v>7.2710493570050088E-3</v>
      </c>
      <c r="J52" s="10">
        <f>IF(Table1[[#This Row],[rel G]]&lt;5,I52/$F$2,0)</f>
        <v>9.9626482403280484E-4</v>
      </c>
      <c r="K52" t="str">
        <f>"1-"&amp;Table1[[#This Row],[Conformer]]</f>
        <v>1-136</v>
      </c>
      <c r="Q52" s="11"/>
    </row>
    <row r="53" spans="1:20" x14ac:dyDescent="0.25">
      <c r="A53">
        <f>Table1[[#This Row],[Gibbs Energy (hartree)]]</f>
        <v>-1260.02382609441</v>
      </c>
      <c r="B53">
        <f>Table1[[#This Row],[Energy (hartrees)]]*$C$2</f>
        <v>-790677.55111250316</v>
      </c>
      <c r="C53" s="4">
        <f>Table1[[#This Row],[Energy (kcal)]]-MIN(Table1[Energy (kcal)])</f>
        <v>1.8072981084696949</v>
      </c>
      <c r="D53">
        <v>-1260.02382609441</v>
      </c>
      <c r="E53" s="18">
        <v>142</v>
      </c>
      <c r="F53" t="s">
        <v>19</v>
      </c>
      <c r="G53" t="s">
        <v>55</v>
      </c>
      <c r="H53" s="6">
        <f>Table1[[#This Row],[Rel E]]</f>
        <v>1.8072981084696949</v>
      </c>
      <c r="I53" s="10">
        <f>IF(Table1[[#This Row],[rel G]]&lt;5,EXP(-H53/(D$2*E$2)),0)</f>
        <v>4.7269408627868423E-2</v>
      </c>
      <c r="J53" s="19">
        <f>IF(Table1[[#This Row],[rel G]]&lt;5,I53/$F$2,0)</f>
        <v>6.4767610225899943E-3</v>
      </c>
      <c r="K53" t="str">
        <f>"1-"&amp;Table1[[#This Row],[Conformer]]</f>
        <v>1-142</v>
      </c>
      <c r="Q53" s="11"/>
    </row>
    <row r="54" spans="1:20" x14ac:dyDescent="0.25">
      <c r="A54">
        <f>Table1[[#This Row],[Gibbs Energy (hartree)]]</f>
        <v>-1260.0201302410801</v>
      </c>
      <c r="B54">
        <f>Table1[[#This Row],[Energy (hartrees)]]*$C$2</f>
        <v>-790675.2319275802</v>
      </c>
      <c r="C54" s="4">
        <f>Table1[[#This Row],[Energy (kcal)]]-MIN(Table1[Energy (kcal)])</f>
        <v>4.1264830314321443</v>
      </c>
      <c r="D54">
        <v>-1260.0201302410801</v>
      </c>
      <c r="E54" s="18">
        <v>143</v>
      </c>
      <c r="F54" t="s">
        <v>58</v>
      </c>
      <c r="G54" t="s">
        <v>55</v>
      </c>
      <c r="H54" s="10">
        <f>Table1[[#This Row],[Rel E]]</f>
        <v>4.1264830314321443</v>
      </c>
      <c r="I54" s="10">
        <f>IF(Table1[[#This Row],[rel G]]&lt;5,EXP(-H54/(D$2*E$2)),0)</f>
        <v>9.413636987650639E-4</v>
      </c>
      <c r="J54" s="10">
        <f>IF(Table1[[#This Row],[rel G]]&lt;5,I54/$F$2,0)</f>
        <v>1.2898379500030682E-4</v>
      </c>
      <c r="K54" t="str">
        <f>"1-"&amp;Table1[[#This Row],[Conformer]]</f>
        <v>1-143</v>
      </c>
      <c r="Q54" s="11"/>
    </row>
    <row r="55" spans="1:20" x14ac:dyDescent="0.25">
      <c r="A55">
        <f>Table1[[#This Row],[Gibbs Energy (hartree)]]</f>
        <v>-1260.01998368045</v>
      </c>
      <c r="B55">
        <f>Table1[[#This Row],[Energy (hartrees)]]*$C$2</f>
        <v>-790675.13995931915</v>
      </c>
      <c r="C55" s="4">
        <f>Table1[[#This Row],[Energy (kcal)]]-MIN(Table1[Energy (kcal)])</f>
        <v>4.2184512924868613</v>
      </c>
      <c r="D55">
        <v>-1260.01998368045</v>
      </c>
      <c r="E55" s="18">
        <v>144</v>
      </c>
      <c r="F55" t="s">
        <v>20</v>
      </c>
      <c r="G55" t="s">
        <v>55</v>
      </c>
      <c r="H55" s="10">
        <f>Table1[[#This Row],[Rel E]]</f>
        <v>4.2184512924868613</v>
      </c>
      <c r="I55" s="10">
        <f>IF(Table1[[#This Row],[rel G]]&lt;5,EXP(-H55/(D$2*E$2)),0)</f>
        <v>8.0595464190749016E-4</v>
      </c>
      <c r="J55" s="10">
        <f>IF(Table1[[#This Row],[rel G]]&lt;5,I55/$F$2,0)</f>
        <v>1.1043031343540842E-4</v>
      </c>
      <c r="K55" t="str">
        <f>"1-"&amp;Table1[[#This Row],[Conformer]]</f>
        <v>1-144</v>
      </c>
      <c r="Q55" s="11"/>
    </row>
    <row r="56" spans="1:20" x14ac:dyDescent="0.25">
      <c r="A56">
        <f>Table1[[#This Row],[Gibbs Energy (hartree)]]</f>
        <v>-1260.0208803037899</v>
      </c>
      <c r="B56">
        <f>Table1[[#This Row],[Energy (hartrees)]]*$C$2</f>
        <v>-790675.70259943116</v>
      </c>
      <c r="C56" s="4">
        <f>Table1[[#This Row],[Energy (kcal)]]-MIN(Table1[Energy (kcal)])</f>
        <v>3.6558111804770306</v>
      </c>
      <c r="D56">
        <v>-1260.0208803037899</v>
      </c>
      <c r="E56" s="18">
        <v>145</v>
      </c>
      <c r="F56" t="s">
        <v>19</v>
      </c>
      <c r="G56" t="s">
        <v>55</v>
      </c>
      <c r="H56" s="10">
        <f>Table1[[#This Row],[Rel E]]</f>
        <v>3.6558111804770306</v>
      </c>
      <c r="I56" s="10">
        <f>IF(Table1[[#This Row],[rel G]]&lt;5,EXP(-H56/(D$2*E$2)),0)</f>
        <v>2.0841764454058876E-3</v>
      </c>
      <c r="J56" s="10">
        <f>IF(Table1[[#This Row],[rel G]]&lt;5,I56/$F$2,0)</f>
        <v>2.8556974071908823E-4</v>
      </c>
      <c r="K56" t="str">
        <f>"1-"&amp;Table1[[#This Row],[Conformer]]</f>
        <v>1-145</v>
      </c>
      <c r="Q56" s="11"/>
    </row>
    <row r="57" spans="1:20" x14ac:dyDescent="0.25">
      <c r="A57">
        <f>Table1[[#This Row],[Gibbs Energy (hartree)]]</f>
        <v>-1260.02235625352</v>
      </c>
      <c r="B57">
        <f>Table1[[#This Row],[Energy (hartrees)]]*$C$2</f>
        <v>-790676.62877264631</v>
      </c>
      <c r="C57" s="4">
        <f>Table1[[#This Row],[Energy (kcal)]]-MIN(Table1[Energy (kcal)])</f>
        <v>2.7296379653271288</v>
      </c>
      <c r="D57">
        <v>-1260.02235625352</v>
      </c>
      <c r="E57" s="18">
        <v>166</v>
      </c>
      <c r="F57" t="s">
        <v>19</v>
      </c>
      <c r="G57" t="s">
        <v>53</v>
      </c>
      <c r="H57" s="10">
        <f>Table1[[#This Row],[Rel E]]</f>
        <v>2.7296379653271288</v>
      </c>
      <c r="I57" s="10">
        <f>IF(Table1[[#This Row],[rel G]]&lt;5,EXP(-H57/(D$2*E$2)),0)</f>
        <v>9.957789992994362E-3</v>
      </c>
      <c r="J57" s="10">
        <f>IF(Table1[[#This Row],[rel G]]&lt;5,I57/$F$2,0)</f>
        <v>1.3643967202022281E-3</v>
      </c>
      <c r="K57" t="str">
        <f>"1-"&amp;Table1[[#This Row],[Conformer]]</f>
        <v>1-166</v>
      </c>
      <c r="Q57" s="11"/>
    </row>
    <row r="58" spans="1:20" x14ac:dyDescent="0.25">
      <c r="A58">
        <f>Table1[[#This Row],[Gibbs Energy (hartree)]]</f>
        <v>-1260.0208938246501</v>
      </c>
      <c r="B58">
        <f>Table1[[#This Row],[Energy (hartrees)]]*$C$2</f>
        <v>-790675.71108390612</v>
      </c>
      <c r="C58" s="4">
        <f>Table1[[#This Row],[Energy (kcal)]]-MIN(Table1[Energy (kcal)])</f>
        <v>3.6473267055116594</v>
      </c>
      <c r="D58">
        <v>-1260.0208938246501</v>
      </c>
      <c r="E58" s="18">
        <v>173</v>
      </c>
      <c r="F58" t="s">
        <v>20</v>
      </c>
      <c r="G58" t="s">
        <v>53</v>
      </c>
      <c r="H58" s="10">
        <f>Table1[[#This Row],[Rel E]]</f>
        <v>3.6473267055116594</v>
      </c>
      <c r="I58" s="10">
        <f>IF(Table1[[#This Row],[rel G]]&lt;5,EXP(-H58/(D$2*E$2)),0)</f>
        <v>2.1142520012673665E-3</v>
      </c>
      <c r="J58" s="10">
        <f>IF(Table1[[#This Row],[rel G]]&lt;5,I58/$F$2,0)</f>
        <v>2.8969063399003788E-4</v>
      </c>
      <c r="K58" t="str">
        <f>"1-"&amp;Table1[[#This Row],[Conformer]]</f>
        <v>1-173</v>
      </c>
      <c r="Q58" s="11"/>
    </row>
    <row r="59" spans="1:20" x14ac:dyDescent="0.25">
      <c r="A59">
        <f>Table1[[#This Row],[Gibbs Energy (hartree)]]</f>
        <v>-1260.0198528835799</v>
      </c>
      <c r="B59">
        <f>Table1[[#This Row],[Energy (hartrees)]]*$C$2</f>
        <v>-790675.0578829752</v>
      </c>
      <c r="C59" s="4">
        <f>Table1[[#This Row],[Energy (kcal)]]-MIN(Table1[Energy (kcal)])</f>
        <v>4.3005276364274323</v>
      </c>
      <c r="D59">
        <v>-1260.0198528835799</v>
      </c>
      <c r="E59" s="18">
        <v>191</v>
      </c>
      <c r="F59" t="s">
        <v>20</v>
      </c>
      <c r="G59" t="s">
        <v>55</v>
      </c>
      <c r="H59" s="10">
        <f>Table1[[#This Row],[Rel E]]</f>
        <v>4.3005276364274323</v>
      </c>
      <c r="I59" s="10">
        <f>IF(Table1[[#This Row],[rel G]]&lt;5,EXP(-H59/(D$2*E$2)),0)</f>
        <v>7.016462350166665E-4</v>
      </c>
      <c r="J59" s="10">
        <f>IF(Table1[[#This Row],[rel G]]&lt;5,I59/$F$2,0)</f>
        <v>9.6138181511408734E-5</v>
      </c>
      <c r="K59" t="str">
        <f>"1-"&amp;Table1[[#This Row],[Conformer]]</f>
        <v>1-191</v>
      </c>
      <c r="Q59" s="11"/>
    </row>
    <row r="60" spans="1:20" x14ac:dyDescent="0.25">
      <c r="A60">
        <f>Table1[[#This Row],[Gibbs Energy (hartree)]]</f>
        <v>-1260.02184265749</v>
      </c>
      <c r="B60">
        <f>Table1[[#This Row],[Energy (hartrees)]]*$C$2</f>
        <v>-790676.30648600147</v>
      </c>
      <c r="C60" s="4">
        <f>Table1[[#This Row],[Energy (kcal)]]-MIN(Table1[Energy (kcal)])</f>
        <v>3.0519246101612225</v>
      </c>
      <c r="D60">
        <v>-1260.02184265749</v>
      </c>
      <c r="E60" s="18">
        <v>193</v>
      </c>
      <c r="F60" t="s">
        <v>20</v>
      </c>
      <c r="G60" t="s">
        <v>53</v>
      </c>
      <c r="H60" s="10">
        <f>Table1[[#This Row],[Rel E]]</f>
        <v>3.0519246101612225</v>
      </c>
      <c r="I60" s="10">
        <f>IF(Table1[[#This Row],[rel G]]&lt;5,EXP(-H60/(D$2*E$2)),0)</f>
        <v>5.7783962203825203E-3</v>
      </c>
      <c r="J60" s="10">
        <f>IF(Table1[[#This Row],[rel G]]&lt;5,I60/$F$2,0)</f>
        <v>7.9174443894333344E-4</v>
      </c>
      <c r="K60" t="str">
        <f>"1-"&amp;Table1[[#This Row],[Conformer]]</f>
        <v>1-193</v>
      </c>
      <c r="Q60" s="11"/>
    </row>
    <row r="61" spans="1:20" x14ac:dyDescent="0.25">
      <c r="A61">
        <f>Table1[[#This Row],[Gibbs Energy (hartree)]]</f>
        <v>-1260.0171620385099</v>
      </c>
      <c r="B61">
        <f>Table1[[#This Row],[Energy (hartrees)]]*$C$2</f>
        <v>-790673.36935078539</v>
      </c>
      <c r="C61" s="4">
        <f>Table1[[#This Row],[Energy (kcal)]]-MIN(Table1[Energy (kcal)])</f>
        <v>5.9890598262427375</v>
      </c>
      <c r="D61">
        <v>-1260.0171620385099</v>
      </c>
      <c r="E61" s="18">
        <v>197</v>
      </c>
      <c r="F61" t="s">
        <v>17</v>
      </c>
      <c r="G61" t="s">
        <v>56</v>
      </c>
      <c r="H61" s="10">
        <f>Table1[[#This Row],[Rel E]]</f>
        <v>5.9890598262427375</v>
      </c>
      <c r="I61" s="10">
        <f>IF(Table1[[#This Row],[rel G]]&lt;5,EXP(-H61/(D$2*E$2)),0)</f>
        <v>0</v>
      </c>
      <c r="J61" s="10">
        <f>IF(Table1[[#This Row],[rel G]]&lt;5,I61/$F$2,0)</f>
        <v>0</v>
      </c>
      <c r="K61" t="str">
        <f>"1-"&amp;Table1[[#This Row],[Conformer]]</f>
        <v>1-197</v>
      </c>
      <c r="Q61" s="11"/>
    </row>
    <row r="62" spans="1:20" x14ac:dyDescent="0.25">
      <c r="A62">
        <f>Table1[[#This Row],[Gibbs Energy (hartree)]]</f>
        <v>-1260.01903262682</v>
      </c>
      <c r="B62">
        <f>Table1[[#This Row],[Energy (hartrees)]]*$C$2</f>
        <v>-790674.54316365579</v>
      </c>
      <c r="C62" s="4">
        <f>Table1[[#This Row],[Energy (kcal)]]-MIN(Table1[Energy (kcal)])</f>
        <v>4.8152469558408484</v>
      </c>
      <c r="D62">
        <v>-1260.01903262682</v>
      </c>
      <c r="E62" s="18">
        <v>208</v>
      </c>
      <c r="F62" t="s">
        <v>19</v>
      </c>
      <c r="G62" t="s">
        <v>53</v>
      </c>
      <c r="H62" s="10">
        <f>Table1[[#This Row],[Rel E]]</f>
        <v>4.8152469558408484</v>
      </c>
      <c r="I62" s="10">
        <f>IF(Table1[[#This Row],[rel G]]&lt;5,EXP(-H62/(D$2*E$2)),0)</f>
        <v>2.9419685876256886E-4</v>
      </c>
      <c r="J62" s="10">
        <f>IF(Table1[[#This Row],[rel G]]&lt;5,I62/$F$2,0)</f>
        <v>4.031027260786241E-5</v>
      </c>
      <c r="K62" t="str">
        <f>"1-"&amp;Table1[[#This Row],[Conformer]]</f>
        <v>1-208</v>
      </c>
      <c r="Q62" s="11"/>
    </row>
    <row r="63" spans="1:20" x14ac:dyDescent="0.25">
      <c r="A63">
        <f>Table1[[#This Row],[Gibbs Energy (hartree)]]</f>
        <v>-1260.0203308068001</v>
      </c>
      <c r="B63">
        <f>Table1[[#This Row],[Energy (hartrees)]]*$C$2</f>
        <v>-790675.35778457508</v>
      </c>
      <c r="C63" s="4">
        <f>Table1[[#This Row],[Energy (kcal)]]-MIN(Table1[Energy (kcal)])</f>
        <v>4.0006260365480557</v>
      </c>
      <c r="D63">
        <v>-1260.0203308068001</v>
      </c>
      <c r="E63" s="18">
        <v>212</v>
      </c>
      <c r="F63" t="s">
        <v>20</v>
      </c>
      <c r="G63" t="s">
        <v>53</v>
      </c>
      <c r="H63" s="10">
        <f>Table1[[#This Row],[Rel E]]</f>
        <v>4.0006260365480557</v>
      </c>
      <c r="I63" s="10">
        <f>IF(Table1[[#This Row],[rel G]]&lt;5,EXP(-H63/(D$2*E$2)),0)</f>
        <v>1.1642796423771329E-3</v>
      </c>
      <c r="J63" s="10">
        <f>IF(Table1[[#This Row],[rel G]]&lt;5,I63/$F$2,0)</f>
        <v>1.5952729737975731E-4</v>
      </c>
      <c r="K63" t="str">
        <f>"1-"&amp;Table1[[#This Row],[Conformer]]</f>
        <v>1-212</v>
      </c>
      <c r="Q63" s="11"/>
    </row>
    <row r="64" spans="1:20" x14ac:dyDescent="0.25">
      <c r="A64">
        <f>Table1[[#This Row],[Gibbs Energy (hartree)]]</f>
        <v>-1260.02205353211</v>
      </c>
      <c r="B64">
        <f>Table1[[#This Row],[Energy (hartrees)]]*$C$2</f>
        <v>-790676.43881193432</v>
      </c>
      <c r="C64" s="4">
        <f>Table1[[#This Row],[Energy (kcal)]]-MIN(Table1[Energy (kcal)])</f>
        <v>2.9195986773120239</v>
      </c>
      <c r="D64">
        <v>-1260.02205353211</v>
      </c>
      <c r="E64" s="18">
        <v>215</v>
      </c>
      <c r="F64" t="s">
        <v>20</v>
      </c>
      <c r="G64" t="s">
        <v>53</v>
      </c>
      <c r="H64" s="10">
        <f>Table1[[#This Row],[Rel E]]</f>
        <v>2.9195986773120239</v>
      </c>
      <c r="I64" s="10">
        <f>IF(Table1[[#This Row],[rel G]]&lt;5,EXP(-H64/(D$2*E$2)),0)</f>
        <v>7.2252238288090442E-3</v>
      </c>
      <c r="J64" s="10">
        <f>IF(Table1[[#This Row],[rel G]]&lt;5,I64/$F$2,0)</f>
        <v>9.8998590065562005E-4</v>
      </c>
      <c r="K64" t="str">
        <f>"1-"&amp;Table1[[#This Row],[Conformer]]</f>
        <v>1-215</v>
      </c>
      <c r="Q64" s="11"/>
    </row>
    <row r="65" spans="1:17" x14ac:dyDescent="0.25">
      <c r="A65">
        <f>Table1[[#This Row],[Gibbs Energy (hartree)]]</f>
        <v>-1260.0194827185401</v>
      </c>
      <c r="B65">
        <f>Table1[[#This Row],[Energy (hartrees)]]*$C$2</f>
        <v>-790674.82560071105</v>
      </c>
      <c r="C65" s="4">
        <f>Table1[[#This Row],[Energy (kcal)]]-MIN(Table1[Energy (kcal)])</f>
        <v>4.532809900585562</v>
      </c>
      <c r="D65">
        <v>-1260.0194827185401</v>
      </c>
      <c r="E65" s="18">
        <v>219</v>
      </c>
      <c r="F65" t="s">
        <v>20</v>
      </c>
      <c r="G65" t="s">
        <v>53</v>
      </c>
      <c r="H65" s="10">
        <f>Table1[[#This Row],[Rel E]]</f>
        <v>4.532809900585562</v>
      </c>
      <c r="I65" s="10">
        <f>IF(Table1[[#This Row],[rel G]]&lt;5,EXP(-H65/(D$2*E$2)),0)</f>
        <v>4.7398996507602194E-4</v>
      </c>
      <c r="J65" s="10">
        <f>IF(Table1[[#This Row],[rel G]]&lt;5,I65/$F$2,0)</f>
        <v>6.4945168979610465E-5</v>
      </c>
      <c r="K65" t="str">
        <f>"1-"&amp;Table1[[#This Row],[Conformer]]</f>
        <v>1-219</v>
      </c>
      <c r="Q65" s="11"/>
    </row>
    <row r="66" spans="1:17" x14ac:dyDescent="0.25">
      <c r="A66">
        <f>Table1[[#This Row],[Gibbs Energy (hartree)]]</f>
        <v>-1260.0164131629799</v>
      </c>
      <c r="B66">
        <f>Table1[[#This Row],[Energy (hartrees)]]*$C$2</f>
        <v>-790672.89942390146</v>
      </c>
      <c r="C66" s="4">
        <f>Table1[[#This Row],[Energy (kcal)]]-MIN(Table1[Energy (kcal)])</f>
        <v>6.4589867101749405</v>
      </c>
      <c r="D66">
        <v>-1260.0164131629799</v>
      </c>
      <c r="E66" s="18">
        <v>220</v>
      </c>
      <c r="F66" t="s">
        <v>20</v>
      </c>
      <c r="G66" t="s">
        <v>54</v>
      </c>
      <c r="H66" s="10">
        <f>Table1[[#This Row],[Rel E]]</f>
        <v>6.4589867101749405</v>
      </c>
      <c r="I66" s="10">
        <f>IF(Table1[[#This Row],[rel G]]&lt;5,EXP(-H66/(D$2*E$2)),0)</f>
        <v>0</v>
      </c>
      <c r="J66" s="10">
        <f>IF(Table1[[#This Row],[rel G]]&lt;5,I66/$F$2,0)</f>
        <v>0</v>
      </c>
      <c r="K66" t="str">
        <f>"1-"&amp;Table1[[#This Row],[Conformer]]</f>
        <v>1-220</v>
      </c>
      <c r="Q66" s="11"/>
    </row>
    <row r="67" spans="1:17" x14ac:dyDescent="0.25">
      <c r="A67">
        <f>Table1[[#This Row],[Gibbs Energy (hartree)]]</f>
        <v>-1260.0218431635001</v>
      </c>
      <c r="B67">
        <f>Table1[[#This Row],[Energy (hartrees)]]*$C$2</f>
        <v>-790676.30680352787</v>
      </c>
      <c r="C67" s="4">
        <f>Table1[[#This Row],[Energy (kcal)]]-MIN(Table1[Energy (kcal)])</f>
        <v>3.0516070837620646</v>
      </c>
      <c r="D67">
        <v>-1260.0218431635001</v>
      </c>
      <c r="E67" s="18">
        <v>241</v>
      </c>
      <c r="F67" t="s">
        <v>20</v>
      </c>
      <c r="G67" t="s">
        <v>53</v>
      </c>
      <c r="H67" s="10">
        <f>Table1[[#This Row],[Rel E]]</f>
        <v>3.0516070837620646</v>
      </c>
      <c r="I67" s="10">
        <f>IF(Table1[[#This Row],[rel G]]&lt;5,EXP(-H67/(D$2*E$2)),0)</f>
        <v>5.7814953729215281E-3</v>
      </c>
      <c r="J67" s="10">
        <f>IF(Table1[[#This Row],[rel G]]&lt;5,I67/$F$2,0)</f>
        <v>7.9216907870402367E-4</v>
      </c>
      <c r="K67" t="str">
        <f>"1-"&amp;Table1[[#This Row],[Conformer]]</f>
        <v>1-241</v>
      </c>
      <c r="Q67" s="11"/>
    </row>
    <row r="68" spans="1:17" x14ac:dyDescent="0.25">
      <c r="A68">
        <f>Table1[[#This Row],[Gibbs Energy (hartree)]]</f>
        <v>-1260.01998723939</v>
      </c>
      <c r="B68">
        <f>Table1[[#This Row],[Energy (hartrees)]]*$C$2</f>
        <v>-790675.14219258958</v>
      </c>
      <c r="C68" s="4">
        <f>Table1[[#This Row],[Energy (kcal)]]-MIN(Table1[Energy (kcal)])</f>
        <v>4.216218022047542</v>
      </c>
      <c r="D68">
        <v>-1260.01998723939</v>
      </c>
      <c r="E68" s="18">
        <v>272</v>
      </c>
      <c r="F68" t="s">
        <v>19</v>
      </c>
      <c r="G68" t="s">
        <v>54</v>
      </c>
      <c r="H68" s="10">
        <f>Table1[[#This Row],[Rel E]]</f>
        <v>4.216218022047542</v>
      </c>
      <c r="I68" s="10">
        <f>IF(Table1[[#This Row],[rel G]]&lt;5,EXP(-H68/(D$2*E$2)),0)</f>
        <v>8.0899980419291758E-4</v>
      </c>
      <c r="J68" s="10">
        <f>IF(Table1[[#This Row],[rel G]]&lt;5,I68/$F$2,0)</f>
        <v>1.1084755555817298E-4</v>
      </c>
      <c r="K68" t="str">
        <f>"1-"&amp;Table1[[#This Row],[Conformer]]</f>
        <v>1-272</v>
      </c>
      <c r="Q68" s="11"/>
    </row>
    <row r="69" spans="1:17" x14ac:dyDescent="0.25">
      <c r="A69">
        <f>Table1[[#This Row],[Gibbs Energy (hartree)]]</f>
        <v>-1260.0189824686199</v>
      </c>
      <c r="B69">
        <f>Table1[[#This Row],[Energy (hartrees)]]*$C$2</f>
        <v>-790674.51168888365</v>
      </c>
      <c r="C69" s="4">
        <f>Table1[[#This Row],[Energy (kcal)]]-MIN(Table1[Energy (kcal)])</f>
        <v>4.8467217279830948</v>
      </c>
      <c r="D69">
        <v>-1260.0189824686199</v>
      </c>
      <c r="E69" s="18">
        <v>276</v>
      </c>
      <c r="F69" t="s">
        <v>17</v>
      </c>
      <c r="G69" t="s">
        <v>54</v>
      </c>
      <c r="H69" s="10">
        <f>Table1[[#This Row],[Rel E]]</f>
        <v>4.8467217279830948</v>
      </c>
      <c r="I69" s="10">
        <f>IF(Table1[[#This Row],[rel G]]&lt;5,EXP(-H69/(D$2*E$2)),0)</f>
        <v>2.7896861706359682E-4</v>
      </c>
      <c r="J69" s="10">
        <f>IF(Table1[[#This Row],[rel G]]&lt;5,I69/$F$2,0)</f>
        <v>3.822372900299207E-5</v>
      </c>
      <c r="K69" t="str">
        <f>"1-"&amp;Table1[[#This Row],[Conformer]]</f>
        <v>1-276</v>
      </c>
      <c r="Q69" s="11"/>
    </row>
    <row r="70" spans="1:17" x14ac:dyDescent="0.25">
      <c r="A70">
        <f>Table1[[#This Row],[Gibbs Energy (hartree)]]</f>
        <v>-1260.01857056259</v>
      </c>
      <c r="B70">
        <f>Table1[[#This Row],[Energy (hartrees)]]*$C$2</f>
        <v>-790674.25321373076</v>
      </c>
      <c r="C70" s="4">
        <f>Table1[[#This Row],[Energy (kcal)]]-MIN(Table1[Energy (kcal)])</f>
        <v>5.1051968808751553</v>
      </c>
      <c r="D70">
        <v>-1260.01857056259</v>
      </c>
      <c r="E70" s="18">
        <v>278</v>
      </c>
      <c r="F70" t="s">
        <v>19</v>
      </c>
      <c r="G70" t="s">
        <v>53</v>
      </c>
      <c r="H70" s="10">
        <f>Table1[[#This Row],[Rel E]]</f>
        <v>5.1051968808751553</v>
      </c>
      <c r="I70" s="10">
        <f>IF(Table1[[#This Row],[rel G]]&lt;5,EXP(-H70/(D$2*E$2)),0)</f>
        <v>0</v>
      </c>
      <c r="J70" s="10">
        <f>IF(Table1[[#This Row],[rel G]]&lt;5,I70/$F$2,0)</f>
        <v>0</v>
      </c>
      <c r="K70" t="str">
        <f>"1-"&amp;Table1[[#This Row],[Conformer]]</f>
        <v>1-278</v>
      </c>
      <c r="Q70" s="11"/>
    </row>
    <row r="71" spans="1:17" x14ac:dyDescent="0.25">
      <c r="A71">
        <f>Table1[[#This Row],[Gibbs Energy (hartree)]]</f>
        <v>-1260.0195095546201</v>
      </c>
      <c r="B71">
        <f>Table1[[#This Row],[Energy (hartrees)]]*$C$2</f>
        <v>-790674.8424406196</v>
      </c>
      <c r="C71" s="4">
        <f>Table1[[#This Row],[Energy (kcal)]]-MIN(Table1[Energy (kcal)])</f>
        <v>4.5159699920332059</v>
      </c>
      <c r="D71">
        <v>-1260.0195095546201</v>
      </c>
      <c r="E71" s="18">
        <v>283</v>
      </c>
      <c r="F71" t="s">
        <v>19</v>
      </c>
      <c r="G71" t="s">
        <v>55</v>
      </c>
      <c r="H71" s="10">
        <f>Table1[[#This Row],[Rel E]]</f>
        <v>4.5159699920332059</v>
      </c>
      <c r="I71" s="10">
        <f>IF(Table1[[#This Row],[rel G]]&lt;5,EXP(-H71/(D$2*E$2)),0)</f>
        <v>4.8766214664083119E-4</v>
      </c>
      <c r="J71" s="10">
        <f>IF(Table1[[#This Row],[rel G]]&lt;5,I71/$F$2,0)</f>
        <v>6.6818504297804467E-5</v>
      </c>
      <c r="K71" t="str">
        <f>"1-"&amp;Table1[[#This Row],[Conformer]]</f>
        <v>1-283</v>
      </c>
      <c r="Q71" s="11"/>
    </row>
    <row r="72" spans="1:17" x14ac:dyDescent="0.25">
      <c r="A72">
        <f>Table1[[#This Row],[Gibbs Energy (hartree)]]</f>
        <v>-1260.0168227116401</v>
      </c>
      <c r="B72">
        <f>Table1[[#This Row],[Energy (hartrees)]]*$C$2</f>
        <v>-790673.15641978127</v>
      </c>
      <c r="C72" s="4">
        <f>Table1[[#This Row],[Energy (kcal)]]-MIN(Table1[Energy (kcal)])</f>
        <v>6.2019908303627744</v>
      </c>
      <c r="D72" s="4">
        <v>-1260.0168227116401</v>
      </c>
      <c r="E72" s="18">
        <v>290</v>
      </c>
      <c r="F72" t="s">
        <v>17</v>
      </c>
      <c r="G72" t="s">
        <v>55</v>
      </c>
      <c r="H72" s="10">
        <f>Table1[[#This Row],[Rel E]]</f>
        <v>6.2019908303627744</v>
      </c>
      <c r="I72" s="10">
        <f>IF(Table1[[#This Row],[rel G]]&lt;5,EXP(-H72/(D$2*E$2)),0)</f>
        <v>0</v>
      </c>
      <c r="J72" s="10">
        <f>IF(Table1[[#This Row],[rel G]]&lt;5,I72/$F$2,0)</f>
        <v>0</v>
      </c>
      <c r="K72" t="str">
        <f>"1-"&amp;Table1[[#This Row],[Conformer]]</f>
        <v>1-290</v>
      </c>
      <c r="Q72" s="11"/>
    </row>
    <row r="73" spans="1:17" x14ac:dyDescent="0.25">
      <c r="A73">
        <f>Table1[[#This Row],[Gibbs Energy (hartree)]]</f>
        <v>-1260.0181393974001</v>
      </c>
      <c r="B73">
        <f>Table1[[#This Row],[Energy (hartrees)]]*$C$2</f>
        <v>-790673.98265326256</v>
      </c>
      <c r="C73" s="4">
        <f>Table1[[#This Row],[Energy (kcal)]]-MIN(Table1[Energy (kcal)])</f>
        <v>5.3757573490729555</v>
      </c>
      <c r="D73" s="4">
        <v>-1260.0181393974001</v>
      </c>
      <c r="E73" s="18">
        <v>333</v>
      </c>
      <c r="F73" t="s">
        <v>59</v>
      </c>
      <c r="G73" t="s">
        <v>55</v>
      </c>
      <c r="H73" s="10">
        <f>Table1[[#This Row],[Rel E]]</f>
        <v>5.3757573490729555</v>
      </c>
      <c r="I73" s="10">
        <f>IF(Table1[[#This Row],[rel G]]&lt;5,EXP(-H73/(D$2*E$2)),0)</f>
        <v>0</v>
      </c>
      <c r="J73" s="10">
        <f>IF(Table1[[#This Row],[rel G]]&lt;5,I73/$F$2,0)</f>
        <v>0</v>
      </c>
      <c r="K73" t="str">
        <f>"1-"&amp;Table1[[#This Row],[Conformer]]</f>
        <v>1-333</v>
      </c>
      <c r="Q73" s="11"/>
    </row>
    <row r="74" spans="1:17" x14ac:dyDescent="0.25">
      <c r="A74">
        <f>Table1[[#This Row],[Gibbs Energy (hartree)]]</f>
        <v>-1260.0186391060299</v>
      </c>
      <c r="B74">
        <f>Table1[[#This Row],[Energy (hartrees)]]*$C$2</f>
        <v>-790674.29622542486</v>
      </c>
      <c r="C74" s="4">
        <f>Table1[[#This Row],[Energy (kcal)]]-MIN(Table1[Energy (kcal)])</f>
        <v>5.0621851867763326</v>
      </c>
      <c r="D74" s="4">
        <v>-1260.0186391060299</v>
      </c>
      <c r="E74" s="18">
        <v>373</v>
      </c>
      <c r="F74" t="s">
        <v>17</v>
      </c>
      <c r="G74" t="s">
        <v>53</v>
      </c>
      <c r="H74" s="10">
        <f>Table1[[#This Row],[Rel E]]</f>
        <v>5.0621851867763326</v>
      </c>
      <c r="I74" s="10">
        <f>IF(Table1[[#This Row],[rel G]]&lt;5,EXP(-H74/(D$2*E$2)),0)</f>
        <v>0</v>
      </c>
      <c r="J74" s="10">
        <f>IF(Table1[[#This Row],[rel G]]&lt;5,I74/$F$2,0)</f>
        <v>0</v>
      </c>
      <c r="K74" t="str">
        <f>"1-"&amp;Table1[[#This Row],[Conformer]]</f>
        <v>1-373</v>
      </c>
      <c r="Q74" s="11"/>
    </row>
    <row r="75" spans="1:17" x14ac:dyDescent="0.25">
      <c r="A75">
        <f>Table1[[#This Row],[Gibbs Energy (hartree)]]</f>
        <v>-1260.0180616581899</v>
      </c>
      <c r="B75">
        <f>Table1[[#This Row],[Energy (hartrees)]]*$C$2</f>
        <v>-790673.93387113081</v>
      </c>
      <c r="C75" s="4">
        <f>Table1[[#This Row],[Energy (kcal)]]-MIN(Table1[Energy (kcal)])</f>
        <v>5.4245394808240235</v>
      </c>
      <c r="D75" s="4">
        <v>-1260.0180616581899</v>
      </c>
      <c r="E75" s="18">
        <v>396</v>
      </c>
      <c r="F75" t="s">
        <v>17</v>
      </c>
      <c r="G75" t="s">
        <v>55</v>
      </c>
      <c r="H75" s="10">
        <f>Table1[[#This Row],[Rel E]]</f>
        <v>5.4245394808240235</v>
      </c>
      <c r="I75" s="10">
        <f>IF(Table1[[#This Row],[rel G]]&lt;5,EXP(-H75/(D$2*E$2)),0)</f>
        <v>0</v>
      </c>
      <c r="J75" s="10">
        <f>IF(Table1[[#This Row],[rel G]]&lt;5,I75/$F$2,0)</f>
        <v>0</v>
      </c>
      <c r="K75" t="str">
        <f>"1-"&amp;Table1[[#This Row],[Conformer]]</f>
        <v>1-396</v>
      </c>
      <c r="Q75" s="11"/>
    </row>
    <row r="76" spans="1:17" x14ac:dyDescent="0.25">
      <c r="C76" s="4"/>
      <c r="D76" s="4"/>
      <c r="E76" s="18"/>
      <c r="H76" s="10"/>
      <c r="I76" s="10"/>
      <c r="J76" s="10"/>
      <c r="Q76" s="11"/>
    </row>
    <row r="77" spans="1:17" x14ac:dyDescent="0.25">
      <c r="C77" s="4"/>
      <c r="D77" s="4"/>
      <c r="E77" s="18"/>
      <c r="H77" s="10"/>
      <c r="I77" s="10"/>
      <c r="J77" s="10"/>
      <c r="Q77" s="11"/>
    </row>
    <row r="78" spans="1:17" x14ac:dyDescent="0.25">
      <c r="C78" s="4"/>
      <c r="D78" s="4"/>
      <c r="H78" s="4"/>
      <c r="I78" s="4"/>
      <c r="J78" s="4"/>
      <c r="Q78" s="11"/>
    </row>
    <row r="79" spans="1:17" x14ac:dyDescent="0.25">
      <c r="C79" s="4"/>
      <c r="D79" s="4"/>
      <c r="H79" s="4"/>
      <c r="I79" s="4"/>
      <c r="J79" s="4"/>
      <c r="Q79" s="11"/>
    </row>
    <row r="80" spans="1:17" x14ac:dyDescent="0.25">
      <c r="C80" s="4"/>
      <c r="D80" s="4"/>
      <c r="H80" s="4"/>
      <c r="I80" s="4"/>
      <c r="J80" s="4"/>
      <c r="Q80" s="11"/>
    </row>
    <row r="81" spans="3:17" x14ac:dyDescent="0.25">
      <c r="C81" s="4"/>
      <c r="D81" s="4"/>
      <c r="H81" s="4"/>
      <c r="I81" s="4"/>
      <c r="J81" s="4"/>
      <c r="Q81" s="11"/>
    </row>
    <row r="82" spans="3:17" x14ac:dyDescent="0.25">
      <c r="Q82" s="11"/>
    </row>
    <row r="83" spans="3:17" x14ac:dyDescent="0.25">
      <c r="Q83" s="12"/>
    </row>
  </sheetData>
  <sortState xmlns:xlrd2="http://schemas.microsoft.com/office/spreadsheetml/2017/richdata2" ref="N7:P11">
    <sortCondition descending="1" ref="O7:O11"/>
  </sortState>
  <phoneticPr fontId="4" type="noConversion"/>
  <conditionalFormatting sqref="H7:H75">
    <cfRule type="cellIs" dxfId="21" priority="3" operator="lessThan">
      <formula>5</formula>
    </cfRule>
    <cfRule type="cellIs" dxfId="20" priority="4" operator="greaterThan">
      <formula>5</formula>
    </cfRule>
  </conditionalFormatting>
  <conditionalFormatting sqref="X76:X79">
    <cfRule type="cellIs" dxfId="19" priority="2" operator="greaterThan">
      <formula>5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EDE23-14B5-4F34-8B41-10E18CB07CA4}">
  <dimension ref="A1:AF88"/>
  <sheetViews>
    <sheetView topLeftCell="D34" workbookViewId="0">
      <selection activeCell="S73" sqref="S73:S74"/>
    </sheetView>
  </sheetViews>
  <sheetFormatPr defaultRowHeight="15" x14ac:dyDescent="0.25"/>
  <cols>
    <col min="1" max="1" width="10.140625" customWidth="1"/>
    <col min="4" max="4" width="9.28515625" bestFit="1" customWidth="1"/>
    <col min="10" max="10" width="11.5703125" bestFit="1" customWidth="1"/>
    <col min="11" max="11" width="13.42578125" customWidth="1"/>
  </cols>
  <sheetData>
    <row r="1" spans="1:31" x14ac:dyDescent="0.25">
      <c r="A1" t="s">
        <v>32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  <c r="H1" t="s">
        <v>29</v>
      </c>
      <c r="I1" t="s">
        <v>30</v>
      </c>
      <c r="J1" t="s">
        <v>15</v>
      </c>
      <c r="K1" t="s">
        <v>31</v>
      </c>
      <c r="L1" t="s">
        <v>34</v>
      </c>
      <c r="M1" t="s">
        <v>35</v>
      </c>
      <c r="N1" t="s">
        <v>36</v>
      </c>
      <c r="O1" t="s">
        <v>37</v>
      </c>
      <c r="P1" t="s">
        <v>38</v>
      </c>
      <c r="Q1" t="s">
        <v>39</v>
      </c>
      <c r="R1" t="s">
        <v>40</v>
      </c>
      <c r="S1" t="s">
        <v>41</v>
      </c>
      <c r="T1" t="s">
        <v>42</v>
      </c>
    </row>
    <row r="2" spans="1:31" x14ac:dyDescent="0.25">
      <c r="A2" s="16">
        <v>2</v>
      </c>
      <c r="B2">
        <v>7.6769999999999996</v>
      </c>
      <c r="C2">
        <v>8.5869999999999997</v>
      </c>
      <c r="D2">
        <v>6.492</v>
      </c>
      <c r="E2">
        <v>0.92100000000000004</v>
      </c>
      <c r="F2">
        <v>12.112</v>
      </c>
      <c r="G2">
        <v>1.4730000000000001</v>
      </c>
      <c r="H2">
        <v>-12.196</v>
      </c>
      <c r="I2">
        <v>10.313000000000001</v>
      </c>
      <c r="J2" s="9">
        <f>chloroform!J7</f>
        <v>2.0443132994926894E-2</v>
      </c>
      <c r="K2" t="str">
        <f>chloroform!F7</f>
        <v>4H6</v>
      </c>
      <c r="M2">
        <f>0.9155*Table2[[#This Row],[J1,2]]*Table2[[#This Row],[weight]]</f>
        <v>0.14368033874788019</v>
      </c>
      <c r="N2">
        <f>0.9155*Table2[[#This Row],[J2,3]]*Table2[[#This Row],[weight]]</f>
        <v>0.1607116150616188</v>
      </c>
      <c r="O2">
        <f>0.9155*Table2[[#This Row],[J34]]*Table2[[#This Row],[weight]]</f>
        <v>0.12150224816350635</v>
      </c>
      <c r="P2">
        <f>0.9155*Table2[[#This Row],[J45]]*Table2[[#This Row],[weight]]</f>
        <v>1.7237148884563982E-2</v>
      </c>
      <c r="Q2">
        <f>0.9155*Table2[[#This Row],[J56]]*Table2[[#This Row],[weight]]</f>
        <v>0.22668441616703466</v>
      </c>
      <c r="R2">
        <f>0.9155*Table2[[#This Row],[J67]]*Table2[[#This Row],[weight]]</f>
        <v>2.7568208802348258E-2</v>
      </c>
      <c r="S2">
        <f>0.9155*Table2[[#This Row],[J67'']]*Table2[[#This Row],[weight]]</f>
        <v>0.19301489299295152</v>
      </c>
      <c r="T2">
        <f>0.9155*Table2[[#This Row],[J77'']]*Table2[[#This Row],[weight]]</f>
        <v>-0.22825653398061055</v>
      </c>
      <c r="Y2">
        <v>7.7371451697936386</v>
      </c>
      <c r="Z2">
        <v>7.6223406092934836</v>
      </c>
      <c r="AA2">
        <v>4.4114338850180577</v>
      </c>
      <c r="AB2">
        <v>3.5152098552688251</v>
      </c>
      <c r="AC2">
        <v>10.009112483138958</v>
      </c>
      <c r="AD2">
        <v>1.6169491914418774</v>
      </c>
      <c r="AE2">
        <v>3.0819887538197386</v>
      </c>
    </row>
    <row r="3" spans="1:31" x14ac:dyDescent="0.25">
      <c r="A3" s="16">
        <v>3</v>
      </c>
      <c r="B3">
        <v>7.8250000000000002</v>
      </c>
      <c r="C3">
        <v>8.1839999999999993</v>
      </c>
      <c r="D3">
        <v>5.9489999999999998</v>
      </c>
      <c r="E3">
        <v>0.56100000000000005</v>
      </c>
      <c r="F3">
        <v>11.586</v>
      </c>
      <c r="G3">
        <v>1.276</v>
      </c>
      <c r="H3">
        <v>-13.053000000000001</v>
      </c>
      <c r="I3">
        <v>10.183</v>
      </c>
      <c r="J3" s="9">
        <f>chloroform!J8</f>
        <v>2.6474327595882797E-2</v>
      </c>
      <c r="K3" t="str">
        <f>chloroform!F8</f>
        <v>4H6</v>
      </c>
      <c r="M3">
        <f>0.9155*Table2[[#This Row],[J1,2]]*Table2[[#This Row],[weight]]</f>
        <v>0.18965645710229023</v>
      </c>
      <c r="N3">
        <f>0.9155*Table2[[#This Row],[J2,3]]*Table2[[#This Row],[weight]]</f>
        <v>0.19835762874442722</v>
      </c>
      <c r="O3">
        <f>0.9155*Table2[[#This Row],[J34]]*Table2[[#This Row],[weight]]</f>
        <v>0.14418738189156863</v>
      </c>
      <c r="P3">
        <f>0.9155*Table2[[#This Row],[J45]]*Table2[[#This Row],[weight]]</f>
        <v>1.3597095518771226E-2</v>
      </c>
      <c r="Q3">
        <f>0.9155*Table2[[#This Row],[J56]]*Table2[[#This Row],[weight]]</f>
        <v>0.28081274274595969</v>
      </c>
      <c r="R3">
        <f>0.9155*Table2[[#This Row],[J67]]*Table2[[#This Row],[weight]]</f>
        <v>3.0926727062303171E-2</v>
      </c>
      <c r="S3">
        <f>0.9155*Table2[[#This Row],[J67'']]*Table2[[#This Row],[weight]]</f>
        <v>0.24680788532557463</v>
      </c>
      <c r="T3">
        <f>0.9155*Table2[[#This Row],[J77'']]*Table2[[#This Row],[weight]]</f>
        <v>-0.31636878396884272</v>
      </c>
      <c r="V3" s="13"/>
      <c r="W3">
        <v>1</v>
      </c>
      <c r="Y3">
        <v>6.95</v>
      </c>
      <c r="Z3">
        <v>6.15</v>
      </c>
      <c r="AA3">
        <v>5.73</v>
      </c>
      <c r="AB3">
        <v>4.0999999999999996</v>
      </c>
      <c r="AC3">
        <v>9.66</v>
      </c>
      <c r="AD3">
        <v>2.23</v>
      </c>
      <c r="AE3">
        <v>5.15</v>
      </c>
    </row>
    <row r="4" spans="1:31" x14ac:dyDescent="0.25">
      <c r="A4" s="16">
        <v>4</v>
      </c>
      <c r="B4">
        <v>7.86</v>
      </c>
      <c r="C4">
        <v>8.9190000000000005</v>
      </c>
      <c r="D4">
        <v>6.3090000000000002</v>
      </c>
      <c r="E4">
        <v>0.46700000000000003</v>
      </c>
      <c r="F4">
        <v>11.747</v>
      </c>
      <c r="G4">
        <v>0.96399999999999997</v>
      </c>
      <c r="H4">
        <v>-13.75</v>
      </c>
      <c r="I4">
        <v>3.2669999999999999</v>
      </c>
      <c r="J4" s="9">
        <f>chloroform!J9</f>
        <v>8.2886759934681004E-2</v>
      </c>
      <c r="K4" t="str">
        <f>chloroform!F9</f>
        <v>4H6</v>
      </c>
      <c r="M4">
        <f>0.9155*Table2[[#This Row],[J1,2]]*Table2[[#This Row],[weight]]</f>
        <v>0.59643903374077556</v>
      </c>
      <c r="N4">
        <f>0.9155*Table2[[#This Row],[J2,3]]*Table2[[#This Row],[weight]]</f>
        <v>0.67679894935546792</v>
      </c>
      <c r="O4">
        <f>0.9155*Table2[[#This Row],[J34]]*Table2[[#This Row],[weight]]</f>
        <v>0.4787447663957447</v>
      </c>
      <c r="P4">
        <f>0.9155*Table2[[#This Row],[J45]]*Table2[[#This Row],[weight]]</f>
        <v>3.5437281012333614E-2</v>
      </c>
      <c r="Q4">
        <f>0.9155*Table2[[#This Row],[J56]]*Table2[[#This Row],[weight]]</f>
        <v>0.89139558897619475</v>
      </c>
      <c r="R4">
        <f>0.9155*Table2[[#This Row],[J67]]*Table2[[#This Row],[weight]]</f>
        <v>7.3151046886273233E-2</v>
      </c>
      <c r="S4">
        <f>0.9155*Table2[[#This Row],[J67'']]*Table2[[#This Row],[weight]]</f>
        <v>0.24790920142889489</v>
      </c>
      <c r="T4">
        <f>0.9155*Table2[[#This Row],[J77'']]*Table2[[#This Row],[weight]]</f>
        <v>-1.0433888949027563</v>
      </c>
      <c r="V4" s="13"/>
      <c r="W4">
        <v>2</v>
      </c>
    </row>
    <row r="5" spans="1:31" x14ac:dyDescent="0.25">
      <c r="A5" s="16">
        <v>6</v>
      </c>
      <c r="B5">
        <v>8.0250000000000004</v>
      </c>
      <c r="C5">
        <v>8.577</v>
      </c>
      <c r="D5">
        <v>5.6319999999999997</v>
      </c>
      <c r="E5">
        <v>0.32900000000000001</v>
      </c>
      <c r="F5">
        <v>11.805999999999999</v>
      </c>
      <c r="G5">
        <v>1.1950000000000001</v>
      </c>
      <c r="H5">
        <v>-13.618</v>
      </c>
      <c r="I5">
        <v>2.831</v>
      </c>
      <c r="J5" s="9">
        <f>chloroform!J10</f>
        <v>0.13701802520058434</v>
      </c>
      <c r="K5" t="str">
        <f>chloroform!F10</f>
        <v>4H6</v>
      </c>
      <c r="M5">
        <f>0.9155*Table2[[#This Row],[J1,2]]*Table2[[#This Row],[weight]]</f>
        <v>1.0066560166208582</v>
      </c>
      <c r="N5">
        <f>0.9155*Table2[[#This Row],[J2,3]]*Table2[[#This Row],[weight]]</f>
        <v>1.0758988977641246</v>
      </c>
      <c r="O5">
        <f>0.9155*Table2[[#This Row],[J34]]*Table2[[#This Row],[weight]]</f>
        <v>0.70647809166463205</v>
      </c>
      <c r="P5">
        <f>0.9155*Table2[[#This Row],[J45]]*Table2[[#This Row],[weight]]</f>
        <v>4.1269760681403402E-2</v>
      </c>
      <c r="Q5">
        <f>0.9155*Table2[[#This Row],[J56]]*Table2[[#This Row],[weight]]</f>
        <v>1.4809446644518192</v>
      </c>
      <c r="R5">
        <f>0.9155*Table2[[#This Row],[J67]]*Table2[[#This Row],[weight]]</f>
        <v>0.14990080247500631</v>
      </c>
      <c r="S5">
        <f>0.9155*Table2[[#This Row],[J67'']]*Table2[[#This Row],[weight]]</f>
        <v>0.3551206458633831</v>
      </c>
      <c r="T5">
        <f>0.9155*Table2[[#This Row],[J77'']]*Table2[[#This Row],[weight]]</f>
        <v>-1.708241948204716</v>
      </c>
      <c r="V5" s="13"/>
      <c r="W5">
        <v>3</v>
      </c>
    </row>
    <row r="6" spans="1:31" x14ac:dyDescent="0.25">
      <c r="A6" s="16">
        <v>7</v>
      </c>
      <c r="B6">
        <v>8.6199999999999992</v>
      </c>
      <c r="C6">
        <v>9.6829999999999998</v>
      </c>
      <c r="D6">
        <v>2.9089999999999998</v>
      </c>
      <c r="E6">
        <v>6.5730000000000004</v>
      </c>
      <c r="F6">
        <v>9.1850000000000005</v>
      </c>
      <c r="G6">
        <v>1.722</v>
      </c>
      <c r="H6">
        <v>-14.025</v>
      </c>
      <c r="I6">
        <v>2.375</v>
      </c>
      <c r="J6" s="9">
        <f>chloroform!J11</f>
        <v>4.8979761756914458E-3</v>
      </c>
      <c r="K6" t="str">
        <f>chloroform!F11</f>
        <v>45TH</v>
      </c>
      <c r="M6">
        <f>0.9155*Table2[[#This Row],[J1,2]]*Table2[[#This Row],[weight]]</f>
        <v>3.8652917767848363E-2</v>
      </c>
      <c r="N6">
        <f>0.9155*Table2[[#This Row],[J2,3]]*Table2[[#This Row],[weight]]</f>
        <v>4.3419513079591153E-2</v>
      </c>
      <c r="O6">
        <f>0.9155*Table2[[#This Row],[J34]]*Table2[[#This Row],[weight]]</f>
        <v>1.3044238722351612E-2</v>
      </c>
      <c r="P6">
        <f>0.9155*Table2[[#This Row],[J45]]*Table2[[#This Row],[weight]]</f>
        <v>2.9473970822281596E-2</v>
      </c>
      <c r="Q6">
        <f>0.9155*Table2[[#This Row],[J56]]*Table2[[#This Row],[weight]]</f>
        <v>4.1186432679546088E-2</v>
      </c>
      <c r="R6">
        <f>0.9155*Table2[[#This Row],[J67]]*Table2[[#This Row],[weight]]</f>
        <v>7.7216153591919828E-3</v>
      </c>
      <c r="S6">
        <f>0.9155*Table2[[#This Row],[J67'']]*Table2[[#This Row],[weight]]</f>
        <v>1.0649730823508107E-2</v>
      </c>
      <c r="T6">
        <f>0.9155*Table2[[#This Row],[J77'']]*Table2[[#This Row],[weight]]</f>
        <v>-6.2889463073558402E-2</v>
      </c>
      <c r="V6" s="13"/>
      <c r="W6">
        <v>4</v>
      </c>
      <c r="Z6" t="s">
        <v>44</v>
      </c>
      <c r="AA6" t="s">
        <v>45</v>
      </c>
      <c r="AB6" t="s">
        <v>46</v>
      </c>
    </row>
    <row r="7" spans="1:31" x14ac:dyDescent="0.25">
      <c r="A7" s="16">
        <v>8</v>
      </c>
      <c r="B7">
        <v>8.0510000000000002</v>
      </c>
      <c r="C7">
        <v>9.1110000000000007</v>
      </c>
      <c r="D7">
        <v>5.5350000000000001</v>
      </c>
      <c r="E7">
        <v>0.44900000000000001</v>
      </c>
      <c r="F7">
        <v>11.731</v>
      </c>
      <c r="G7">
        <v>1.379</v>
      </c>
      <c r="H7">
        <v>-13.701000000000001</v>
      </c>
      <c r="I7">
        <v>2.6360000000000001</v>
      </c>
      <c r="J7" s="9">
        <f>chloroform!J12</f>
        <v>6.8591809039828824E-2</v>
      </c>
      <c r="K7" t="str">
        <f>chloroform!F12</f>
        <v>4H6</v>
      </c>
      <c r="M7">
        <f>0.9155*Table2[[#This Row],[J1,2]]*Table2[[#This Row],[weight]]</f>
        <v>0.50556899526768051</v>
      </c>
      <c r="N7">
        <f>0.9155*Table2[[#This Row],[J2,3]]*Table2[[#This Row],[weight]]</f>
        <v>0.57213254451420159</v>
      </c>
      <c r="O7">
        <f>0.9155*Table2[[#This Row],[J34]]*Table2[[#This Row],[weight]]</f>
        <v>0.34757475950895678</v>
      </c>
      <c r="P7">
        <f>0.9155*Table2[[#This Row],[J45]]*Table2[[#This Row],[weight]]</f>
        <v>2.8195314728007518E-2</v>
      </c>
      <c r="Q7">
        <f>0.9155*Table2[[#This Row],[J56]]*Table2[[#This Row],[weight]]</f>
        <v>0.73665754359522539</v>
      </c>
      <c r="R7">
        <f>0.9155*Table2[[#This Row],[J67]]*Table2[[#This Row],[weight]]</f>
        <v>8.6595409821653369E-2</v>
      </c>
      <c r="S7">
        <f>0.9155*Table2[[#This Row],[J67'']]*Table2[[#This Row],[weight]]</f>
        <v>0.16552973189983922</v>
      </c>
      <c r="T7">
        <f>0.9155*Table2[[#This Row],[J77'']]*Table2[[#This Row],[weight]]</f>
        <v>-0.86036527191187306</v>
      </c>
      <c r="V7" s="13"/>
      <c r="W7">
        <v>6</v>
      </c>
      <c r="Z7" s="6">
        <v>6.95</v>
      </c>
      <c r="AA7" s="6">
        <f>AB7/0.9155</f>
        <v>8.4512781756347781</v>
      </c>
      <c r="AB7" s="6">
        <v>7.7371451697936386</v>
      </c>
    </row>
    <row r="8" spans="1:31" x14ac:dyDescent="0.25">
      <c r="A8" s="16">
        <v>9</v>
      </c>
      <c r="B8">
        <v>7.7359999999999998</v>
      </c>
      <c r="C8">
        <v>8.6690000000000005</v>
      </c>
      <c r="D8">
        <v>6.4820000000000002</v>
      </c>
      <c r="E8">
        <v>0.86899999999999999</v>
      </c>
      <c r="F8">
        <v>11.75</v>
      </c>
      <c r="G8">
        <v>2.597</v>
      </c>
      <c r="H8">
        <v>-13.023999999999999</v>
      </c>
      <c r="I8">
        <v>1.232</v>
      </c>
      <c r="J8" s="9">
        <f>chloroform!J13</f>
        <v>3.6728546106106548E-2</v>
      </c>
      <c r="K8" t="str">
        <f>chloroform!F13</f>
        <v>4H6</v>
      </c>
      <c r="M8">
        <f>0.9155*Table2[[#This Row],[J1,2]]*Table2[[#This Row],[weight]]</f>
        <v>0.26012287591564726</v>
      </c>
      <c r="N8">
        <f>0.9155*Table2[[#This Row],[J2,3]]*Table2[[#This Row],[weight]]</f>
        <v>0.29149498595045842</v>
      </c>
      <c r="O8">
        <f>0.9155*Table2[[#This Row],[J34]]*Table2[[#This Row],[weight]]</f>
        <v>0.21795714602963101</v>
      </c>
      <c r="P8">
        <f>0.9155*Table2[[#This Row],[J45]]*Table2[[#This Row],[weight]]</f>
        <v>2.9220111061362131E-2</v>
      </c>
      <c r="Q8">
        <f>0.9155*Table2[[#This Row],[J56]]*Table2[[#This Row],[weight]]</f>
        <v>0.39509356153165143</v>
      </c>
      <c r="R8">
        <f>0.9155*Table2[[#This Row],[J67]]*Table2[[#This Row],[weight]]</f>
        <v>8.7324083344484993E-2</v>
      </c>
      <c r="S8">
        <f>0.9155*Table2[[#This Row],[J67'']]*Table2[[#This Row],[weight]]</f>
        <v>4.1425980238893149E-2</v>
      </c>
      <c r="T8">
        <f>0.9155*Table2[[#This Row],[J77'']]*Table2[[#This Row],[weight]]</f>
        <v>-0.43793179109687042</v>
      </c>
      <c r="V8" s="13"/>
      <c r="W8">
        <v>7</v>
      </c>
      <c r="Z8" s="6">
        <v>6.15</v>
      </c>
      <c r="AA8" s="6">
        <f t="shared" ref="AA8:AA13" si="0">AB8/0.9155</f>
        <v>8.3258772357110686</v>
      </c>
      <c r="AB8" s="6">
        <v>7.6223406092934836</v>
      </c>
    </row>
    <row r="9" spans="1:31" x14ac:dyDescent="0.25">
      <c r="A9" s="16">
        <v>14</v>
      </c>
      <c r="B9">
        <v>8.5609999999999999</v>
      </c>
      <c r="C9">
        <v>9.6329999999999991</v>
      </c>
      <c r="D9">
        <v>2.177</v>
      </c>
      <c r="E9">
        <v>7.8090000000000002</v>
      </c>
      <c r="F9">
        <v>9.3729999999999993</v>
      </c>
      <c r="G9">
        <v>1.7150000000000001</v>
      </c>
      <c r="H9">
        <v>-14.05</v>
      </c>
      <c r="I9">
        <v>2.335</v>
      </c>
      <c r="J9" s="9">
        <f>chloroform!J14</f>
        <v>0</v>
      </c>
      <c r="K9" t="str">
        <f>chloroform!F14</f>
        <v>45TH</v>
      </c>
      <c r="M9">
        <f>0.9155*Table2[[#This Row],[J1,2]]*Table2[[#This Row],[weight]]</f>
        <v>0</v>
      </c>
      <c r="N9">
        <f>0.9155*Table2[[#This Row],[J2,3]]*Table2[[#This Row],[weight]]</f>
        <v>0</v>
      </c>
      <c r="O9">
        <f>0.9155*Table2[[#This Row],[J34]]*Table2[[#This Row],[weight]]</f>
        <v>0</v>
      </c>
      <c r="P9">
        <f>0.9155*Table2[[#This Row],[J45]]*Table2[[#This Row],[weight]]</f>
        <v>0</v>
      </c>
      <c r="Q9">
        <f>0.9155*Table2[[#This Row],[J56]]*Table2[[#This Row],[weight]]</f>
        <v>0</v>
      </c>
      <c r="R9">
        <f>0.9155*Table2[[#This Row],[J67]]*Table2[[#This Row],[weight]]</f>
        <v>0</v>
      </c>
      <c r="S9">
        <f>0.9155*Table2[[#This Row],[J67'']]*Table2[[#This Row],[weight]]</f>
        <v>0</v>
      </c>
      <c r="T9">
        <f>0.9155*Table2[[#This Row],[J77'']]*Table2[[#This Row],[weight]]</f>
        <v>0</v>
      </c>
      <c r="V9" s="13"/>
      <c r="W9">
        <v>8</v>
      </c>
      <c r="Z9" s="6">
        <v>5.73</v>
      </c>
      <c r="AA9" s="6">
        <f t="shared" si="0"/>
        <v>4.8186061005112588</v>
      </c>
      <c r="AB9" s="6">
        <v>4.4114338850180577</v>
      </c>
    </row>
    <row r="10" spans="1:31" x14ac:dyDescent="0.25">
      <c r="A10" s="16">
        <v>15</v>
      </c>
      <c r="B10">
        <v>8.7080000000000002</v>
      </c>
      <c r="C10">
        <v>9.1489999999999991</v>
      </c>
      <c r="D10">
        <v>2.19</v>
      </c>
      <c r="E10">
        <v>6.3179999999999996</v>
      </c>
      <c r="F10">
        <v>9.5809999999999995</v>
      </c>
      <c r="G10">
        <v>2.9950000000000001</v>
      </c>
      <c r="H10">
        <v>-12.337999999999999</v>
      </c>
      <c r="I10">
        <v>11.654</v>
      </c>
      <c r="J10" s="9">
        <f>chloroform!J15</f>
        <v>1.9047002688397006E-2</v>
      </c>
      <c r="K10" t="str">
        <f>chloroform!F15</f>
        <v>45TH</v>
      </c>
      <c r="M10">
        <f>0.9155*Table2[[#This Row],[J1,2]]*Table2[[#This Row],[weight]]</f>
        <v>0.15184601961036873</v>
      </c>
      <c r="N10">
        <f>0.9155*Table2[[#This Row],[J2,3]]*Table2[[#This Row],[weight]]</f>
        <v>0.15953597076427001</v>
      </c>
      <c r="O10">
        <f>0.9155*Table2[[#This Row],[J34]]*Table2[[#This Row],[weight]]</f>
        <v>3.8188192805088131E-2</v>
      </c>
      <c r="P10">
        <f>0.9155*Table2[[#This Row],[J45]]*Table2[[#This Row],[weight]]</f>
        <v>0.11017032061303507</v>
      </c>
      <c r="Q10">
        <f>0.9155*Table2[[#This Row],[J56]]*Table2[[#This Row],[weight]]</f>
        <v>0.16706898413952029</v>
      </c>
      <c r="R10">
        <f>0.9155*Table2[[#This Row],[J67]]*Table2[[#This Row],[weight]]</f>
        <v>5.222540522887624E-2</v>
      </c>
      <c r="S10">
        <f>0.9155*Table2[[#This Row],[J67'']]*Table2[[#This Row],[weight]]</f>
        <v>0.20321698582214479</v>
      </c>
      <c r="T10">
        <f>0.9155*Table2[[#This Row],[J77'']]*Table2[[#This Row],[weight]]</f>
        <v>-0.21514425699962436</v>
      </c>
      <c r="V10" s="13"/>
      <c r="W10">
        <v>9</v>
      </c>
      <c r="Z10" s="6">
        <v>4.0999999999999996</v>
      </c>
      <c r="AA10" s="6">
        <f t="shared" si="0"/>
        <v>3.8396612291303387</v>
      </c>
      <c r="AB10" s="6">
        <v>3.5152098552688251</v>
      </c>
    </row>
    <row r="11" spans="1:31" x14ac:dyDescent="0.25">
      <c r="A11" s="16">
        <v>16</v>
      </c>
      <c r="B11">
        <v>7.907</v>
      </c>
      <c r="C11">
        <v>8.4039999999999999</v>
      </c>
      <c r="D11">
        <v>5.7629999999999999</v>
      </c>
      <c r="E11">
        <v>0.371</v>
      </c>
      <c r="F11">
        <v>11.929</v>
      </c>
      <c r="G11">
        <v>2.4020000000000001</v>
      </c>
      <c r="H11">
        <v>-13.055999999999999</v>
      </c>
      <c r="I11">
        <v>1.373</v>
      </c>
      <c r="J11" s="9">
        <f>chloroform!J16</f>
        <v>7.6914081690591052E-2</v>
      </c>
      <c r="K11" t="str">
        <f>chloroform!F16</f>
        <v>4H6</v>
      </c>
      <c r="M11">
        <f>0.9155*Table2[[#This Row],[J1,2]]*Table2[[#This Row],[weight]]</f>
        <v>0.55677015401562946</v>
      </c>
      <c r="N11">
        <f>0.9155*Table2[[#This Row],[J2,3]]*Table2[[#This Row],[weight]]</f>
        <v>0.59176633038413429</v>
      </c>
      <c r="O11">
        <f>0.9155*Table2[[#This Row],[J34]]*Table2[[#This Row],[weight]]</f>
        <v>0.40580073322272314</v>
      </c>
      <c r="P11">
        <f>0.9155*Table2[[#This Row],[J45]]*Table2[[#This Row],[weight]]</f>
        <v>2.6123906303250094E-2</v>
      </c>
      <c r="Q11">
        <f>0.9155*Table2[[#This Row],[J56]]*Table2[[#This Row],[weight]]</f>
        <v>0.83997864768590413</v>
      </c>
      <c r="R11">
        <f>0.9155*Table2[[#This Row],[J67]]*Table2[[#This Row],[weight]]</f>
        <v>0.16913644997414215</v>
      </c>
      <c r="S11">
        <f>0.9155*Table2[[#This Row],[J67'']]*Table2[[#This Row],[weight]]</f>
        <v>9.6679577774561667E-2</v>
      </c>
      <c r="T11">
        <f>0.9155*Table2[[#This Row],[J77'']]*Table2[[#This Row],[weight]]</f>
        <v>-0.91933617438068249</v>
      </c>
      <c r="V11" s="13"/>
      <c r="W11">
        <v>14</v>
      </c>
      <c r="Z11" s="6">
        <v>9.66</v>
      </c>
      <c r="AA11" s="6">
        <f t="shared" si="0"/>
        <v>10.932946458917487</v>
      </c>
      <c r="AB11" s="6">
        <v>10.009112483138958</v>
      </c>
    </row>
    <row r="12" spans="1:31" x14ac:dyDescent="0.25">
      <c r="A12" s="16">
        <v>17</v>
      </c>
      <c r="B12">
        <v>8.7279999999999998</v>
      </c>
      <c r="C12">
        <v>9.1859999999999999</v>
      </c>
      <c r="D12">
        <v>2.351</v>
      </c>
      <c r="E12">
        <v>5.9160000000000004</v>
      </c>
      <c r="F12">
        <v>10.324</v>
      </c>
      <c r="G12">
        <v>2.06</v>
      </c>
      <c r="H12">
        <v>-13.089</v>
      </c>
      <c r="I12">
        <v>1.907</v>
      </c>
      <c r="J12" s="9">
        <f>chloroform!J17</f>
        <v>6.9642563450323117E-2</v>
      </c>
      <c r="K12" t="str">
        <f>chloroform!F17</f>
        <v>45TH</v>
      </c>
      <c r="M12">
        <f>0.9155*Table2[[#This Row],[J1,2]]*Table2[[#This Row],[weight]]</f>
        <v>0.55647778896879163</v>
      </c>
      <c r="N12">
        <f>0.9155*Table2[[#This Row],[J2,3]]*Table2[[#This Row],[weight]]</f>
        <v>0.58567884618094868</v>
      </c>
      <c r="O12">
        <f>0.9155*Table2[[#This Row],[J34]]*Table2[[#This Row],[weight]]</f>
        <v>0.14989450983795016</v>
      </c>
      <c r="P12">
        <f>0.9155*Table2[[#This Row],[J45]]*Table2[[#This Row],[weight]]</f>
        <v>0.3771909486181681</v>
      </c>
      <c r="Q12">
        <f>0.9155*Table2[[#This Row],[J56]]*Table2[[#This Row],[weight]]</f>
        <v>0.65823518484346988</v>
      </c>
      <c r="R12">
        <f>0.9155*Table2[[#This Row],[J67]]*Table2[[#This Row],[weight]]</f>
        <v>0.13134099968786789</v>
      </c>
      <c r="S12">
        <f>0.9155*Table2[[#This Row],[J67'']]*Table2[[#This Row],[weight]]</f>
        <v>0.12158606136153594</v>
      </c>
      <c r="T12">
        <f>0.9155*Table2[[#This Row],[J77'']]*Table2[[#This Row],[weight]]</f>
        <v>-0.83452541015267123</v>
      </c>
      <c r="V12" s="13"/>
      <c r="W12">
        <v>15</v>
      </c>
      <c r="Z12" s="6">
        <v>2.23</v>
      </c>
      <c r="AA12" s="6">
        <f t="shared" si="0"/>
        <v>1.7661924537868678</v>
      </c>
      <c r="AB12" s="6">
        <v>1.6169491914418774</v>
      </c>
    </row>
    <row r="13" spans="1:31" x14ac:dyDescent="0.25">
      <c r="A13" s="16">
        <v>19</v>
      </c>
      <c r="B13">
        <v>8.8230000000000004</v>
      </c>
      <c r="C13">
        <v>2.0190000000000001</v>
      </c>
      <c r="D13">
        <v>11.984999999999999</v>
      </c>
      <c r="E13">
        <v>9.3070000000000004</v>
      </c>
      <c r="F13">
        <v>0.26</v>
      </c>
      <c r="G13">
        <v>12.739000000000001</v>
      </c>
      <c r="H13">
        <v>-11.784000000000001</v>
      </c>
      <c r="I13">
        <v>6</v>
      </c>
      <c r="J13" s="9">
        <f>chloroform!J18</f>
        <v>2.8545917385225878E-3</v>
      </c>
      <c r="K13" t="str">
        <f>chloroform!F18</f>
        <v>6H4</v>
      </c>
      <c r="M13">
        <f>0.9155*Table2[[#This Row],[J1,2]]*Table2[[#This Row],[weight]]</f>
        <v>2.3057840593175578E-2</v>
      </c>
      <c r="N13">
        <f>0.9155*Table2[[#This Row],[J2,3]]*Table2[[#This Row],[weight]]</f>
        <v>5.2764116692305902E-3</v>
      </c>
      <c r="O13">
        <f>0.9155*Table2[[#This Row],[J34]]*Table2[[#This Row],[weight]]</f>
        <v>3.1321344158359889E-2</v>
      </c>
      <c r="P13">
        <f>0.9155*Table2[[#This Row],[J45]]*Table2[[#This Row],[weight]]</f>
        <v>2.4322715901698412E-2</v>
      </c>
      <c r="Q13">
        <f>0.9155*Table2[[#This Row],[J56]]*Table2[[#This Row],[weight]]</f>
        <v>6.7947847152053157E-4</v>
      </c>
      <c r="R13">
        <f>0.9155*Table2[[#This Row],[J67]]*Table2[[#This Row],[weight]]</f>
        <v>3.3291831725769432E-2</v>
      </c>
      <c r="S13">
        <f>0.9155*Table2[[#This Row],[J67'']]*Table2[[#This Row],[weight]]</f>
        <v>1.5680272419704575E-2</v>
      </c>
      <c r="T13">
        <f>0.9155*Table2[[#This Row],[J77'']]*Table2[[#This Row],[weight]]</f>
        <v>-3.0796055032299784E-2</v>
      </c>
      <c r="V13" s="13"/>
      <c r="W13">
        <v>16</v>
      </c>
      <c r="Z13" s="6">
        <v>5.15</v>
      </c>
      <c r="AA13" s="6">
        <f t="shared" si="0"/>
        <v>3.3664541276021174</v>
      </c>
      <c r="AB13" s="6">
        <v>3.0819887538197386</v>
      </c>
    </row>
    <row r="14" spans="1:31" x14ac:dyDescent="0.25">
      <c r="A14" s="16">
        <v>20</v>
      </c>
      <c r="B14">
        <v>7.8150000000000004</v>
      </c>
      <c r="C14">
        <v>8.7650000000000006</v>
      </c>
      <c r="D14">
        <v>6.44</v>
      </c>
      <c r="E14">
        <v>0.82299999999999995</v>
      </c>
      <c r="F14">
        <v>11.782999999999999</v>
      </c>
      <c r="G14">
        <v>1.885</v>
      </c>
      <c r="H14">
        <v>-13.999000000000001</v>
      </c>
      <c r="I14">
        <v>2.1230000000000002</v>
      </c>
      <c r="J14" s="9">
        <f>chloroform!J19</f>
        <v>6.7511764566552959E-2</v>
      </c>
      <c r="K14" t="str">
        <f>chloroform!F19</f>
        <v>4H6</v>
      </c>
      <c r="M14">
        <f>0.9155*Table2[[#This Row],[J1,2]]*Table2[[#This Row],[weight]]</f>
        <v>0.48302186490020821</v>
      </c>
      <c r="N14">
        <f>0.9155*Table2[[#This Row],[J2,3]]*Table2[[#This Row],[weight]]</f>
        <v>0.54173853433785357</v>
      </c>
      <c r="O14">
        <f>0.9155*Table2[[#This Row],[J34]]*Table2[[#This Row],[weight]]</f>
        <v>0.39803721176677431</v>
      </c>
      <c r="P14">
        <f>0.9155*Table2[[#This Row],[J45]]*Table2[[#This Row],[weight]]</f>
        <v>5.0867177839139008E-2</v>
      </c>
      <c r="Q14">
        <f>0.9155*Table2[[#This Row],[J56]]*Table2[[#This Row],[weight]]</f>
        <v>0.72827212208818337</v>
      </c>
      <c r="R14">
        <f>0.9155*Table2[[#This Row],[J67]]*Table2[[#This Row],[weight]]</f>
        <v>0.11650623356838036</v>
      </c>
      <c r="S14">
        <f>0.9155*Table2[[#This Row],[J67'']]*Table2[[#This Row],[weight]]</f>
        <v>0.13121630443802204</v>
      </c>
      <c r="T14">
        <f>0.9155*Table2[[#This Row],[J77'']]*Table2[[#This Row],[weight]]</f>
        <v>-0.86523647942904869</v>
      </c>
      <c r="V14" s="13"/>
      <c r="W14">
        <v>17</v>
      </c>
      <c r="Z14" t="s">
        <v>43</v>
      </c>
      <c r="AA14" s="6">
        <f>SQRT(SUMXMY2($Z$7:$Z$13,AA$7:AA$13)/7)</f>
        <v>1.357689162159023</v>
      </c>
      <c r="AB14" s="6">
        <f>SQRT(SUMXMY2($Z7:$Z13,AB7:AB13)/7)</f>
        <v>1.1736610507992684</v>
      </c>
    </row>
    <row r="15" spans="1:31" x14ac:dyDescent="0.25">
      <c r="A15" s="16">
        <v>21</v>
      </c>
      <c r="B15">
        <v>9.7270000000000003</v>
      </c>
      <c r="C15">
        <v>2.7839999999999998</v>
      </c>
      <c r="D15">
        <v>7.343</v>
      </c>
      <c r="E15">
        <v>1.5860000000000001</v>
      </c>
      <c r="F15">
        <v>4.367</v>
      </c>
      <c r="G15">
        <v>4.2720000000000002</v>
      </c>
      <c r="H15">
        <v>-14.541</v>
      </c>
      <c r="I15">
        <v>1.2330000000000001</v>
      </c>
      <c r="J15" s="9">
        <f>chloroform!J20</f>
        <v>4.7383043906060167E-5</v>
      </c>
      <c r="K15" t="str">
        <f>chloroform!F20</f>
        <v>TH45</v>
      </c>
      <c r="M15">
        <f>0.9155*Table2[[#This Row],[J1,2]]*Table2[[#This Row],[weight]]</f>
        <v>4.2194925172197337E-4</v>
      </c>
      <c r="N15">
        <f>0.9155*Table2[[#This Row],[J2,3]]*Table2[[#This Row],[weight]]</f>
        <v>1.2076762792165866E-4</v>
      </c>
      <c r="O15">
        <f>0.9155*Table2[[#This Row],[J34]]*Table2[[#This Row],[weight]]</f>
        <v>3.1853329447871395E-4</v>
      </c>
      <c r="P15">
        <f>0.9155*Table2[[#This Row],[J45]]*Table2[[#This Row],[weight]]</f>
        <v>6.8799374239852964E-5</v>
      </c>
      <c r="Q15">
        <f>0.9155*Table2[[#This Row],[J56]]*Table2[[#This Row],[weight]]</f>
        <v>1.8943686463142363E-4</v>
      </c>
      <c r="R15">
        <f>0.9155*Table2[[#This Row],[J67]]*Table2[[#This Row],[weight]]</f>
        <v>1.853158428453038E-4</v>
      </c>
      <c r="S15">
        <f>0.9155*Table2[[#This Row],[J67'']]*Table2[[#This Row],[weight]]</f>
        <v>5.3486524866165642E-5</v>
      </c>
      <c r="T15">
        <f>0.9155*Table2[[#This Row],[J77'']]*Table2[[#This Row],[weight]]</f>
        <v>-6.3077660833650811E-4</v>
      </c>
      <c r="V15" s="13"/>
      <c r="W15">
        <v>19</v>
      </c>
      <c r="AA15" s="6">
        <f>SQRT(SUMXMY2($Z$7:$Z$11,AA$7:AA$11)/5)</f>
        <v>1.3789188307102573</v>
      </c>
      <c r="AB15" s="6">
        <f>SQRT(SUMXMY2($Z$7:$Z$11,AB$7:AB$11)/5)</f>
        <v>0.99898548807686827</v>
      </c>
    </row>
    <row r="16" spans="1:31" x14ac:dyDescent="0.25">
      <c r="A16" s="16">
        <v>22</v>
      </c>
      <c r="B16">
        <v>8.5969999999999995</v>
      </c>
      <c r="C16">
        <v>9.6620000000000008</v>
      </c>
      <c r="D16">
        <v>2.8620000000000001</v>
      </c>
      <c r="E16">
        <v>6.9160000000000004</v>
      </c>
      <c r="F16">
        <v>8.8810000000000002</v>
      </c>
      <c r="G16">
        <v>3.665</v>
      </c>
      <c r="H16">
        <v>-11.833</v>
      </c>
      <c r="I16">
        <v>11.688000000000001</v>
      </c>
      <c r="J16" s="9">
        <f>chloroform!J21</f>
        <v>3.0913911731859928E-4</v>
      </c>
      <c r="K16" t="str">
        <f>chloroform!F21</f>
        <v>45TH</v>
      </c>
      <c r="M16">
        <f>0.9155*Table2[[#This Row],[J1,2]]*Table2[[#This Row],[weight]]</f>
        <v>2.4330959617988122E-3</v>
      </c>
      <c r="N16">
        <f>0.9155*Table2[[#This Row],[J2,3]]*Table2[[#This Row],[weight]]</f>
        <v>2.7345089197278265E-3</v>
      </c>
      <c r="O16">
        <f>0.9155*Table2[[#This Row],[J34]]*Table2[[#This Row],[weight]]</f>
        <v>8.0999425877261843E-4</v>
      </c>
      <c r="P16">
        <f>0.9155*Table2[[#This Row],[J45]]*Table2[[#This Row],[weight]]</f>
        <v>1.9573446169362089E-3</v>
      </c>
      <c r="Q16">
        <f>0.9155*Table2[[#This Row],[J56]]*Table2[[#This Row],[weight]]</f>
        <v>2.5134727505798826E-3</v>
      </c>
      <c r="R16">
        <f>0.9155*Table2[[#This Row],[J67]]*Table2[[#This Row],[weight]]</f>
        <v>1.0372567988824761E-3</v>
      </c>
      <c r="S16">
        <f>0.9155*Table2[[#This Row],[J67'']]*Table2[[#This Row],[weight]]</f>
        <v>3.3079010819477162E-3</v>
      </c>
      <c r="T16">
        <f>0.9155*Table2[[#This Row],[J77'']]*Table2[[#This Row],[weight]]</f>
        <v>-3.3489385269239668E-3</v>
      </c>
      <c r="V16" s="13"/>
      <c r="W16">
        <v>20</v>
      </c>
    </row>
    <row r="17" spans="1:23" x14ac:dyDescent="0.25">
      <c r="A17" s="16">
        <v>23</v>
      </c>
      <c r="B17">
        <v>9.3859999999999992</v>
      </c>
      <c r="C17">
        <v>3.327</v>
      </c>
      <c r="D17">
        <v>10.962999999999999</v>
      </c>
      <c r="E17">
        <v>0.61799999999999999</v>
      </c>
      <c r="F17">
        <v>5.5819999999999999</v>
      </c>
      <c r="G17">
        <v>5.9370000000000003</v>
      </c>
      <c r="H17">
        <v>-12.641999999999999</v>
      </c>
      <c r="I17">
        <v>0.499</v>
      </c>
      <c r="J17" s="9">
        <f>chloroform!J22</f>
        <v>0</v>
      </c>
      <c r="K17" t="str">
        <f>chloroform!F22</f>
        <v>TH45</v>
      </c>
      <c r="M17">
        <f>0.9155*Table2[[#This Row],[J1,2]]*Table2[[#This Row],[weight]]</f>
        <v>0</v>
      </c>
      <c r="N17">
        <f>0.9155*Table2[[#This Row],[J2,3]]*Table2[[#This Row],[weight]]</f>
        <v>0</v>
      </c>
      <c r="O17">
        <f>0.9155*Table2[[#This Row],[J34]]*Table2[[#This Row],[weight]]</f>
        <v>0</v>
      </c>
      <c r="P17">
        <f>0.9155*Table2[[#This Row],[J45]]*Table2[[#This Row],[weight]]</f>
        <v>0</v>
      </c>
      <c r="Q17">
        <f>0.9155*Table2[[#This Row],[J56]]*Table2[[#This Row],[weight]]</f>
        <v>0</v>
      </c>
      <c r="R17">
        <f>0.9155*Table2[[#This Row],[J67]]*Table2[[#This Row],[weight]]</f>
        <v>0</v>
      </c>
      <c r="S17">
        <f>0.9155*Table2[[#This Row],[J67'']]*Table2[[#This Row],[weight]]</f>
        <v>0</v>
      </c>
      <c r="T17">
        <f>0.9155*Table2[[#This Row],[J77'']]*Table2[[#This Row],[weight]]</f>
        <v>0</v>
      </c>
      <c r="V17" s="13"/>
      <c r="W17">
        <v>21</v>
      </c>
    </row>
    <row r="18" spans="1:23" x14ac:dyDescent="0.25">
      <c r="A18" s="16">
        <v>24</v>
      </c>
      <c r="B18">
        <v>8.5730000000000004</v>
      </c>
      <c r="C18">
        <v>9.6470000000000002</v>
      </c>
      <c r="D18">
        <v>3.0409999999999999</v>
      </c>
      <c r="E18">
        <v>6.4870000000000001</v>
      </c>
      <c r="F18">
        <v>9.7669999999999995</v>
      </c>
      <c r="G18">
        <v>10.85</v>
      </c>
      <c r="H18">
        <v>-11.714</v>
      </c>
      <c r="I18">
        <v>2.6219999999999999</v>
      </c>
      <c r="J18" s="9">
        <f>chloroform!J23</f>
        <v>4.9168885002817317E-4</v>
      </c>
      <c r="K18" t="str">
        <f>chloroform!F23</f>
        <v>45TH</v>
      </c>
      <c r="M18">
        <f>0.9155*Table2[[#This Row],[J1,2]]*Table2[[#This Row],[weight]]</f>
        <v>3.8590600120873945E-3</v>
      </c>
      <c r="N18">
        <f>0.9155*Table2[[#This Row],[J2,3]]*Table2[[#This Row],[weight]]</f>
        <v>4.3425115988110462E-3</v>
      </c>
      <c r="O18">
        <f>0.9155*Table2[[#This Row],[J34]]*Table2[[#This Row],[weight]]</f>
        <v>1.3688792134326101E-3</v>
      </c>
      <c r="P18">
        <f>0.9155*Table2[[#This Row],[J45]]*Table2[[#This Row],[weight]]</f>
        <v>2.9200655894565412E-3</v>
      </c>
      <c r="Q18">
        <f>0.9155*Table2[[#This Row],[J56]]*Table2[[#This Row],[weight]]</f>
        <v>4.3965285358751405E-3</v>
      </c>
      <c r="R18">
        <f>0.9155*Table2[[#This Row],[J67]]*Table2[[#This Row],[weight]]</f>
        <v>4.8840313928785991E-3</v>
      </c>
      <c r="S18">
        <f>0.9155*Table2[[#This Row],[J67'']]*Table2[[#This Row],[weight]]</f>
        <v>1.180270074850478E-3</v>
      </c>
      <c r="T18">
        <f>0.9155*Table2[[#This Row],[J77'']]*Table2[[#This Row],[weight]]</f>
        <v>-5.2729533397400837E-3</v>
      </c>
      <c r="V18" s="13"/>
      <c r="W18">
        <v>23</v>
      </c>
    </row>
    <row r="19" spans="1:23" x14ac:dyDescent="0.25">
      <c r="A19" s="16">
        <v>26</v>
      </c>
      <c r="B19">
        <v>8.782</v>
      </c>
      <c r="C19">
        <v>9.2530000000000001</v>
      </c>
      <c r="D19">
        <v>1.7949999999999999</v>
      </c>
      <c r="E19">
        <v>8.3360000000000003</v>
      </c>
      <c r="F19">
        <v>8.6300000000000008</v>
      </c>
      <c r="G19">
        <v>2.008</v>
      </c>
      <c r="H19">
        <v>-13.927</v>
      </c>
      <c r="I19">
        <v>2.0049999999999999</v>
      </c>
      <c r="J19" s="9">
        <f>chloroform!J24</f>
        <v>6.2430231388068413E-3</v>
      </c>
      <c r="K19" t="str">
        <f>chloroform!F24</f>
        <v>45TH</v>
      </c>
      <c r="M19">
        <f>0.9155*Table2[[#This Row],[J1,2]]*Table2[[#This Row],[weight]]</f>
        <v>5.0193412837179034E-2</v>
      </c>
      <c r="N19">
        <f>0.9155*Table2[[#This Row],[J2,3]]*Table2[[#This Row],[weight]]</f>
        <v>5.2885407536144124E-2</v>
      </c>
      <c r="O19">
        <f>0.9155*Table2[[#This Row],[J34]]*Table2[[#This Row],[weight]]</f>
        <v>1.0259300392021903E-2</v>
      </c>
      <c r="P19">
        <f>0.9155*Table2[[#This Row],[J45]]*Table2[[#This Row],[weight]]</f>
        <v>4.7644305330303401E-2</v>
      </c>
      <c r="Q19">
        <f>0.9155*Table2[[#This Row],[J56]]*Table2[[#This Row],[weight]]</f>
        <v>4.9324658709275236E-2</v>
      </c>
      <c r="R19">
        <f>0.9155*Table2[[#This Row],[J67]]*Table2[[#This Row],[weight]]</f>
        <v>1.1476699268623948E-2</v>
      </c>
      <c r="S19">
        <f>0.9155*Table2[[#This Row],[J67'']]*Table2[[#This Row],[weight]]</f>
        <v>1.1459552805573214E-2</v>
      </c>
      <c r="T19">
        <f>0.9155*Table2[[#This Row],[J77'']]*Table2[[#This Row],[weight]]</f>
        <v>-7.9599596969186115E-2</v>
      </c>
      <c r="V19" s="13"/>
      <c r="W19">
        <v>24</v>
      </c>
    </row>
    <row r="20" spans="1:23" x14ac:dyDescent="0.25">
      <c r="A20" s="16">
        <v>27</v>
      </c>
      <c r="B20">
        <v>7.6859999999999999</v>
      </c>
      <c r="C20">
        <v>8.58</v>
      </c>
      <c r="D20">
        <v>6.4980000000000002</v>
      </c>
      <c r="E20">
        <v>0.97299999999999998</v>
      </c>
      <c r="F20">
        <v>12.156000000000001</v>
      </c>
      <c r="G20">
        <v>1.2889999999999999</v>
      </c>
      <c r="H20">
        <v>-13.638</v>
      </c>
      <c r="I20">
        <v>10.845000000000001</v>
      </c>
      <c r="J20" s="9">
        <f>chloroform!J25</f>
        <v>5.4715696994462895E-2</v>
      </c>
      <c r="K20" t="str">
        <f>chloroform!F25</f>
        <v>4H6</v>
      </c>
      <c r="M20">
        <f>0.9155*Table2[[#This Row],[J1,2]]*Table2[[#This Row],[weight]]</f>
        <v>0.38500880751953898</v>
      </c>
      <c r="N20">
        <f>0.9155*Table2[[#This Row],[J2,3]]*Table2[[#This Row],[weight]]</f>
        <v>0.42979125273453611</v>
      </c>
      <c r="O20">
        <f>0.9155*Table2[[#This Row],[J34]]*Table2[[#This Row],[weight]]</f>
        <v>0.3254992494486032</v>
      </c>
      <c r="P20">
        <f>0.9155*Table2[[#This Row],[J45]]*Table2[[#This Row],[weight]]</f>
        <v>4.8739730642273146E-2</v>
      </c>
      <c r="Q20">
        <f>0.9155*Table2[[#This Row],[J56]]*Table2[[#This Row],[weight]]</f>
        <v>0.60892103359452465</v>
      </c>
      <c r="R20">
        <f>0.9155*Table2[[#This Row],[J67]]*Table2[[#This Row],[weight]]</f>
        <v>6.4568872351377274E-2</v>
      </c>
      <c r="S20">
        <f>0.9155*Table2[[#This Row],[J67'']]*Table2[[#This Row],[weight]]</f>
        <v>0.54325013238998188</v>
      </c>
      <c r="T20">
        <f>0.9155*Table2[[#This Row],[J77'']]*Table2[[#This Row],[weight]]</f>
        <v>-0.6831577045213989</v>
      </c>
      <c r="V20" s="13"/>
      <c r="W20">
        <v>26</v>
      </c>
    </row>
    <row r="21" spans="1:23" x14ac:dyDescent="0.25">
      <c r="A21" s="16">
        <v>30</v>
      </c>
      <c r="B21">
        <v>8.4489999999999998</v>
      </c>
      <c r="C21">
        <v>2.0910000000000002</v>
      </c>
      <c r="D21">
        <v>12.23</v>
      </c>
      <c r="E21">
        <v>9.4949999999999992</v>
      </c>
      <c r="F21">
        <v>0.185</v>
      </c>
      <c r="G21">
        <v>12.284000000000001</v>
      </c>
      <c r="H21">
        <v>-12.032</v>
      </c>
      <c r="I21">
        <v>3.82</v>
      </c>
      <c r="J21" s="9">
        <f>chloroform!J26</f>
        <v>6.7806516787653249E-4</v>
      </c>
      <c r="K21" t="str">
        <f>chloroform!F26</f>
        <v>6H4</v>
      </c>
      <c r="M21">
        <f>0.9155*Table2[[#This Row],[J1,2]]*Table2[[#This Row],[weight]]</f>
        <v>5.2448744184024673E-3</v>
      </c>
      <c r="N21">
        <f>0.9155*Table2[[#This Row],[J2,3]]*Table2[[#This Row],[weight]]</f>
        <v>1.2980272705503089E-3</v>
      </c>
      <c r="O21">
        <f>0.9155*Table2[[#This Row],[J34]]*Table2[[#This Row],[weight]]</f>
        <v>7.5920007263655075E-3</v>
      </c>
      <c r="P21">
        <f>0.9155*Table2[[#This Row],[J45]]*Table2[[#This Row],[weight]]</f>
        <v>5.8941984380082163E-3</v>
      </c>
      <c r="Q21">
        <f>0.9155*Table2[[#This Row],[J56]]*Table2[[#This Row],[weight]]</f>
        <v>1.1484220232032862E-4</v>
      </c>
      <c r="R21">
        <f>0.9155*Table2[[#This Row],[J67]]*Table2[[#This Row],[weight]]</f>
        <v>7.6255222340698208E-3</v>
      </c>
      <c r="S21">
        <f>0.9155*Table2[[#This Row],[J67'']]*Table2[[#This Row],[weight]]</f>
        <v>2.3713362857494882E-3</v>
      </c>
      <c r="T21">
        <f>0.9155*Table2[[#This Row],[J77'']]*Table2[[#This Row],[weight]]</f>
        <v>-7.4690885314496963E-3</v>
      </c>
      <c r="V21" s="13"/>
      <c r="W21">
        <v>27</v>
      </c>
    </row>
    <row r="22" spans="1:23" x14ac:dyDescent="0.25">
      <c r="A22" s="16">
        <v>33</v>
      </c>
      <c r="B22">
        <v>8.6150000000000002</v>
      </c>
      <c r="C22">
        <v>9.6999999999999993</v>
      </c>
      <c r="D22">
        <v>2.6789999999999998</v>
      </c>
      <c r="E22">
        <v>6.9969999999999999</v>
      </c>
      <c r="F22">
        <v>9.1300000000000008</v>
      </c>
      <c r="G22">
        <v>2.0739999999999998</v>
      </c>
      <c r="H22">
        <v>-13.391</v>
      </c>
      <c r="I22">
        <v>11.721</v>
      </c>
      <c r="J22" s="9">
        <f>chloroform!J27</f>
        <v>1.3170973837027624E-3</v>
      </c>
      <c r="K22" t="str">
        <f>chloroform!F27</f>
        <v>45TH</v>
      </c>
      <c r="M22">
        <f>0.9155*Table2[[#This Row],[J1,2]]*Table2[[#This Row],[weight]]</f>
        <v>1.0387989870928658E-2</v>
      </c>
      <c r="N22">
        <f>0.9155*Table2[[#This Row],[J2,3]]*Table2[[#This Row],[weight]]</f>
        <v>1.1696285751364827E-2</v>
      </c>
      <c r="O22">
        <f>0.9155*Table2[[#This Row],[J34]]*Table2[[#This Row],[weight]]</f>
        <v>3.2303453121552955E-3</v>
      </c>
      <c r="P22">
        <f>0.9155*Table2[[#This Row],[J45]]*Table2[[#This Row],[weight]]</f>
        <v>8.4370011754948127E-3</v>
      </c>
      <c r="Q22">
        <f>0.9155*Table2[[#This Row],[J56]]*Table2[[#This Row],[weight]]</f>
        <v>1.1008978238140297E-2</v>
      </c>
      <c r="R22">
        <f>0.9155*Table2[[#This Row],[J67]]*Table2[[#This Row],[weight]]</f>
        <v>2.5008347060134686E-3</v>
      </c>
      <c r="S22">
        <f>0.9155*Table2[[#This Row],[J67'']]*Table2[[#This Row],[weight]]</f>
        <v>1.4133212916674963E-2</v>
      </c>
      <c r="T22">
        <f>0.9155*Table2[[#This Row],[J77'']]*Table2[[#This Row],[weight]]</f>
        <v>-1.6146903350157359E-2</v>
      </c>
      <c r="V22" s="13"/>
      <c r="W22">
        <v>30</v>
      </c>
    </row>
    <row r="23" spans="1:23" x14ac:dyDescent="0.25">
      <c r="A23" s="16">
        <v>34</v>
      </c>
      <c r="B23">
        <v>8.48</v>
      </c>
      <c r="C23">
        <v>2.1970000000000001</v>
      </c>
      <c r="D23">
        <v>12.215999999999999</v>
      </c>
      <c r="E23">
        <v>10.195</v>
      </c>
      <c r="F23">
        <v>0.71499999999999997</v>
      </c>
      <c r="G23">
        <v>1.208</v>
      </c>
      <c r="H23">
        <v>-13.872999999999999</v>
      </c>
      <c r="I23">
        <v>4.1559999999999997</v>
      </c>
      <c r="J23" s="9">
        <f>chloroform!J28</f>
        <v>5.489938901080875E-4</v>
      </c>
      <c r="K23" t="str">
        <f>chloroform!F28</f>
        <v>6H4</v>
      </c>
      <c r="M23">
        <f>0.9155*Table2[[#This Row],[J1,2]]*Table2[[#This Row],[weight]]</f>
        <v>4.2620811262207309E-3</v>
      </c>
      <c r="N23">
        <f>0.9155*Table2[[#This Row],[J2,3]]*Table2[[#This Row],[weight]]</f>
        <v>1.104220782347517E-3</v>
      </c>
      <c r="O23">
        <f>0.9155*Table2[[#This Row],[J34]]*Table2[[#This Row],[weight]]</f>
        <v>6.1398093205085429E-3</v>
      </c>
      <c r="P23">
        <f>0.9155*Table2[[#This Row],[J45]]*Table2[[#This Row],[weight]]</f>
        <v>5.1240468256863623E-3</v>
      </c>
      <c r="Q23">
        <f>0.9155*Table2[[#This Row],[J56]]*Table2[[#This Row],[weight]]</f>
        <v>3.5936179307167717E-4</v>
      </c>
      <c r="R23">
        <f>0.9155*Table2[[#This Row],[J67]]*Table2[[#This Row],[weight]]</f>
        <v>6.0714551892389649E-4</v>
      </c>
      <c r="S23">
        <f>0.9155*Table2[[#This Row],[J67'']]*Table2[[#This Row],[weight]]</f>
        <v>2.0888218349732731E-3</v>
      </c>
      <c r="T23">
        <f>0.9155*Table2[[#This Row],[J77'']]*Table2[[#This Row],[weight]]</f>
        <v>-6.9726239934033256E-3</v>
      </c>
      <c r="V23" s="13"/>
      <c r="W23">
        <v>34</v>
      </c>
    </row>
    <row r="24" spans="1:23" x14ac:dyDescent="0.25">
      <c r="A24" s="16">
        <v>38</v>
      </c>
      <c r="B24">
        <v>8.7590000000000003</v>
      </c>
      <c r="C24">
        <v>9.2590000000000003</v>
      </c>
      <c r="D24">
        <v>2.0419999999999998</v>
      </c>
      <c r="E24">
        <v>6.6920000000000002</v>
      </c>
      <c r="F24">
        <v>9.8010000000000002</v>
      </c>
      <c r="G24">
        <v>2.1459999999999999</v>
      </c>
      <c r="H24">
        <v>-12.798</v>
      </c>
      <c r="I24">
        <v>1.857</v>
      </c>
      <c r="J24" s="9">
        <f>chloroform!J29</f>
        <v>3.4704749215741508E-2</v>
      </c>
      <c r="K24" t="str">
        <f>chloroform!F29</f>
        <v>45TH</v>
      </c>
      <c r="M24">
        <f>0.9155*Table2[[#This Row],[J1,2]]*Table2[[#This Row],[weight]]</f>
        <v>0.2782926814675124</v>
      </c>
      <c r="N24">
        <f>0.9155*Table2[[#This Row],[J2,3]]*Table2[[#This Row],[weight]]</f>
        <v>0.29417878042101808</v>
      </c>
      <c r="O24">
        <f>0.9155*Table2[[#This Row],[J34]]*Table2[[#This Row],[weight]]</f>
        <v>6.4878828126117172E-2</v>
      </c>
      <c r="P24">
        <f>0.9155*Table2[[#This Row],[J45]]*Table2[[#This Row],[weight]]</f>
        <v>0.21261954839371996</v>
      </c>
      <c r="Q24">
        <f>0.9155*Table2[[#This Row],[J56]]*Table2[[#This Row],[weight]]</f>
        <v>0.31139931168661822</v>
      </c>
      <c r="R24">
        <f>0.9155*Table2[[#This Row],[J67]]*Table2[[#This Row],[weight]]</f>
        <v>6.8183136708446349E-2</v>
      </c>
      <c r="S24">
        <f>0.9155*Table2[[#This Row],[J67'']]*Table2[[#This Row],[weight]]</f>
        <v>5.9000971513320073E-2</v>
      </c>
      <c r="T24">
        <f>0.9155*Table2[[#This Row],[J77'']]*Table2[[#This Row],[weight]]</f>
        <v>-0.40662058881393126</v>
      </c>
      <c r="V24" s="13"/>
      <c r="W24">
        <v>38</v>
      </c>
    </row>
    <row r="25" spans="1:23" x14ac:dyDescent="0.25">
      <c r="A25" s="16">
        <v>39</v>
      </c>
      <c r="B25">
        <v>7.8390000000000004</v>
      </c>
      <c r="C25">
        <v>8.2409999999999997</v>
      </c>
      <c r="D25">
        <v>5.8449999999999998</v>
      </c>
      <c r="E25">
        <v>0.504</v>
      </c>
      <c r="F25">
        <v>12.375999999999999</v>
      </c>
      <c r="G25">
        <v>1.3420000000000001</v>
      </c>
      <c r="H25">
        <v>-13.521000000000001</v>
      </c>
      <c r="I25">
        <v>10.975</v>
      </c>
      <c r="J25" s="9">
        <f>chloroform!J30</f>
        <v>9.1054724218691138E-2</v>
      </c>
      <c r="K25" t="str">
        <f>chloroform!F30</f>
        <v>4H6</v>
      </c>
      <c r="M25">
        <f>0.9155*Table2[[#This Row],[J1,2]]*Table2[[#This Row],[weight]]</f>
        <v>0.65346374357411774</v>
      </c>
      <c r="N25">
        <f>0.9155*Table2[[#This Row],[J2,3]]*Table2[[#This Row],[weight]]</f>
        <v>0.6869747047830469</v>
      </c>
      <c r="O25">
        <f>0.9155*Table2[[#This Row],[J34]]*Table2[[#This Row],[weight]]</f>
        <v>0.48724270712982759</v>
      </c>
      <c r="P25">
        <f>0.9155*Table2[[#This Row],[J45]]*Table2[[#This Row],[weight]]</f>
        <v>4.2013742411194717E-2</v>
      </c>
      <c r="Q25">
        <f>0.9155*Table2[[#This Row],[J56]]*Table2[[#This Row],[weight]]</f>
        <v>1.0316707858748924</v>
      </c>
      <c r="R25">
        <f>0.9155*Table2[[#This Row],[J67]]*Table2[[#This Row],[weight]]</f>
        <v>0.11186992522980815</v>
      </c>
      <c r="S25">
        <f>0.9155*Table2[[#This Row],[J67'']]*Table2[[#This Row],[weight]]</f>
        <v>0.91488258524377375</v>
      </c>
      <c r="T25">
        <f>0.9155*Table2[[#This Row],[J77'']]*Table2[[#This Row],[weight]]</f>
        <v>-1.1271186729003249</v>
      </c>
      <c r="V25" s="13"/>
      <c r="W25">
        <v>39</v>
      </c>
    </row>
    <row r="26" spans="1:23" x14ac:dyDescent="0.25">
      <c r="A26" s="16">
        <v>41</v>
      </c>
      <c r="B26">
        <v>7.7350000000000003</v>
      </c>
      <c r="C26">
        <v>8.5820000000000007</v>
      </c>
      <c r="D26">
        <v>6.0510000000000002</v>
      </c>
      <c r="E26">
        <v>0.60499999999999998</v>
      </c>
      <c r="F26">
        <v>12.010999999999999</v>
      </c>
      <c r="G26">
        <v>1.306</v>
      </c>
      <c r="H26">
        <v>-14.435</v>
      </c>
      <c r="I26">
        <v>10.941000000000001</v>
      </c>
      <c r="J26" s="9">
        <f>chloroform!J31</f>
        <v>5.1723797878644208E-2</v>
      </c>
      <c r="K26" t="str">
        <f>chloroform!F31</f>
        <v>4H6</v>
      </c>
      <c r="M26">
        <f>0.9155*Table2[[#This Row],[J1,2]]*Table2[[#This Row],[weight]]</f>
        <v>0.36627651436934699</v>
      </c>
      <c r="N26">
        <f>0.9155*Table2[[#This Row],[J2,3]]*Table2[[#This Row],[weight]]</f>
        <v>0.40638462137268733</v>
      </c>
      <c r="O26">
        <f>0.9155*Table2[[#This Row],[J34]]*Table2[[#This Row],[weight]]</f>
        <v>0.28653383173224545</v>
      </c>
      <c r="P26">
        <f>0.9155*Table2[[#This Row],[J45]]*Table2[[#This Row],[weight]]</f>
        <v>2.864864785952876E-2</v>
      </c>
      <c r="Q26">
        <f>0.9155*Table2[[#This Row],[J56]]*Table2[[#This Row],[weight]]</f>
        <v>0.56875852800132209</v>
      </c>
      <c r="R26">
        <f>0.9155*Table2[[#This Row],[J67]]*Table2[[#This Row],[weight]]</f>
        <v>6.1843196867015796E-2</v>
      </c>
      <c r="S26">
        <f>0.9155*Table2[[#This Row],[J67'']]*Table2[[#This Row],[weight]]</f>
        <v>0.51809067145637044</v>
      </c>
      <c r="T26">
        <f>0.9155*Table2[[#This Row],[J77'']]*Table2[[#This Row],[weight]]</f>
        <v>-0.68354253198726878</v>
      </c>
      <c r="V26" s="13"/>
      <c r="W26">
        <v>40</v>
      </c>
    </row>
    <row r="27" spans="1:23" x14ac:dyDescent="0.25">
      <c r="A27" s="16">
        <v>45</v>
      </c>
      <c r="B27">
        <v>9.0890000000000004</v>
      </c>
      <c r="C27">
        <v>9.5530000000000008</v>
      </c>
      <c r="D27">
        <v>0.57299999999999995</v>
      </c>
      <c r="E27">
        <v>11.231999999999999</v>
      </c>
      <c r="F27">
        <v>7.9139999999999997</v>
      </c>
      <c r="G27">
        <v>2.17</v>
      </c>
      <c r="H27">
        <v>-13.853999999999999</v>
      </c>
      <c r="I27">
        <v>1.8149999999999999</v>
      </c>
      <c r="J27" s="9">
        <f>chloroform!J32</f>
        <v>0</v>
      </c>
      <c r="K27" t="str">
        <f>chloroform!F32</f>
        <v>45TH</v>
      </c>
      <c r="M27">
        <f>0.9155*Table2[[#This Row],[J1,2]]*Table2[[#This Row],[weight]]</f>
        <v>0</v>
      </c>
      <c r="N27">
        <f>0.9155*Table2[[#This Row],[J2,3]]*Table2[[#This Row],[weight]]</f>
        <v>0</v>
      </c>
      <c r="O27">
        <f>0.9155*Table2[[#This Row],[J34]]*Table2[[#This Row],[weight]]</f>
        <v>0</v>
      </c>
      <c r="P27">
        <f>0.9155*Table2[[#This Row],[J45]]*Table2[[#This Row],[weight]]</f>
        <v>0</v>
      </c>
      <c r="Q27">
        <f>0.9155*Table2[[#This Row],[J56]]*Table2[[#This Row],[weight]]</f>
        <v>0</v>
      </c>
      <c r="R27">
        <f>0.9155*Table2[[#This Row],[J67]]*Table2[[#This Row],[weight]]</f>
        <v>0</v>
      </c>
      <c r="S27">
        <f>0.9155*Table2[[#This Row],[J67'']]*Table2[[#This Row],[weight]]</f>
        <v>0</v>
      </c>
      <c r="T27">
        <f>0.9155*Table2[[#This Row],[J77'']]*Table2[[#This Row],[weight]]</f>
        <v>0</v>
      </c>
      <c r="V27" s="13"/>
      <c r="W27">
        <v>41</v>
      </c>
    </row>
    <row r="28" spans="1:23" x14ac:dyDescent="0.25">
      <c r="A28" s="16">
        <v>48</v>
      </c>
      <c r="B28">
        <v>7.3410000000000002</v>
      </c>
      <c r="C28">
        <v>6.1989999999999998</v>
      </c>
      <c r="D28">
        <v>10.41</v>
      </c>
      <c r="E28">
        <v>11.784000000000001</v>
      </c>
      <c r="F28">
        <v>8.6240000000000006</v>
      </c>
      <c r="G28">
        <v>1.964</v>
      </c>
      <c r="H28">
        <v>-13.819000000000001</v>
      </c>
      <c r="I28">
        <v>11.335000000000001</v>
      </c>
      <c r="J28" s="9">
        <f>chloroform!J33</f>
        <v>1.2220843534505128E-2</v>
      </c>
      <c r="K28" t="str">
        <f>chloroform!F33</f>
        <v>56TH</v>
      </c>
      <c r="M28">
        <f>0.9155*Table2[[#This Row],[J1,2]]*Table2[[#This Row],[weight]]</f>
        <v>8.2132445940117371E-2</v>
      </c>
      <c r="N28">
        <f>0.9155*Table2[[#This Row],[J2,3]]*Table2[[#This Row],[weight]]</f>
        <v>6.9355541803948706E-2</v>
      </c>
      <c r="O28">
        <f>0.9155*Table2[[#This Row],[J34]]*Table2[[#This Row],[weight]]</f>
        <v>0.11646897728328862</v>
      </c>
      <c r="P28">
        <f>0.9155*Table2[[#This Row],[J45]]*Table2[[#This Row],[weight]]</f>
        <v>0.13184153970281201</v>
      </c>
      <c r="Q28">
        <f>0.9155*Table2[[#This Row],[J56]]*Table2[[#This Row],[weight]]</f>
        <v>9.6486883774359378E-2</v>
      </c>
      <c r="R28">
        <f>0.9155*Table2[[#This Row],[J67]]*Table2[[#This Row],[weight]]</f>
        <v>2.1973589950468667E-2</v>
      </c>
      <c r="S28">
        <f>0.9155*Table2[[#This Row],[J67'']]*Table2[[#This Row],[weight]]</f>
        <v>0.12681804586994011</v>
      </c>
      <c r="T28">
        <f>0.9155*Table2[[#This Row],[J77'']]*Table2[[#This Row],[weight]]</f>
        <v>-0.15460949059344528</v>
      </c>
      <c r="V28" s="13"/>
      <c r="W28">
        <v>45</v>
      </c>
    </row>
    <row r="29" spans="1:23" x14ac:dyDescent="0.25">
      <c r="A29" s="16">
        <v>57</v>
      </c>
      <c r="B29">
        <v>8.9169999999999998</v>
      </c>
      <c r="C29">
        <v>2.0419999999999998</v>
      </c>
      <c r="D29">
        <v>12.444000000000001</v>
      </c>
      <c r="E29">
        <v>7.0190000000000001</v>
      </c>
      <c r="F29">
        <v>0.48799999999999999</v>
      </c>
      <c r="G29">
        <v>3.4279999999999999</v>
      </c>
      <c r="H29">
        <v>-12.476000000000001</v>
      </c>
      <c r="I29">
        <v>13.207000000000001</v>
      </c>
      <c r="J29" s="9">
        <f>chloroform!J34</f>
        <v>8.3608116631864952E-4</v>
      </c>
      <c r="K29" t="str">
        <f>chloroform!F34</f>
        <v>6H4</v>
      </c>
      <c r="M29">
        <f>0.9155*Table2[[#This Row],[J1,2]]*Table2[[#This Row],[weight]]</f>
        <v>6.8253598883380407E-3</v>
      </c>
      <c r="N29">
        <f>0.9155*Table2[[#This Row],[J2,3]]*Table2[[#This Row],[weight]]</f>
        <v>1.5630127724555653E-3</v>
      </c>
      <c r="O29">
        <f>0.9155*Table2[[#This Row],[J34]]*Table2[[#This Row],[weight]]</f>
        <v>9.5250396378242213E-3</v>
      </c>
      <c r="P29">
        <f>0.9155*Table2[[#This Row],[J45]]*Table2[[#This Row],[weight]]</f>
        <v>5.3725693682005957E-3</v>
      </c>
      <c r="Q29">
        <f>0.9155*Table2[[#This Row],[J56]]*Table2[[#This Row],[weight]]</f>
        <v>3.7353096618918515E-4</v>
      </c>
      <c r="R29">
        <f>0.9155*Table2[[#This Row],[J67]]*Table2[[#This Row],[weight]]</f>
        <v>2.6239019510174728E-3</v>
      </c>
      <c r="S29">
        <f>0.9155*Table2[[#This Row],[J67'']]*Table2[[#This Row],[weight]]</f>
        <v>1.0109064488648706E-2</v>
      </c>
      <c r="T29">
        <f>0.9155*Table2[[#This Row],[J77'']]*Table2[[#This Row],[weight]]</f>
        <v>-9.5495334716726912E-3</v>
      </c>
      <c r="V29" s="13"/>
      <c r="W29">
        <v>48</v>
      </c>
    </row>
    <row r="30" spans="1:23" x14ac:dyDescent="0.25">
      <c r="A30" s="16">
        <v>59</v>
      </c>
      <c r="B30">
        <v>10.039999999999999</v>
      </c>
      <c r="C30">
        <v>2.5</v>
      </c>
      <c r="D30">
        <v>7.6710000000000003</v>
      </c>
      <c r="E30">
        <v>1.1080000000000001</v>
      </c>
      <c r="F30">
        <v>5.5720000000000001</v>
      </c>
      <c r="G30">
        <v>0.99099999999999999</v>
      </c>
      <c r="H30">
        <v>-13.28</v>
      </c>
      <c r="I30">
        <v>10.173</v>
      </c>
      <c r="J30" s="9">
        <f>chloroform!J35</f>
        <v>6.7936009605517467E-5</v>
      </c>
      <c r="K30" t="str">
        <f>chloroform!F35</f>
        <v>45TH</v>
      </c>
      <c r="M30">
        <f>0.9155*Table2[[#This Row],[J1,2]]*Table2[[#This Row],[weight]]</f>
        <v>6.2444198461026636E-4</v>
      </c>
      <c r="N30">
        <f>0.9155*Table2[[#This Row],[J2,3]]*Table2[[#This Row],[weight]]</f>
        <v>1.5548854198462809E-4</v>
      </c>
      <c r="O30">
        <f>0.9155*Table2[[#This Row],[J34]]*Table2[[#This Row],[weight]]</f>
        <v>4.7710104222563283E-4</v>
      </c>
      <c r="P30">
        <f>0.9155*Table2[[#This Row],[J45]]*Table2[[#This Row],[weight]]</f>
        <v>6.8912521807587177E-5</v>
      </c>
      <c r="Q30">
        <f>0.9155*Table2[[#This Row],[J56]]*Table2[[#This Row],[weight]]</f>
        <v>3.4655286237533913E-4</v>
      </c>
      <c r="R30">
        <f>0.9155*Table2[[#This Row],[J67]]*Table2[[#This Row],[weight]]</f>
        <v>6.1635658042706576E-5</v>
      </c>
      <c r="S30">
        <f>0.9155*Table2[[#This Row],[J67'']]*Table2[[#This Row],[weight]]</f>
        <v>6.3271397504384864E-4</v>
      </c>
      <c r="T30">
        <f>0.9155*Table2[[#This Row],[J77'']]*Table2[[#This Row],[weight]]</f>
        <v>-8.259551350223444E-4</v>
      </c>
      <c r="V30" s="13"/>
      <c r="W30">
        <v>57</v>
      </c>
    </row>
    <row r="31" spans="1:23" x14ac:dyDescent="0.25">
      <c r="A31" s="16">
        <v>72</v>
      </c>
      <c r="B31">
        <v>7.9880000000000004</v>
      </c>
      <c r="C31">
        <v>8.5860000000000003</v>
      </c>
      <c r="D31">
        <v>5.5389999999999997</v>
      </c>
      <c r="E31">
        <v>0.36599999999999999</v>
      </c>
      <c r="F31">
        <v>12.065</v>
      </c>
      <c r="G31">
        <v>8.7560000000000002</v>
      </c>
      <c r="H31">
        <v>-12.616</v>
      </c>
      <c r="I31">
        <v>0.66200000000000003</v>
      </c>
      <c r="J31" s="9">
        <f>chloroform!J36</f>
        <v>3.1533739469376994E-3</v>
      </c>
      <c r="K31" t="str">
        <f>chloroform!F36</f>
        <v>4H6</v>
      </c>
      <c r="M31">
        <f>0.9155*Table2[[#This Row],[J1,2]]*Table2[[#This Row],[weight]]</f>
        <v>2.3060667821190654E-2</v>
      </c>
      <c r="N31">
        <f>0.9155*Table2[[#This Row],[J2,3]]*Table2[[#This Row],[weight]]</f>
        <v>2.4787042302546688E-2</v>
      </c>
      <c r="O31">
        <f>0.9155*Table2[[#This Row],[J34]]*Table2[[#This Row],[weight]]</f>
        <v>1.5990615806406486E-2</v>
      </c>
      <c r="P31">
        <f>0.9155*Table2[[#This Row],[J45]]*Table2[[#This Row],[weight]]</f>
        <v>1.0566104685222559E-3</v>
      </c>
      <c r="Q31">
        <f>0.9155*Table2[[#This Row],[J56]]*Table2[[#This Row],[weight]]</f>
        <v>3.4830615581204961E-2</v>
      </c>
      <c r="R31">
        <f>0.9155*Table2[[#This Row],[J67]]*Table2[[#This Row],[weight]]</f>
        <v>2.5277817656778338E-2</v>
      </c>
      <c r="S31">
        <f>0.9155*Table2[[#This Row],[J67'']]*Table2[[#This Row],[weight]]</f>
        <v>1.9111369676550092E-3</v>
      </c>
      <c r="T31">
        <f>0.9155*Table2[[#This Row],[J77'']]*Table2[[#This Row],[weight]]</f>
        <v>-3.6421305111685183E-2</v>
      </c>
      <c r="V31" s="13"/>
      <c r="W31">
        <v>59</v>
      </c>
    </row>
    <row r="32" spans="1:23" x14ac:dyDescent="0.25">
      <c r="A32" s="16">
        <v>73</v>
      </c>
      <c r="B32">
        <v>9.5879999999999992</v>
      </c>
      <c r="C32">
        <v>3.2650000000000001</v>
      </c>
      <c r="D32">
        <v>8.343</v>
      </c>
      <c r="E32">
        <v>11.727</v>
      </c>
      <c r="F32">
        <v>9.9339999999999993</v>
      </c>
      <c r="G32">
        <v>1.98</v>
      </c>
      <c r="H32">
        <v>-13.079000000000001</v>
      </c>
      <c r="I32">
        <v>1.956</v>
      </c>
      <c r="J32" s="9">
        <f>chloroform!J37</f>
        <v>5.4271936435693488E-2</v>
      </c>
      <c r="K32" t="str">
        <f>chloroform!F37</f>
        <v>5C12</v>
      </c>
      <c r="M32">
        <f>0.9155*Table2[[#This Row],[J1,2]]*Table2[[#This Row],[weight]]</f>
        <v>0.47638896345234039</v>
      </c>
      <c r="N32">
        <f>0.9155*Table2[[#This Row],[J2,3]]*Table2[[#This Row],[weight]]</f>
        <v>0.16222465223945468</v>
      </c>
      <c r="O32">
        <f>0.9155*Table2[[#This Row],[J34]]*Table2[[#This Row],[weight]]</f>
        <v>0.41452994598277804</v>
      </c>
      <c r="P32">
        <f>0.9155*Table2[[#This Row],[J45]]*Table2[[#This Row],[weight]]</f>
        <v>0.58266722720125108</v>
      </c>
      <c r="Q32">
        <f>0.9155*Table2[[#This Row],[J56]]*Table2[[#This Row],[weight]]</f>
        <v>0.49358030485351995</v>
      </c>
      <c r="R32">
        <f>0.9155*Table2[[#This Row],[J67]]*Table2[[#This Row],[weight]]</f>
        <v>9.8378196457617223E-2</v>
      </c>
      <c r="S32">
        <f>0.9155*Table2[[#This Row],[J67'']]*Table2[[#This Row],[weight]]</f>
        <v>9.7185733470252167E-2</v>
      </c>
      <c r="T32">
        <f>0.9155*Table2[[#This Row],[J77'']]*Table2[[#This Row],[weight]]</f>
        <v>-0.6498426421561494</v>
      </c>
      <c r="V32" s="13"/>
      <c r="W32">
        <v>66</v>
      </c>
    </row>
    <row r="33" spans="1:32" x14ac:dyDescent="0.25">
      <c r="A33" s="16">
        <v>76</v>
      </c>
      <c r="B33">
        <v>10.128</v>
      </c>
      <c r="C33">
        <v>2.4900000000000002</v>
      </c>
      <c r="D33">
        <v>7.4660000000000002</v>
      </c>
      <c r="E33">
        <v>1.1379999999999999</v>
      </c>
      <c r="F33">
        <v>5.399</v>
      </c>
      <c r="G33">
        <v>1.657</v>
      </c>
      <c r="H33">
        <v>-13.443</v>
      </c>
      <c r="I33">
        <v>11.381</v>
      </c>
      <c r="J33" s="9">
        <f>chloroform!J38</f>
        <v>9.9991504539998592E-5</v>
      </c>
      <c r="K33" t="str">
        <f>chloroform!F38</f>
        <v>TH45</v>
      </c>
      <c r="M33">
        <f>0.9155*Table2[[#This Row],[J1,2]]*Table2[[#This Row],[weight]]</f>
        <v>9.2713962853170227E-4</v>
      </c>
      <c r="N33">
        <f>0.9155*Table2[[#This Row],[J2,3]]*Table2[[#This Row],[weight]]</f>
        <v>2.2794013379185809E-4</v>
      </c>
      <c r="O33">
        <f>0.9155*Table2[[#This Row],[J34]]*Table2[[#This Row],[weight]]</f>
        <v>6.8345423248594879E-4</v>
      </c>
      <c r="P33">
        <f>0.9155*Table2[[#This Row],[J45]]*Table2[[#This Row],[weight]]</f>
        <v>1.041750490984476E-4</v>
      </c>
      <c r="Q33">
        <f>0.9155*Table2[[#This Row],[J56]]*Table2[[#This Row],[weight]]</f>
        <v>4.9423645877198471E-4</v>
      </c>
      <c r="R33">
        <f>0.9155*Table2[[#This Row],[J67]]*Table2[[#This Row],[weight]]</f>
        <v>1.5168546252735296E-4</v>
      </c>
      <c r="S33">
        <f>0.9155*Table2[[#This Row],[J67'']]*Table2[[#This Row],[weight]]</f>
        <v>1.0418420332068824E-3</v>
      </c>
      <c r="T33">
        <f>0.9155*Table2[[#This Row],[J77'']]*Table2[[#This Row],[weight]]</f>
        <v>-1.2306020958088146E-3</v>
      </c>
      <c r="V33" s="13"/>
      <c r="W33">
        <v>72</v>
      </c>
    </row>
    <row r="34" spans="1:32" x14ac:dyDescent="0.25">
      <c r="A34" s="16">
        <v>78</v>
      </c>
      <c r="B34">
        <v>8.7379999999999995</v>
      </c>
      <c r="C34">
        <v>9.2420000000000009</v>
      </c>
      <c r="D34">
        <v>1.9810000000000001</v>
      </c>
      <c r="E34">
        <v>6.6280000000000001</v>
      </c>
      <c r="F34">
        <v>9.7420000000000009</v>
      </c>
      <c r="G34">
        <v>2.1709999999999998</v>
      </c>
      <c r="H34">
        <v>-13.757</v>
      </c>
      <c r="I34">
        <v>11.983000000000001</v>
      </c>
      <c r="J34" s="9">
        <f>chloroform!J39</f>
        <v>2.541133509739623E-2</v>
      </c>
      <c r="K34" t="str">
        <f>chloroform!F39</f>
        <v>45TH</v>
      </c>
      <c r="M34">
        <f>0.9155*Table2[[#This Row],[J1,2]]*Table2[[#This Row],[weight]]</f>
        <v>0.20328150728719965</v>
      </c>
      <c r="N34">
        <f>0.9155*Table2[[#This Row],[J2,3]]*Table2[[#This Row],[weight]]</f>
        <v>0.21500660223715951</v>
      </c>
      <c r="O34">
        <f>0.9155*Table2[[#This Row],[J34]]*Table2[[#This Row],[weight]]</f>
        <v>4.6086137094980835E-2</v>
      </c>
      <c r="P34">
        <f>0.9155*Table2[[#This Row],[J45]]*Table2[[#This Row],[weight]]</f>
        <v>0.15419430422288391</v>
      </c>
      <c r="Q34">
        <f>0.9155*Table2[[#This Row],[J56]]*Table2[[#This Row],[weight]]</f>
        <v>0.2266386408779926</v>
      </c>
      <c r="R34">
        <f>0.9155*Table2[[#This Row],[J67]]*Table2[[#This Row],[weight]]</f>
        <v>5.0506311778497417E-2</v>
      </c>
      <c r="S34">
        <f>0.9155*Table2[[#This Row],[J67'']]*Table2[[#This Row],[weight]]</f>
        <v>0.27877343806620664</v>
      </c>
      <c r="T34">
        <f>0.9155*Table2[[#This Row],[J77'']]*Table2[[#This Row],[weight]]</f>
        <v>-0.32004391116388253</v>
      </c>
      <c r="V34" s="13"/>
      <c r="W34">
        <v>73</v>
      </c>
    </row>
    <row r="35" spans="1:32" x14ac:dyDescent="0.25">
      <c r="A35" s="16">
        <v>86</v>
      </c>
      <c r="B35">
        <v>8.8369999999999997</v>
      </c>
      <c r="C35">
        <v>8.4109999999999996</v>
      </c>
      <c r="D35">
        <v>3.016</v>
      </c>
      <c r="E35">
        <v>4.66</v>
      </c>
      <c r="F35">
        <v>3.0089999999999999</v>
      </c>
      <c r="G35">
        <v>13.372999999999999</v>
      </c>
      <c r="H35">
        <v>-11.494</v>
      </c>
      <c r="I35">
        <v>5.6150000000000002</v>
      </c>
      <c r="J35" s="9">
        <f>chloroform!J40</f>
        <v>9.7648576252639774E-5</v>
      </c>
      <c r="K35" t="str">
        <f>chloroform!F40</f>
        <v>12C5</v>
      </c>
      <c r="M35">
        <f>0.9155*Table2[[#This Row],[J1,2]]*Table2[[#This Row],[weight]]</f>
        <v>7.900036887694609E-4</v>
      </c>
      <c r="N35">
        <f>0.9155*Table2[[#This Row],[J2,3]]*Table2[[#This Row],[weight]]</f>
        <v>7.519204510852025E-4</v>
      </c>
      <c r="O35">
        <f>0.9155*Table2[[#This Row],[J34]]*Table2[[#This Row],[weight]]</f>
        <v>2.6962217102282379E-4</v>
      </c>
      <c r="P35">
        <f>0.9155*Table2[[#This Row],[J45]]*Table2[[#This Row],[weight]]</f>
        <v>4.1659128546629943E-4</v>
      </c>
      <c r="Q35">
        <f>0.9155*Table2[[#This Row],[J56]]*Table2[[#This Row],[weight]]</f>
        <v>2.6899639012190876E-4</v>
      </c>
      <c r="R35">
        <f>0.9155*Table2[[#This Row],[J67]]*Table2[[#This Row],[weight]]</f>
        <v>1.1955097125624079E-3</v>
      </c>
      <c r="S35">
        <f>0.9155*Table2[[#This Row],[J67'']]*Table2[[#This Row],[weight]]</f>
        <v>5.0196567980542294E-4</v>
      </c>
      <c r="T35">
        <f>0.9155*Table2[[#This Row],[J77'']]*Table2[[#This Row],[weight]]</f>
        <v>-1.0275322393024989E-3</v>
      </c>
      <c r="V35" s="13"/>
      <c r="W35">
        <v>76</v>
      </c>
      <c r="Z35">
        <v>6.8367000000000004</v>
      </c>
      <c r="AA35">
        <v>3.44</v>
      </c>
      <c r="AB35">
        <v>1.77</v>
      </c>
      <c r="AC35">
        <v>4.0999999999999996</v>
      </c>
      <c r="AD35">
        <v>8.9</v>
      </c>
      <c r="AE35">
        <v>2.54</v>
      </c>
      <c r="AF35">
        <v>6.31</v>
      </c>
    </row>
    <row r="36" spans="1:32" x14ac:dyDescent="0.25">
      <c r="A36" s="16">
        <v>94</v>
      </c>
      <c r="B36">
        <v>8.702</v>
      </c>
      <c r="C36">
        <v>2.25</v>
      </c>
      <c r="D36">
        <v>11.945</v>
      </c>
      <c r="E36">
        <v>9.3260000000000005</v>
      </c>
      <c r="F36">
        <v>0.246</v>
      </c>
      <c r="G36">
        <v>13.015000000000001</v>
      </c>
      <c r="H36">
        <v>-11.965999999999999</v>
      </c>
      <c r="I36">
        <v>5.1390000000000002</v>
      </c>
      <c r="J36" s="9">
        <f>chloroform!J41</f>
        <v>0</v>
      </c>
      <c r="K36" t="str">
        <f>chloroform!F41</f>
        <v>6H4</v>
      </c>
      <c r="M36">
        <f>0.9155*Table2[[#This Row],[J1,2]]*Table2[[#This Row],[weight]]</f>
        <v>0</v>
      </c>
      <c r="N36">
        <f>0.9155*Table2[[#This Row],[J2,3]]*Table2[[#This Row],[weight]]</f>
        <v>0</v>
      </c>
      <c r="O36">
        <f>0.9155*Table2[[#This Row],[J34]]*Table2[[#This Row],[weight]]</f>
        <v>0</v>
      </c>
      <c r="P36">
        <f>0.9155*Table2[[#This Row],[J45]]*Table2[[#This Row],[weight]]</f>
        <v>0</v>
      </c>
      <c r="Q36">
        <f>0.9155*Table2[[#This Row],[J56]]*Table2[[#This Row],[weight]]</f>
        <v>0</v>
      </c>
      <c r="R36">
        <f>0.9155*Table2[[#This Row],[J67]]*Table2[[#This Row],[weight]]</f>
        <v>0</v>
      </c>
      <c r="S36">
        <f>0.9155*Table2[[#This Row],[J67'']]*Table2[[#This Row],[weight]]</f>
        <v>0</v>
      </c>
      <c r="T36">
        <f>0.9155*Table2[[#This Row],[J77'']]*Table2[[#This Row],[weight]]</f>
        <v>0</v>
      </c>
      <c r="V36" s="13"/>
      <c r="W36">
        <v>78</v>
      </c>
    </row>
    <row r="37" spans="1:32" x14ac:dyDescent="0.25">
      <c r="A37" s="16">
        <v>101</v>
      </c>
      <c r="B37">
        <v>9.5169999999999995</v>
      </c>
      <c r="C37">
        <v>3.0920000000000001</v>
      </c>
      <c r="D37">
        <v>8.1379999999999999</v>
      </c>
      <c r="E37">
        <v>1.3149999999999999</v>
      </c>
      <c r="F37">
        <v>4.7270000000000003</v>
      </c>
      <c r="G37">
        <v>13.472</v>
      </c>
      <c r="H37">
        <v>-12.326000000000001</v>
      </c>
      <c r="I37">
        <v>4.0449999999999999</v>
      </c>
      <c r="J37" s="9">
        <f>chloroform!J42</f>
        <v>0</v>
      </c>
      <c r="K37" t="str">
        <f>chloroform!F42</f>
        <v>TH45</v>
      </c>
      <c r="M37">
        <f>0.9155*Table2[[#This Row],[J1,2]]*Table2[[#This Row],[weight]]</f>
        <v>0</v>
      </c>
      <c r="N37">
        <f>0.9155*Table2[[#This Row],[J2,3]]*Table2[[#This Row],[weight]]</f>
        <v>0</v>
      </c>
      <c r="O37">
        <f>0.9155*Table2[[#This Row],[J34]]*Table2[[#This Row],[weight]]</f>
        <v>0</v>
      </c>
      <c r="P37">
        <f>0.9155*Table2[[#This Row],[J45]]*Table2[[#This Row],[weight]]</f>
        <v>0</v>
      </c>
      <c r="Q37">
        <f>0.9155*Table2[[#This Row],[J56]]*Table2[[#This Row],[weight]]</f>
        <v>0</v>
      </c>
      <c r="R37">
        <f>0.9155*Table2[[#This Row],[J67]]*Table2[[#This Row],[weight]]</f>
        <v>0</v>
      </c>
      <c r="S37">
        <f>0.9155*Table2[[#This Row],[J67'']]*Table2[[#This Row],[weight]]</f>
        <v>0</v>
      </c>
      <c r="T37">
        <f>0.9155*Table2[[#This Row],[J77'']]*Table2[[#This Row],[weight]]</f>
        <v>0</v>
      </c>
      <c r="V37" s="13"/>
      <c r="W37">
        <v>86</v>
      </c>
    </row>
    <row r="38" spans="1:32" x14ac:dyDescent="0.25">
      <c r="A38" s="16">
        <v>103</v>
      </c>
      <c r="B38">
        <v>7.7990000000000004</v>
      </c>
      <c r="C38">
        <v>2.762</v>
      </c>
      <c r="D38">
        <v>10.648</v>
      </c>
      <c r="E38">
        <v>10.943</v>
      </c>
      <c r="F38">
        <v>10.845000000000001</v>
      </c>
      <c r="G38">
        <v>2.3780000000000001</v>
      </c>
      <c r="H38">
        <v>-12.177</v>
      </c>
      <c r="I38">
        <v>11.22</v>
      </c>
      <c r="J38" s="9">
        <f>chloroform!J43</f>
        <v>2.0578011611822208E-2</v>
      </c>
      <c r="K38" t="str">
        <f>chloroform!F43</f>
        <v>5C12</v>
      </c>
      <c r="M38">
        <f>0.9155*Table2[[#This Row],[J1,2]]*Table2[[#This Row],[weight]]</f>
        <v>0.14692668394923059</v>
      </c>
      <c r="N38">
        <f>0.9155*Table2[[#This Row],[J2,3]]*Table2[[#This Row],[weight]]</f>
        <v>5.2033786519781369E-2</v>
      </c>
      <c r="O38">
        <f>0.9155*Table2[[#This Row],[J34]]*Table2[[#This Row],[weight]]</f>
        <v>0.20059947822687615</v>
      </c>
      <c r="P38">
        <f>0.9155*Table2[[#This Row],[J45]]*Table2[[#This Row],[weight]]</f>
        <v>0.20615703326790999</v>
      </c>
      <c r="Q38">
        <f>0.9155*Table2[[#This Row],[J56]]*Table2[[#This Row],[weight]]</f>
        <v>0.20431079464410895</v>
      </c>
      <c r="R38">
        <f>0.9155*Table2[[#This Row],[J67]]*Table2[[#This Row],[weight]]</f>
        <v>4.4799545381622043E-2</v>
      </c>
      <c r="S38">
        <f>0.9155*Table2[[#This Row],[J67'']]*Table2[[#This Row],[weight]]</f>
        <v>0.21137548325559266</v>
      </c>
      <c r="T38">
        <f>0.9155*Table2[[#This Row],[J77'']]*Table2[[#This Row],[weight]]</f>
        <v>-0.2294045685920991</v>
      </c>
      <c r="V38" s="13"/>
      <c r="W38">
        <v>103</v>
      </c>
    </row>
    <row r="39" spans="1:32" x14ac:dyDescent="0.25">
      <c r="A39" s="16">
        <v>104</v>
      </c>
      <c r="B39">
        <v>9.0850000000000009</v>
      </c>
      <c r="C39">
        <v>9.5449999999999999</v>
      </c>
      <c r="D39">
        <v>0.57099999999999995</v>
      </c>
      <c r="E39">
        <v>11.364000000000001</v>
      </c>
      <c r="F39">
        <v>8.36</v>
      </c>
      <c r="G39">
        <v>10.76</v>
      </c>
      <c r="H39">
        <v>-11.877000000000001</v>
      </c>
      <c r="I39">
        <v>2.859</v>
      </c>
      <c r="J39" s="9">
        <f>chloroform!J44</f>
        <v>0</v>
      </c>
      <c r="K39" t="str">
        <f>chloroform!F44</f>
        <v>45TH</v>
      </c>
      <c r="M39">
        <f>0.9155*Table2[[#This Row],[J1,2]]*Table2[[#This Row],[weight]]</f>
        <v>0</v>
      </c>
      <c r="N39">
        <f>0.9155*Table2[[#This Row],[J2,3]]*Table2[[#This Row],[weight]]</f>
        <v>0</v>
      </c>
      <c r="O39">
        <f>0.9155*Table2[[#This Row],[J34]]*Table2[[#This Row],[weight]]</f>
        <v>0</v>
      </c>
      <c r="P39">
        <f>0.9155*Table2[[#This Row],[J45]]*Table2[[#This Row],[weight]]</f>
        <v>0</v>
      </c>
      <c r="Q39">
        <f>0.9155*Table2[[#This Row],[J56]]*Table2[[#This Row],[weight]]</f>
        <v>0</v>
      </c>
      <c r="R39">
        <f>0.9155*Table2[[#This Row],[J67]]*Table2[[#This Row],[weight]]</f>
        <v>0</v>
      </c>
      <c r="S39">
        <f>0.9155*Table2[[#This Row],[J67'']]*Table2[[#This Row],[weight]]</f>
        <v>0</v>
      </c>
      <c r="T39">
        <f>0.9155*Table2[[#This Row],[J77'']]*Table2[[#This Row],[weight]]</f>
        <v>0</v>
      </c>
      <c r="V39" s="13"/>
      <c r="W39">
        <v>104</v>
      </c>
    </row>
    <row r="40" spans="1:32" x14ac:dyDescent="0.25">
      <c r="A40" s="16">
        <v>106</v>
      </c>
      <c r="B40">
        <v>9.1489999999999991</v>
      </c>
      <c r="C40">
        <v>1.9339999999999999</v>
      </c>
      <c r="D40">
        <v>12.611000000000001</v>
      </c>
      <c r="E40">
        <v>7.7530000000000001</v>
      </c>
      <c r="F40">
        <v>0.96599999999999997</v>
      </c>
      <c r="G40">
        <v>13.769</v>
      </c>
      <c r="H40">
        <v>-13.135999999999999</v>
      </c>
      <c r="I40">
        <v>6.9930000000000003</v>
      </c>
      <c r="J40" s="9">
        <f>chloroform!J45</f>
        <v>0</v>
      </c>
      <c r="K40" t="str">
        <f>chloroform!F45</f>
        <v>6H4</v>
      </c>
      <c r="M40">
        <f>0.9155*Table2[[#This Row],[J1,2]]*Table2[[#This Row],[weight]]</f>
        <v>0</v>
      </c>
      <c r="N40">
        <f>0.9155*Table2[[#This Row],[J2,3]]*Table2[[#This Row],[weight]]</f>
        <v>0</v>
      </c>
      <c r="O40">
        <f>0.9155*Table2[[#This Row],[J34]]*Table2[[#This Row],[weight]]</f>
        <v>0</v>
      </c>
      <c r="P40">
        <f>0.9155*Table2[[#This Row],[J45]]*Table2[[#This Row],[weight]]</f>
        <v>0</v>
      </c>
      <c r="Q40">
        <f>0.9155*Table2[[#This Row],[J56]]*Table2[[#This Row],[weight]]</f>
        <v>0</v>
      </c>
      <c r="R40">
        <f>0.9155*Table2[[#This Row],[J67]]*Table2[[#This Row],[weight]]</f>
        <v>0</v>
      </c>
      <c r="S40">
        <f>0.9155*Table2[[#This Row],[J67'']]*Table2[[#This Row],[weight]]</f>
        <v>0</v>
      </c>
      <c r="T40">
        <f>0.9155*Table2[[#This Row],[J77'']]*Table2[[#This Row],[weight]]</f>
        <v>0</v>
      </c>
      <c r="V40" s="13"/>
      <c r="W40">
        <v>106</v>
      </c>
    </row>
    <row r="41" spans="1:32" x14ac:dyDescent="0.25">
      <c r="A41" s="16">
        <v>107</v>
      </c>
      <c r="B41">
        <v>9.8740000000000006</v>
      </c>
      <c r="C41">
        <v>7.056</v>
      </c>
      <c r="D41">
        <v>2.3149999999999999</v>
      </c>
      <c r="E41">
        <v>6.423</v>
      </c>
      <c r="F41">
        <v>3.3010000000000002</v>
      </c>
      <c r="G41">
        <v>13.672000000000001</v>
      </c>
      <c r="H41">
        <v>-11.84</v>
      </c>
      <c r="I41">
        <v>6.2759999999999998</v>
      </c>
      <c r="J41" s="9">
        <f>chloroform!J46</f>
        <v>0</v>
      </c>
      <c r="K41" t="str">
        <f>chloroform!F46</f>
        <v>12C5</v>
      </c>
      <c r="M41">
        <f>0.9155*Table2[[#This Row],[J1,2]]*Table2[[#This Row],[weight]]</f>
        <v>0</v>
      </c>
      <c r="N41">
        <f>0.9155*Table2[[#This Row],[J2,3]]*Table2[[#This Row],[weight]]</f>
        <v>0</v>
      </c>
      <c r="O41">
        <f>0.9155*Table2[[#This Row],[J34]]*Table2[[#This Row],[weight]]</f>
        <v>0</v>
      </c>
      <c r="P41">
        <f>0.9155*Table2[[#This Row],[J45]]*Table2[[#This Row],[weight]]</f>
        <v>0</v>
      </c>
      <c r="Q41">
        <f>0.9155*Table2[[#This Row],[J56]]*Table2[[#This Row],[weight]]</f>
        <v>0</v>
      </c>
      <c r="R41">
        <f>0.9155*Table2[[#This Row],[J67]]*Table2[[#This Row],[weight]]</f>
        <v>0</v>
      </c>
      <c r="S41">
        <f>0.9155*Table2[[#This Row],[J67'']]*Table2[[#This Row],[weight]]</f>
        <v>0</v>
      </c>
      <c r="T41">
        <f>0.9155*Table2[[#This Row],[J77'']]*Table2[[#This Row],[weight]]</f>
        <v>0</v>
      </c>
      <c r="V41" s="13"/>
      <c r="W41">
        <v>107</v>
      </c>
    </row>
    <row r="42" spans="1:32" x14ac:dyDescent="0.25">
      <c r="A42" s="16">
        <v>109</v>
      </c>
      <c r="B42">
        <v>8.64</v>
      </c>
      <c r="C42">
        <v>9.8789999999999996</v>
      </c>
      <c r="D42">
        <v>2.214</v>
      </c>
      <c r="E42">
        <v>6.4930000000000003</v>
      </c>
      <c r="F42">
        <v>9.8849999999999998</v>
      </c>
      <c r="G42">
        <v>2.7589999999999999</v>
      </c>
      <c r="H42">
        <v>-12.823</v>
      </c>
      <c r="I42">
        <v>11.991</v>
      </c>
      <c r="J42" s="9">
        <f>chloroform!J47</f>
        <v>1.0743636969289242E-2</v>
      </c>
      <c r="K42" t="str">
        <f>chloroform!F47</f>
        <v>45TH</v>
      </c>
      <c r="M42">
        <f>0.9155*Table2[[#This Row],[J1,2]]*Table2[[#This Row],[weight]]</f>
        <v>8.4981308936120367E-2</v>
      </c>
      <c r="N42">
        <f>0.9155*Table2[[#This Row],[J2,3]]*Table2[[#This Row],[weight]]</f>
        <v>9.7167864696751496E-2</v>
      </c>
      <c r="O42">
        <f>0.9155*Table2[[#This Row],[J34]]*Table2[[#This Row],[weight]]</f>
        <v>2.1776460414880842E-2</v>
      </c>
      <c r="P42">
        <f>0.9155*Table2[[#This Row],[J45]]*Table2[[#This Row],[weight]]</f>
        <v>6.3863847097480261E-2</v>
      </c>
      <c r="Q42">
        <f>0.9155*Table2[[#This Row],[J56]]*Table2[[#This Row],[weight]]</f>
        <v>9.7226879494623816E-2</v>
      </c>
      <c r="R42">
        <f>0.9155*Table2[[#This Row],[J67]]*Table2[[#This Row],[weight]]</f>
        <v>2.7136971221615284E-2</v>
      </c>
      <c r="S42">
        <f>0.9155*Table2[[#This Row],[J67'']]*Table2[[#This Row],[weight]]</f>
        <v>0.11794107354780314</v>
      </c>
      <c r="T42">
        <f>0.9155*Table2[[#This Row],[J77'']]*Table2[[#This Row],[weight]]</f>
        <v>-0.12612445885276288</v>
      </c>
      <c r="V42" s="13"/>
      <c r="W42">
        <v>109</v>
      </c>
    </row>
    <row r="43" spans="1:32" x14ac:dyDescent="0.25">
      <c r="A43" s="16">
        <v>123</v>
      </c>
      <c r="B43">
        <v>7.6660000000000004</v>
      </c>
      <c r="C43">
        <v>2.8330000000000002</v>
      </c>
      <c r="D43">
        <v>10.426</v>
      </c>
      <c r="E43">
        <v>10.933</v>
      </c>
      <c r="F43">
        <v>10.318</v>
      </c>
      <c r="G43">
        <v>1.1659999999999999</v>
      </c>
      <c r="H43">
        <v>-14.012</v>
      </c>
      <c r="I43">
        <v>3.1669999999999998</v>
      </c>
      <c r="J43" s="9">
        <f>chloroform!J48</f>
        <v>1.1921771469275491E-3</v>
      </c>
      <c r="K43" t="str">
        <f>chloroform!F48</f>
        <v>5C12</v>
      </c>
      <c r="M43">
        <f>0.9155*Table2[[#This Row],[J1,2]]*Table2[[#This Row],[weight]]</f>
        <v>8.3669650726413049E-3</v>
      </c>
      <c r="N43">
        <f>0.9155*Table2[[#This Row],[J2,3]]*Table2[[#This Row],[weight]]</f>
        <v>3.0920443583084814E-3</v>
      </c>
      <c r="O43">
        <f>0.9155*Table2[[#This Row],[J34]]*Table2[[#This Row],[weight]]</f>
        <v>1.1379334443954897E-2</v>
      </c>
      <c r="P43">
        <f>0.9155*Table2[[#This Row],[J45]]*Table2[[#This Row],[weight]]</f>
        <v>1.1932693600207067E-2</v>
      </c>
      <c r="Q43">
        <f>0.9155*Table2[[#This Row],[J56]]*Table2[[#This Row],[weight]]</f>
        <v>1.1261459120729582E-2</v>
      </c>
      <c r="R43">
        <f>0.9155*Table2[[#This Row],[J67]]*Table2[[#This Row],[weight]]</f>
        <v>1.2726169155621915E-3</v>
      </c>
      <c r="S43">
        <f>0.9155*Table2[[#This Row],[J67'']]*Table2[[#This Row],[weight]]</f>
        <v>3.4565847097645457E-3</v>
      </c>
      <c r="T43">
        <f>0.9155*Table2[[#This Row],[J77'']]*Table2[[#This Row],[weight]]</f>
        <v>-1.5293231750306543E-2</v>
      </c>
      <c r="V43" s="13"/>
      <c r="W43">
        <v>116</v>
      </c>
    </row>
    <row r="44" spans="1:32" x14ac:dyDescent="0.25">
      <c r="A44" s="16">
        <v>125</v>
      </c>
      <c r="B44">
        <v>5.9850000000000003</v>
      </c>
      <c r="C44">
        <v>5.6429999999999998</v>
      </c>
      <c r="D44">
        <v>8.7949999999999999</v>
      </c>
      <c r="E44">
        <v>1.976</v>
      </c>
      <c r="F44">
        <v>0.36399999999999999</v>
      </c>
      <c r="G44">
        <v>12.02</v>
      </c>
      <c r="H44">
        <v>-11.138</v>
      </c>
      <c r="I44">
        <v>5.085</v>
      </c>
      <c r="J44" s="9">
        <f>chloroform!J49</f>
        <v>0</v>
      </c>
      <c r="K44" t="str">
        <f>chloroform!F49</f>
        <v>125B</v>
      </c>
      <c r="M44">
        <f>0.9155*Table2[[#This Row],[J1,2]]*Table2[[#This Row],[weight]]</f>
        <v>0</v>
      </c>
      <c r="N44">
        <f>0.9155*Table2[[#This Row],[J2,3]]*Table2[[#This Row],[weight]]</f>
        <v>0</v>
      </c>
      <c r="O44">
        <f>0.9155*Table2[[#This Row],[J34]]*Table2[[#This Row],[weight]]</f>
        <v>0</v>
      </c>
      <c r="P44">
        <f>0.9155*Table2[[#This Row],[J45]]*Table2[[#This Row],[weight]]</f>
        <v>0</v>
      </c>
      <c r="Q44">
        <f>0.9155*Table2[[#This Row],[J56]]*Table2[[#This Row],[weight]]</f>
        <v>0</v>
      </c>
      <c r="R44">
        <f>0.9155*Table2[[#This Row],[J67]]*Table2[[#This Row],[weight]]</f>
        <v>0</v>
      </c>
      <c r="S44">
        <f>0.9155*Table2[[#This Row],[J67'']]*Table2[[#This Row],[weight]]</f>
        <v>0</v>
      </c>
      <c r="T44">
        <f>0.9155*Table2[[#This Row],[J77'']]*Table2[[#This Row],[weight]]</f>
        <v>0</v>
      </c>
      <c r="V44" s="13"/>
      <c r="W44">
        <v>123</v>
      </c>
    </row>
    <row r="45" spans="1:32" x14ac:dyDescent="0.25">
      <c r="A45" s="16">
        <v>128</v>
      </c>
      <c r="B45">
        <v>8.7850000000000001</v>
      </c>
      <c r="C45">
        <v>8.4290000000000003</v>
      </c>
      <c r="D45">
        <v>2.8820000000000001</v>
      </c>
      <c r="E45">
        <v>4.6180000000000003</v>
      </c>
      <c r="F45">
        <v>3.1150000000000002</v>
      </c>
      <c r="G45">
        <v>1.4770000000000001</v>
      </c>
      <c r="H45">
        <v>-13.055</v>
      </c>
      <c r="I45">
        <v>10.795</v>
      </c>
      <c r="J45" s="9">
        <f>chloroform!J50</f>
        <v>3.4418937692157247E-4</v>
      </c>
      <c r="K45" t="str">
        <f>chloroform!F50</f>
        <v>12C5</v>
      </c>
      <c r="M45">
        <f>0.9155*Table2[[#This Row],[J1,2]]*Table2[[#This Row],[weight]]</f>
        <v>2.7682007156123812E-3</v>
      </c>
      <c r="N45">
        <f>0.9155*Table2[[#This Row],[J2,3]]*Table2[[#This Row],[weight]]</f>
        <v>2.6560232022648559E-3</v>
      </c>
      <c r="O45">
        <f>0.9155*Table2[[#This Row],[J34]]*Table2[[#This Row],[weight]]</f>
        <v>9.0813368951563826E-4</v>
      </c>
      <c r="P45">
        <f>0.9155*Table2[[#This Row],[J45]]*Table2[[#This Row],[weight]]</f>
        <v>1.4551566197721086E-3</v>
      </c>
      <c r="Q45">
        <f>0.9155*Table2[[#This Row],[J56]]*Table2[[#This Row],[weight]]</f>
        <v>9.8155324179084432E-4</v>
      </c>
      <c r="R45">
        <f>0.9155*Table2[[#This Row],[J67]]*Table2[[#This Row],[weight]]</f>
        <v>4.6541063824240031E-4</v>
      </c>
      <c r="S45">
        <f>0.9155*Table2[[#This Row],[J67'']]*Table2[[#This Row],[weight]]</f>
        <v>3.4015625185014968E-3</v>
      </c>
      <c r="T45">
        <f>0.9155*Table2[[#This Row],[J77'']]*Table2[[#This Row],[weight]]</f>
        <v>-4.1137006650335383E-3</v>
      </c>
      <c r="V45" s="13"/>
      <c r="W45">
        <v>125</v>
      </c>
    </row>
    <row r="46" spans="1:32" x14ac:dyDescent="0.25">
      <c r="A46" s="16">
        <v>135</v>
      </c>
      <c r="B46">
        <v>7.5209999999999999</v>
      </c>
      <c r="C46">
        <v>5.6260000000000003</v>
      </c>
      <c r="D46">
        <v>10.598000000000001</v>
      </c>
      <c r="E46">
        <v>11.972</v>
      </c>
      <c r="F46">
        <v>8.2460000000000004</v>
      </c>
      <c r="G46">
        <v>1.1339999999999999</v>
      </c>
      <c r="H46">
        <v>-13.877000000000001</v>
      </c>
      <c r="I46">
        <v>10.268000000000001</v>
      </c>
      <c r="J46" s="9">
        <f>chloroform!J51</f>
        <v>3.3350913648038036E-3</v>
      </c>
      <c r="K46" t="str">
        <f>chloroform!F51</f>
        <v>56TH</v>
      </c>
      <c r="M46">
        <f>0.9155*Table2[[#This Row],[J1,2]]*Table2[[#This Row],[weight]]</f>
        <v>2.2963689882618151E-2</v>
      </c>
      <c r="N46">
        <f>0.9155*Table2[[#This Row],[J2,3]]*Table2[[#This Row],[weight]]</f>
        <v>1.7177731588832568E-2</v>
      </c>
      <c r="O46">
        <f>0.9155*Table2[[#This Row],[J34]]*Table2[[#This Row],[weight]]</f>
        <v>3.23586205791766E-2</v>
      </c>
      <c r="P46">
        <f>0.9155*Table2[[#This Row],[J45]]*Table2[[#This Row],[weight]]</f>
        <v>3.6553822001689204E-2</v>
      </c>
      <c r="Q46">
        <f>0.9155*Table2[[#This Row],[J56]]*Table2[[#This Row],[weight]]</f>
        <v>2.5177315087364618E-2</v>
      </c>
      <c r="R46">
        <f>0.9155*Table2[[#This Row],[J67]]*Table2[[#This Row],[weight]]</f>
        <v>3.4624151478379181E-3</v>
      </c>
      <c r="S46">
        <f>0.9155*Table2[[#This Row],[J67'']]*Table2[[#This Row],[weight]]</f>
        <v>3.1351039451498898E-2</v>
      </c>
      <c r="T46">
        <f>0.9155*Table2[[#This Row],[J77'']]*Table2[[#This Row],[weight]]</f>
        <v>-4.2370313056919573E-2</v>
      </c>
      <c r="V46" s="13"/>
      <c r="W46">
        <v>128</v>
      </c>
    </row>
    <row r="47" spans="1:32" x14ac:dyDescent="0.25">
      <c r="A47" s="16">
        <v>136</v>
      </c>
      <c r="B47">
        <v>9.2170000000000005</v>
      </c>
      <c r="C47">
        <v>2.9079999999999999</v>
      </c>
      <c r="D47">
        <v>8.8650000000000002</v>
      </c>
      <c r="E47">
        <v>11.67</v>
      </c>
      <c r="F47">
        <v>9.6069999999999993</v>
      </c>
      <c r="G47">
        <v>2.4870000000000001</v>
      </c>
      <c r="H47">
        <v>-11.984</v>
      </c>
      <c r="I47">
        <v>11.439</v>
      </c>
      <c r="J47" s="9">
        <f>chloroform!J52</f>
        <v>9.9626482403280484E-4</v>
      </c>
      <c r="K47" t="str">
        <f>chloroform!F52</f>
        <v>5C12</v>
      </c>
      <c r="M47">
        <f>0.9155*Table2[[#This Row],[J1,2]]*Table2[[#This Row],[weight]]</f>
        <v>8.4066454744875369E-3</v>
      </c>
      <c r="N47">
        <f>0.9155*Table2[[#This Row],[J2,3]]*Table2[[#This Row],[weight]]</f>
        <v>2.6523299381371115E-3</v>
      </c>
      <c r="O47">
        <f>0.9155*Table2[[#This Row],[J34]]*Table2[[#This Row],[weight]]</f>
        <v>8.0855931573540207E-3</v>
      </c>
      <c r="P47">
        <f>0.9155*Table2[[#This Row],[J45]]*Table2[[#This Row],[weight]]</f>
        <v>1.0643978809511723E-2</v>
      </c>
      <c r="Q47">
        <f>0.9155*Table2[[#This Row],[J56]]*Table2[[#This Row],[weight]]</f>
        <v>8.7623568485843285E-3</v>
      </c>
      <c r="R47">
        <f>0.9155*Table2[[#This Row],[J67]]*Table2[[#This Row],[weight]]</f>
        <v>2.2683440702018554E-3</v>
      </c>
      <c r="S47">
        <f>0.9155*Table2[[#This Row],[J67'']]*Table2[[#This Row],[weight]]</f>
        <v>1.0433288226392853E-2</v>
      </c>
      <c r="T47">
        <f>0.9155*Table2[[#This Row],[J77'']]*Table2[[#This Row],[weight]]</f>
        <v>-1.0930372069681961E-2</v>
      </c>
      <c r="V47" s="13"/>
      <c r="W47">
        <v>135</v>
      </c>
    </row>
    <row r="48" spans="1:32" x14ac:dyDescent="0.25">
      <c r="A48" s="16">
        <v>142</v>
      </c>
      <c r="B48">
        <v>8.0269999999999992</v>
      </c>
      <c r="C48">
        <v>2.6429999999999998</v>
      </c>
      <c r="D48">
        <v>10.698</v>
      </c>
      <c r="E48">
        <v>11.201000000000001</v>
      </c>
      <c r="F48">
        <v>10.691000000000001</v>
      </c>
      <c r="G48">
        <v>10.593</v>
      </c>
      <c r="H48">
        <v>-11.935</v>
      </c>
      <c r="I48">
        <v>2.339</v>
      </c>
      <c r="J48" s="9">
        <f>chloroform!J53</f>
        <v>6.4767610225899943E-3</v>
      </c>
      <c r="K48" t="str">
        <f>chloroform!F53</f>
        <v>5C12</v>
      </c>
      <c r="M48">
        <f>0.9155*Table2[[#This Row],[J1,2]]*Table2[[#This Row],[weight]]</f>
        <v>4.7595893546786006E-2</v>
      </c>
      <c r="N48">
        <f>0.9155*Table2[[#This Row],[J2,3]]*Table2[[#This Row],[weight]]</f>
        <v>1.5671601674866753E-2</v>
      </c>
      <c r="O48">
        <f>0.9155*Table2[[#This Row],[J34]]*Table2[[#This Row],[weight]]</f>
        <v>6.3433520513705835E-2</v>
      </c>
      <c r="P48">
        <f>0.9155*Table2[[#This Row],[J45]]*Table2[[#This Row],[weight]]</f>
        <v>6.6416046295944942E-2</v>
      </c>
      <c r="Q48">
        <f>0.9155*Table2[[#This Row],[J56]]*Table2[[#This Row],[weight]]</f>
        <v>6.3392014190692569E-2</v>
      </c>
      <c r="R48">
        <f>0.9155*Table2[[#This Row],[J67]]*Table2[[#This Row],[weight]]</f>
        <v>6.2810925668506809E-2</v>
      </c>
      <c r="S48">
        <f>0.9155*Table2[[#This Row],[J67'']]*Table2[[#This Row],[weight]]</f>
        <v>1.3869041361147685E-2</v>
      </c>
      <c r="T48">
        <f>0.9155*Table2[[#This Row],[J77'']]*Table2[[#This Row],[weight]]</f>
        <v>-7.0768280737621911E-2</v>
      </c>
      <c r="V48" s="13"/>
      <c r="W48">
        <v>142</v>
      </c>
    </row>
    <row r="49" spans="1:30" x14ac:dyDescent="0.25">
      <c r="A49" s="16">
        <v>143</v>
      </c>
      <c r="B49">
        <v>9.1750000000000007</v>
      </c>
      <c r="C49">
        <v>9.5269999999999992</v>
      </c>
      <c r="D49">
        <v>0.54200000000000004</v>
      </c>
      <c r="E49">
        <v>10.262</v>
      </c>
      <c r="F49">
        <v>8.2810000000000006</v>
      </c>
      <c r="G49">
        <v>10.746</v>
      </c>
      <c r="H49">
        <v>-12.188000000000001</v>
      </c>
      <c r="I49">
        <v>1.93</v>
      </c>
      <c r="J49" s="9">
        <f>chloroform!J54</f>
        <v>1.2898379500030682E-4</v>
      </c>
      <c r="K49" t="str">
        <f>chloroform!F54</f>
        <v>45TH</v>
      </c>
      <c r="M49">
        <f>0.9155*Table2[[#This Row],[J1,2]]*Table2[[#This Row],[weight]]</f>
        <v>1.0834267951615147E-3</v>
      </c>
      <c r="N49">
        <f>0.9155*Table2[[#This Row],[J2,3]]*Table2[[#This Row],[weight]]</f>
        <v>1.1249925970031333E-3</v>
      </c>
      <c r="O49">
        <f>0.9155*Table2[[#This Row],[J34]]*Table2[[#This Row],[weight]]</f>
        <v>6.4001888062947248E-5</v>
      </c>
      <c r="P49">
        <f>0.9155*Table2[[#This Row],[J45]]*Table2[[#This Row],[weight]]</f>
        <v>1.2117848252803775E-3</v>
      </c>
      <c r="Q49">
        <f>0.9155*Table2[[#This Row],[J56]]*Table2[[#This Row],[weight]]</f>
        <v>9.7785910525694853E-4</v>
      </c>
      <c r="R49">
        <f>0.9155*Table2[[#This Row],[J67]]*Table2[[#This Row],[weight]]</f>
        <v>1.2689378028126034E-3</v>
      </c>
      <c r="S49">
        <f>0.9155*Table2[[#This Row],[J67'']]*Table2[[#This Row],[weight]]</f>
        <v>2.2790340214296712E-4</v>
      </c>
      <c r="T49">
        <f>0.9155*Table2[[#This Row],[J77'']]*Table2[[#This Row],[weight]]</f>
        <v>-1.4392158887660536E-3</v>
      </c>
      <c r="V49" s="13"/>
      <c r="W49">
        <v>143</v>
      </c>
    </row>
    <row r="50" spans="1:30" x14ac:dyDescent="0.25">
      <c r="A50" s="16">
        <v>144</v>
      </c>
      <c r="B50">
        <v>9.0779999999999994</v>
      </c>
      <c r="C50">
        <v>7.86</v>
      </c>
      <c r="D50">
        <v>2.5150000000000001</v>
      </c>
      <c r="E50">
        <v>4.6379999999999999</v>
      </c>
      <c r="F50">
        <v>3.2290000000000001</v>
      </c>
      <c r="G50">
        <v>13.443</v>
      </c>
      <c r="H50">
        <v>-11.587999999999999</v>
      </c>
      <c r="I50">
        <v>5.28</v>
      </c>
      <c r="J50" s="9">
        <f>chloroform!J55</f>
        <v>1.1043031343540842E-4</v>
      </c>
      <c r="K50" t="str">
        <f>chloroform!F55</f>
        <v>12C5</v>
      </c>
      <c r="M50">
        <f>0.9155*Table2[[#This Row],[J1,2]]*Table2[[#This Row],[weight]]</f>
        <v>9.1777628580315656E-4</v>
      </c>
      <c r="N50">
        <f>0.9155*Table2[[#This Row],[J2,3]]*Table2[[#This Row],[weight]]</f>
        <v>7.9463776232791493E-4</v>
      </c>
      <c r="O50">
        <f>0.9155*Table2[[#This Row],[J34]]*Table2[[#This Row],[weight]]</f>
        <v>2.5426386415454275E-4</v>
      </c>
      <c r="P50">
        <f>0.9155*Table2[[#This Row],[J45]]*Table2[[#This Row],[weight]]</f>
        <v>4.6889693914463983E-4</v>
      </c>
      <c r="Q50">
        <f>0.9155*Table2[[#This Row],[J56]]*Table2[[#This Row],[weight]]</f>
        <v>3.264485158469259E-4</v>
      </c>
      <c r="R50">
        <f>0.9155*Table2[[#This Row],[J67]]*Table2[[#This Row],[weight]]</f>
        <v>1.3590732110654149E-3</v>
      </c>
      <c r="S50">
        <f>0.9155*Table2[[#This Row],[J67'']]*Table2[[#This Row],[weight]]</f>
        <v>5.3380246629661471E-4</v>
      </c>
      <c r="T50">
        <f>0.9155*Table2[[#This Row],[J77'']]*Table2[[#This Row],[weight]]</f>
        <v>-1.1715346551979487E-3</v>
      </c>
      <c r="V50" s="13"/>
      <c r="W50">
        <v>144</v>
      </c>
    </row>
    <row r="51" spans="1:30" x14ac:dyDescent="0.25">
      <c r="A51" s="16">
        <v>145</v>
      </c>
      <c r="B51">
        <v>9.1660000000000004</v>
      </c>
      <c r="C51">
        <v>7.9160000000000004</v>
      </c>
      <c r="D51">
        <v>2.9239999999999999</v>
      </c>
      <c r="E51">
        <v>5.0010000000000003</v>
      </c>
      <c r="F51">
        <v>2.9750000000000001</v>
      </c>
      <c r="G51">
        <v>13.638999999999999</v>
      </c>
      <c r="H51">
        <v>-11.439</v>
      </c>
      <c r="I51">
        <v>5.4489999999999998</v>
      </c>
      <c r="J51" s="9">
        <f>chloroform!J56</f>
        <v>2.8556974071908823E-4</v>
      </c>
      <c r="K51" t="str">
        <f>chloroform!F56</f>
        <v>5C12</v>
      </c>
      <c r="M51">
        <f>0.9155*Table2[[#This Row],[J1,2]]*Table2[[#This Row],[weight]]</f>
        <v>2.3963507688612292E-3</v>
      </c>
      <c r="N51">
        <f>0.9155*Table2[[#This Row],[J2,3]]*Table2[[#This Row],[weight]]</f>
        <v>2.069551896825823E-3</v>
      </c>
      <c r="O51">
        <f>0.9155*Table2[[#This Row],[J34]]*Table2[[#This Row],[weight]]</f>
        <v>7.6444792146522305E-4</v>
      </c>
      <c r="P51">
        <f>0.9155*Table2[[#This Row],[J45]]*Table2[[#This Row],[weight]]</f>
        <v>1.3074569272392548E-3</v>
      </c>
      <c r="Q51">
        <f>0.9155*Table2[[#This Row],[J56]]*Table2[[#This Row],[weight]]</f>
        <v>7.7778131544426778E-4</v>
      </c>
      <c r="R51">
        <f>0.9155*Table2[[#This Row],[J67]]*Table2[[#This Row],[weight]]</f>
        <v>3.5657678525527281E-3</v>
      </c>
      <c r="S51">
        <f>0.9155*Table2[[#This Row],[J67'']]*Table2[[#This Row],[weight]]</f>
        <v>1.4245816429767444E-3</v>
      </c>
      <c r="T51">
        <f>0.9155*Table2[[#This Row],[J77'']]*Table2[[#This Row],[weight]]</f>
        <v>-2.9906018377704128E-3</v>
      </c>
      <c r="V51" s="13"/>
      <c r="W51">
        <v>145</v>
      </c>
      <c r="X51">
        <v>7.4964347743622035</v>
      </c>
      <c r="Y51">
        <v>5.2134005536534413</v>
      </c>
      <c r="Z51">
        <v>2.4835602099605776</v>
      </c>
      <c r="AA51" s="5">
        <v>10.330069685867349</v>
      </c>
      <c r="AB51" s="5">
        <v>1.6245262881237332</v>
      </c>
      <c r="AC51" s="5">
        <v>4.8142968227897764</v>
      </c>
      <c r="AD51" s="5"/>
    </row>
    <row r="52" spans="1:30" x14ac:dyDescent="0.25">
      <c r="A52" s="16">
        <v>166</v>
      </c>
      <c r="B52">
        <v>9.4510000000000005</v>
      </c>
      <c r="C52">
        <v>3.4449999999999998</v>
      </c>
      <c r="D52">
        <v>8.2680000000000007</v>
      </c>
      <c r="E52">
        <v>11.887</v>
      </c>
      <c r="F52">
        <v>9.0549999999999997</v>
      </c>
      <c r="G52">
        <v>2.238</v>
      </c>
      <c r="H52">
        <v>-13.509</v>
      </c>
      <c r="I52">
        <v>12.182</v>
      </c>
      <c r="J52" s="9">
        <f>chloroform!J57</f>
        <v>1.3643967202022281E-3</v>
      </c>
      <c r="K52" t="str">
        <f>chloroform!F57</f>
        <v>5C12</v>
      </c>
      <c r="M52">
        <f>0.9155*Table2[[#This Row],[J1,2]]*Table2[[#This Row],[weight]]</f>
        <v>1.1805293220108917E-2</v>
      </c>
      <c r="N52">
        <f>0.9155*Table2[[#This Row],[J2,3]]*Table2[[#This Row],[weight]]</f>
        <v>4.3031674048540063E-3</v>
      </c>
      <c r="O52">
        <f>0.9155*Table2[[#This Row],[J34]]*Table2[[#This Row],[weight]]</f>
        <v>1.0327601771649616E-2</v>
      </c>
      <c r="P52">
        <f>0.9155*Table2[[#This Row],[J45]]*Table2[[#This Row],[weight]]</f>
        <v>1.4848113480841677E-2</v>
      </c>
      <c r="Q52">
        <f>0.9155*Table2[[#This Row],[J56]]*Table2[[#This Row],[weight]]</f>
        <v>1.1310647561960241E-2</v>
      </c>
      <c r="R52">
        <f>0.9155*Table2[[#This Row],[J67]]*Table2[[#This Row],[weight]]</f>
        <v>2.7954974316584226E-3</v>
      </c>
      <c r="S52">
        <f>0.9155*Table2[[#This Row],[J67'']]*Table2[[#This Row],[weight]]</f>
        <v>1.5216599514058493E-2</v>
      </c>
      <c r="T52">
        <f>0.9155*Table2[[#This Row],[J77'']]*Table2[[#This Row],[weight]]</f>
        <v>-1.6874162110935492E-2</v>
      </c>
      <c r="V52" s="13"/>
      <c r="W52">
        <v>166</v>
      </c>
    </row>
    <row r="53" spans="1:30" x14ac:dyDescent="0.25">
      <c r="A53" s="16">
        <v>173</v>
      </c>
      <c r="B53">
        <v>9.0540000000000003</v>
      </c>
      <c r="C53">
        <v>7.96</v>
      </c>
      <c r="D53">
        <v>2.5990000000000002</v>
      </c>
      <c r="E53">
        <v>4.9560000000000004</v>
      </c>
      <c r="F53">
        <v>3.4620000000000002</v>
      </c>
      <c r="G53">
        <v>1.2809999999999999</v>
      </c>
      <c r="H53">
        <v>-14.5</v>
      </c>
      <c r="I53">
        <v>11.343</v>
      </c>
      <c r="J53" s="9">
        <f>chloroform!J58</f>
        <v>2.8969063399003788E-4</v>
      </c>
      <c r="K53" t="str">
        <f>chloroform!F58</f>
        <v>12C5</v>
      </c>
      <c r="M53">
        <f>0.9155*Table2[[#This Row],[J1,2]]*Table2[[#This Row],[weight]]</f>
        <v>2.4012274146334826E-3</v>
      </c>
      <c r="N53">
        <f>0.9155*Table2[[#This Row],[J2,3]]*Table2[[#This Row],[weight]]</f>
        <v>2.1110857323263219E-3</v>
      </c>
      <c r="O53">
        <f>0.9155*Table2[[#This Row],[J34]]*Table2[[#This Row],[weight]]</f>
        <v>6.8928540431106931E-4</v>
      </c>
      <c r="P53">
        <f>0.9155*Table2[[#This Row],[J45]]*Table2[[#This Row],[weight]]</f>
        <v>1.3143895589710116E-3</v>
      </c>
      <c r="Q53">
        <f>0.9155*Table2[[#This Row],[J56]]*Table2[[#This Row],[weight]]</f>
        <v>9.1816316649669951E-4</v>
      </c>
      <c r="R53">
        <f>0.9155*Table2[[#This Row],[J67]]*Table2[[#This Row],[weight]]</f>
        <v>3.397362843103038E-4</v>
      </c>
      <c r="S53">
        <f>0.9155*Table2[[#This Row],[J67'']]*Table2[[#This Row],[weight]]</f>
        <v>3.0082971685650092E-3</v>
      </c>
      <c r="T53">
        <f>0.9155*Table2[[#This Row],[J77'']]*Table2[[#This Row],[weight]]</f>
        <v>-3.8455707435592549E-3</v>
      </c>
      <c r="V53" s="13"/>
      <c r="W53" s="6">
        <v>173</v>
      </c>
    </row>
    <row r="54" spans="1:30" x14ac:dyDescent="0.25">
      <c r="A54" s="17">
        <v>191</v>
      </c>
      <c r="B54">
        <v>8.8130000000000006</v>
      </c>
      <c r="C54">
        <v>8.4179999999999993</v>
      </c>
      <c r="D54">
        <v>3.0569999999999999</v>
      </c>
      <c r="E54">
        <v>4.6150000000000002</v>
      </c>
      <c r="F54">
        <v>2.96</v>
      </c>
      <c r="G54">
        <v>13.441000000000001</v>
      </c>
      <c r="H54">
        <v>-11.567</v>
      </c>
      <c r="I54">
        <v>5.5679999999999996</v>
      </c>
      <c r="J54" s="9">
        <f>chloroform!J59</f>
        <v>9.6138181511408734E-5</v>
      </c>
      <c r="K54" t="str">
        <f>chloroform!F59</f>
        <v>12C5</v>
      </c>
      <c r="M54">
        <f>0.9155*Table2[[#This Row],[J1,2]]*Table2[[#This Row],[weight]]</f>
        <v>7.7567183409577142E-4</v>
      </c>
      <c r="N54">
        <f>0.9155*Table2[[#This Row],[J2,3]]*Table2[[#This Row],[weight]]</f>
        <v>7.409061045521619E-4</v>
      </c>
      <c r="O54">
        <f>0.9155*Table2[[#This Row],[J34]]*Table2[[#This Row],[weight]]</f>
        <v>2.690603423159847E-4</v>
      </c>
      <c r="P54">
        <f>0.9155*Table2[[#This Row],[J45]]*Table2[[#This Row],[weight]]</f>
        <v>4.0618694137660102E-4</v>
      </c>
      <c r="Q54">
        <f>0.9155*Table2[[#This Row],[J56]]*Table2[[#This Row],[weight]]</f>
        <v>2.6052293531413632E-4</v>
      </c>
      <c r="R54">
        <f>0.9155*Table2[[#This Row],[J67]]*Table2[[#This Row],[weight]]</f>
        <v>1.1830029640396305E-3</v>
      </c>
      <c r="S54">
        <f>0.9155*Table2[[#This Row],[J67'']]*Table2[[#This Row],[weight]]</f>
        <v>4.9006476480713203E-4</v>
      </c>
      <c r="T54">
        <f>0.9155*Table2[[#This Row],[J77'']]*Table2[[#This Row],[weight]]</f>
        <v>-1.0180637813441266E-3</v>
      </c>
      <c r="V54" s="13"/>
      <c r="W54" s="6">
        <v>193</v>
      </c>
    </row>
    <row r="55" spans="1:30" x14ac:dyDescent="0.25">
      <c r="A55" s="17">
        <v>193</v>
      </c>
      <c r="B55">
        <v>9.1129999999999995</v>
      </c>
      <c r="C55">
        <v>7.7610000000000001</v>
      </c>
      <c r="D55">
        <v>2.6230000000000002</v>
      </c>
      <c r="E55">
        <v>4.8540000000000001</v>
      </c>
      <c r="F55">
        <v>3.4</v>
      </c>
      <c r="G55">
        <v>1.494</v>
      </c>
      <c r="H55">
        <v>-13.355</v>
      </c>
      <c r="I55">
        <v>10.888</v>
      </c>
      <c r="J55" s="9">
        <f>chloroform!J60</f>
        <v>7.9174443894333344E-4</v>
      </c>
      <c r="K55" t="str">
        <f>chloroform!F60</f>
        <v>12C5</v>
      </c>
      <c r="M55">
        <f>0.9155*Table2[[#This Row],[J1,2]]*Table2[[#This Row],[weight]]</f>
        <v>6.6054854544989423E-3</v>
      </c>
      <c r="N55">
        <f>0.9155*Table2[[#This Row],[J2,3]]*Table2[[#This Row],[weight]]</f>
        <v>5.625499024730197E-3</v>
      </c>
      <c r="O55">
        <f>0.9155*Table2[[#This Row],[J34]]*Table2[[#This Row],[weight]]</f>
        <v>1.9012606547954272E-3</v>
      </c>
      <c r="P55">
        <f>0.9155*Table2[[#This Row],[J45]]*Table2[[#This Row],[weight]]</f>
        <v>3.5183832323206262E-3</v>
      </c>
      <c r="Q55">
        <f>0.9155*Table2[[#This Row],[J56]]*Table2[[#This Row],[weight]]</f>
        <v>2.4644629150989139E-3</v>
      </c>
      <c r="R55">
        <f>0.9155*Table2[[#This Row],[J67]]*Table2[[#This Row],[weight]]</f>
        <v>1.0829139985758169E-3</v>
      </c>
      <c r="S55">
        <f>0.9155*Table2[[#This Row],[J67'']]*Table2[[#This Row],[weight]]</f>
        <v>7.8920800645873451E-3</v>
      </c>
      <c r="T55">
        <f>0.9155*Table2[[#This Row],[J77'']]*Table2[[#This Row],[weight]]</f>
        <v>-9.6802653621017639E-3</v>
      </c>
      <c r="V55" s="13"/>
      <c r="W55" s="6">
        <v>197</v>
      </c>
    </row>
    <row r="56" spans="1:30" x14ac:dyDescent="0.25">
      <c r="A56" s="17">
        <v>197</v>
      </c>
      <c r="B56">
        <v>7.8449999999999998</v>
      </c>
      <c r="C56">
        <v>8.1020000000000003</v>
      </c>
      <c r="D56">
        <v>6.1379999999999999</v>
      </c>
      <c r="E56">
        <v>1.778</v>
      </c>
      <c r="F56">
        <v>9.8209999999999997</v>
      </c>
      <c r="G56">
        <v>8.9789999999999992</v>
      </c>
      <c r="H56">
        <v>-12.071</v>
      </c>
      <c r="I56">
        <v>1.931</v>
      </c>
      <c r="J56" s="9">
        <f>chloroform!J61</f>
        <v>0</v>
      </c>
      <c r="K56" t="str">
        <f>chloroform!F61</f>
        <v>4H6</v>
      </c>
      <c r="M56">
        <f>0.9155*Table2[[#This Row],[J1,2]]*Table2[[#This Row],[weight]]</f>
        <v>0</v>
      </c>
      <c r="N56">
        <f>0.9155*Table2[[#This Row],[J2,3]]*Table2[[#This Row],[weight]]</f>
        <v>0</v>
      </c>
      <c r="O56">
        <f>0.9155*Table2[[#This Row],[J34]]*Table2[[#This Row],[weight]]</f>
        <v>0</v>
      </c>
      <c r="P56">
        <f>0.9155*Table2[[#This Row],[J45]]*Table2[[#This Row],[weight]]</f>
        <v>0</v>
      </c>
      <c r="Q56">
        <f>0.9155*Table2[[#This Row],[J56]]*Table2[[#This Row],[weight]]</f>
        <v>0</v>
      </c>
      <c r="R56">
        <f>0.9155*Table2[[#This Row],[J67]]*Table2[[#This Row],[weight]]</f>
        <v>0</v>
      </c>
      <c r="S56">
        <f>0.9155*Table2[[#This Row],[J67'']]*Table2[[#This Row],[weight]]</f>
        <v>0</v>
      </c>
      <c r="T56">
        <f>0.9155*Table2[[#This Row],[J77'']]*Table2[[#This Row],[weight]]</f>
        <v>0</v>
      </c>
      <c r="V56" s="13"/>
      <c r="W56" s="6">
        <v>208</v>
      </c>
    </row>
    <row r="57" spans="1:30" x14ac:dyDescent="0.25">
      <c r="A57" s="16">
        <v>208</v>
      </c>
      <c r="B57">
        <v>9.3529999999999998</v>
      </c>
      <c r="C57">
        <v>2.9329999999999998</v>
      </c>
      <c r="D57">
        <v>9.4260000000000002</v>
      </c>
      <c r="E57">
        <v>11.856</v>
      </c>
      <c r="F57">
        <v>9.3699999999999992</v>
      </c>
      <c r="G57">
        <v>1.784</v>
      </c>
      <c r="H57">
        <v>-13.609</v>
      </c>
      <c r="I57">
        <v>11.305999999999999</v>
      </c>
      <c r="J57" s="9">
        <f>chloroform!J62</f>
        <v>4.031027260786241E-5</v>
      </c>
      <c r="K57" t="str">
        <f>chloroform!F62</f>
        <v>5C12</v>
      </c>
      <c r="M57">
        <f>0.9155*Table2[[#This Row],[J1,2]]*Table2[[#This Row],[weight]]</f>
        <v>3.4516362241657412E-4</v>
      </c>
      <c r="N57">
        <f>0.9155*Table2[[#This Row],[J2,3]]*Table2[[#This Row],[weight]]</f>
        <v>1.0823959206113674E-4</v>
      </c>
      <c r="O57">
        <f>0.9155*Table2[[#This Row],[J34]]*Table2[[#This Row],[weight]]</f>
        <v>3.4785761840036648E-4</v>
      </c>
      <c r="P57">
        <f>0.9155*Table2[[#This Row],[J45]]*Table2[[#This Row],[weight]]</f>
        <v>4.3753447101153669E-4</v>
      </c>
      <c r="Q57">
        <f>0.9155*Table2[[#This Row],[J56]]*Table2[[#This Row],[weight]]</f>
        <v>3.4579099134430657E-4</v>
      </c>
      <c r="R57">
        <f>0.9155*Table2[[#This Row],[J67]]*Table2[[#This Row],[weight]]</f>
        <v>6.5836833357336492E-5</v>
      </c>
      <c r="S57">
        <f>0.9155*Table2[[#This Row],[J67'']]*Table2[[#This Row],[weight]]</f>
        <v>4.1723724099666277E-4</v>
      </c>
      <c r="T57">
        <f>0.9155*Table2[[#This Row],[J77'']]*Table2[[#This Row],[weight]]</f>
        <v>-5.022272786771257E-4</v>
      </c>
      <c r="V57" s="13"/>
      <c r="W57" s="15">
        <v>212</v>
      </c>
    </row>
    <row r="58" spans="1:30" x14ac:dyDescent="0.25">
      <c r="A58" s="16">
        <v>212</v>
      </c>
      <c r="B58">
        <v>8.9760000000000009</v>
      </c>
      <c r="C58">
        <v>7.8949999999999996</v>
      </c>
      <c r="D58">
        <v>2.1339999999999999</v>
      </c>
      <c r="E58">
        <v>4.5999999999999996</v>
      </c>
      <c r="F58">
        <v>3.6429999999999998</v>
      </c>
      <c r="G58">
        <v>1.893</v>
      </c>
      <c r="H58">
        <v>-12.87</v>
      </c>
      <c r="I58">
        <v>11.224</v>
      </c>
      <c r="J58" s="9">
        <f>chloroform!J63</f>
        <v>1.5952729737975731E-4</v>
      </c>
      <c r="K58" t="str">
        <f>chloroform!F63</f>
        <v>12C5</v>
      </c>
      <c r="M58">
        <f>0.9155*Table2[[#This Row],[J1,2]]*Table2[[#This Row],[weight]]</f>
        <v>1.3109200329824826E-3</v>
      </c>
      <c r="N58">
        <f>0.9155*Table2[[#This Row],[J2,3]]*Table2[[#This Row],[weight]]</f>
        <v>1.1530429657304697E-3</v>
      </c>
      <c r="O58">
        <f>0.9155*Table2[[#This Row],[J34]]*Table2[[#This Row],[weight]]</f>
        <v>3.1166481176299213E-4</v>
      </c>
      <c r="P58">
        <f>0.9155*Table2[[#This Row],[J45]]*Table2[[#This Row],[weight]]</f>
        <v>6.7181730745537193E-4</v>
      </c>
      <c r="Q58">
        <f>0.9155*Table2[[#This Row],[J56]]*Table2[[#This Row],[weight]]</f>
        <v>5.3205009805650427E-4</v>
      </c>
      <c r="R58">
        <f>0.9155*Table2[[#This Row],[J67]]*Table2[[#This Row],[weight]]</f>
        <v>2.7646742674196069E-4</v>
      </c>
      <c r="S58">
        <f>0.9155*Table2[[#This Row],[J67'']]*Table2[[#This Row],[weight]]</f>
        <v>1.6392342301911078E-3</v>
      </c>
      <c r="T58">
        <f>0.9155*Table2[[#This Row],[J77'']]*Table2[[#This Row],[weight]]</f>
        <v>-1.8796279884675296E-3</v>
      </c>
      <c r="V58" s="13"/>
      <c r="W58" s="15">
        <v>215</v>
      </c>
    </row>
    <row r="59" spans="1:30" x14ac:dyDescent="0.25">
      <c r="A59" s="16">
        <v>215</v>
      </c>
      <c r="B59">
        <v>9.093</v>
      </c>
      <c r="C59">
        <v>8.0120000000000005</v>
      </c>
      <c r="D59">
        <v>2.827</v>
      </c>
      <c r="E59">
        <v>4.9349999999999996</v>
      </c>
      <c r="F59">
        <v>3.2650000000000001</v>
      </c>
      <c r="G59">
        <v>1.4370000000000001</v>
      </c>
      <c r="H59">
        <v>-13.628</v>
      </c>
      <c r="I59">
        <v>10.891999999999999</v>
      </c>
      <c r="J59" s="9">
        <f>chloroform!J64</f>
        <v>9.8998590065562005E-4</v>
      </c>
      <c r="K59" t="str">
        <f>chloroform!F64</f>
        <v>12C5</v>
      </c>
      <c r="M59">
        <f>0.9155*Table2[[#This Row],[J1,2]]*Table2[[#This Row],[weight]]</f>
        <v>8.2412777130126524E-3</v>
      </c>
      <c r="N59">
        <f>0.9155*Table2[[#This Row],[J2,3]]*Table2[[#This Row],[weight]]</f>
        <v>7.2615327215063644E-3</v>
      </c>
      <c r="O59">
        <f>0.9155*Table2[[#This Row],[J34]]*Table2[[#This Row],[weight]]</f>
        <v>2.5622008242259724E-3</v>
      </c>
      <c r="P59">
        <f>0.9155*Table2[[#This Row],[J45]]*Table2[[#This Row],[weight]]</f>
        <v>4.4727488742678356E-3</v>
      </c>
      <c r="Q59">
        <f>0.9155*Table2[[#This Row],[J56]]*Table2[[#This Row],[weight]]</f>
        <v>2.9591742805439689E-3</v>
      </c>
      <c r="R59">
        <f>0.9155*Table2[[#This Row],[J67]]*Table2[[#This Row],[weight]]</f>
        <v>1.3023992162761663E-3</v>
      </c>
      <c r="S59">
        <f>0.9155*Table2[[#This Row],[J67'']]*Table2[[#This Row],[weight]]</f>
        <v>9.8717691466109966E-3</v>
      </c>
      <c r="T59">
        <f>0.9155*Table2[[#This Row],[J77'']]*Table2[[#This Row],[weight]]</f>
        <v>-1.23514937504604E-2</v>
      </c>
      <c r="V59" s="13"/>
      <c r="W59" s="15">
        <v>219</v>
      </c>
    </row>
    <row r="60" spans="1:30" x14ac:dyDescent="0.25">
      <c r="A60" s="16">
        <v>219</v>
      </c>
      <c r="B60">
        <v>9.7249999999999996</v>
      </c>
      <c r="C60">
        <v>7.1920000000000002</v>
      </c>
      <c r="D60">
        <v>2.306</v>
      </c>
      <c r="E60">
        <v>6.1420000000000003</v>
      </c>
      <c r="F60">
        <v>3.9159999999999999</v>
      </c>
      <c r="G60">
        <v>0.90700000000000003</v>
      </c>
      <c r="H60">
        <v>-14.128</v>
      </c>
      <c r="I60">
        <v>11.035</v>
      </c>
      <c r="J60" s="9">
        <f>chloroform!J65</f>
        <v>6.4945168979610465E-5</v>
      </c>
      <c r="K60" t="str">
        <f>chloroform!F65</f>
        <v>12C5</v>
      </c>
      <c r="M60">
        <f>0.9155*Table2[[#This Row],[J1,2]]*Table2[[#This Row],[weight]]</f>
        <v>5.7822226390310465E-4</v>
      </c>
      <c r="N60">
        <f>0.9155*Table2[[#This Row],[J2,3]]*Table2[[#This Row],[weight]]</f>
        <v>4.2761691742839369E-4</v>
      </c>
      <c r="O60">
        <f>0.9155*Table2[[#This Row],[J34]]*Table2[[#This Row],[weight]]</f>
        <v>1.3710853887512179E-4</v>
      </c>
      <c r="P60">
        <f>0.9155*Table2[[#This Row],[J45]]*Table2[[#This Row],[weight]]</f>
        <v>3.6518675011751865E-4</v>
      </c>
      <c r="Q60">
        <f>0.9155*Table2[[#This Row],[J56]]*Table2[[#This Row],[weight]]</f>
        <v>2.328347954184635E-4</v>
      </c>
      <c r="R60">
        <f>0.9155*Table2[[#This Row],[J67]]*Table2[[#This Row],[weight]]</f>
        <v>5.3927773096155873E-5</v>
      </c>
      <c r="S60">
        <f>0.9155*Table2[[#This Row],[J67'']]*Table2[[#This Row],[weight]]</f>
        <v>6.5611132978619642E-4</v>
      </c>
      <c r="T60">
        <f>0.9155*Table2[[#This Row],[J77'']]*Table2[[#This Row],[weight]]</f>
        <v>-8.4001276549337399E-4</v>
      </c>
      <c r="V60" s="13"/>
      <c r="W60">
        <v>220</v>
      </c>
    </row>
    <row r="61" spans="1:30" x14ac:dyDescent="0.25">
      <c r="A61" s="16">
        <v>220</v>
      </c>
      <c r="B61">
        <v>9.9260000000000002</v>
      </c>
      <c r="C61">
        <v>5.8330000000000002</v>
      </c>
      <c r="D61">
        <v>0.61599999999999999</v>
      </c>
      <c r="E61">
        <v>4.4269999999999996</v>
      </c>
      <c r="F61">
        <v>4.6479999999999997</v>
      </c>
      <c r="G61">
        <v>5.8810000000000002</v>
      </c>
      <c r="H61">
        <v>-14.12</v>
      </c>
      <c r="I61">
        <v>0.35099999999999998</v>
      </c>
      <c r="J61" s="9">
        <f>chloroform!J66</f>
        <v>0</v>
      </c>
      <c r="K61" t="str">
        <f>chloroform!F66</f>
        <v>12C5</v>
      </c>
      <c r="M61">
        <f>0.9155*Table2[[#This Row],[J1,2]]*Table2[[#This Row],[weight]]</f>
        <v>0</v>
      </c>
      <c r="N61">
        <f>0.9155*Table2[[#This Row],[J2,3]]*Table2[[#This Row],[weight]]</f>
        <v>0</v>
      </c>
      <c r="O61">
        <f>0.9155*Table2[[#This Row],[J34]]*Table2[[#This Row],[weight]]</f>
        <v>0</v>
      </c>
      <c r="P61">
        <f>0.9155*Table2[[#This Row],[J45]]*Table2[[#This Row],[weight]]</f>
        <v>0</v>
      </c>
      <c r="Q61">
        <f>0.9155*Table2[[#This Row],[J56]]*Table2[[#This Row],[weight]]</f>
        <v>0</v>
      </c>
      <c r="R61">
        <f>0.9155*Table2[[#This Row],[J67]]*Table2[[#This Row],[weight]]</f>
        <v>0</v>
      </c>
      <c r="S61">
        <f>0.9155*Table2[[#This Row],[J67'']]*Table2[[#This Row],[weight]]</f>
        <v>0</v>
      </c>
      <c r="T61">
        <f>0.9155*Table2[[#This Row],[J77'']]*Table2[[#This Row],[weight]]</f>
        <v>0</v>
      </c>
      <c r="V61" s="13"/>
      <c r="W61">
        <v>241</v>
      </c>
    </row>
    <row r="62" spans="1:30" x14ac:dyDescent="0.25">
      <c r="A62" s="16">
        <v>241</v>
      </c>
      <c r="B62">
        <v>9.1530000000000005</v>
      </c>
      <c r="C62">
        <v>7.7469999999999999</v>
      </c>
      <c r="D62">
        <v>2.589</v>
      </c>
      <c r="E62">
        <v>4.9530000000000003</v>
      </c>
      <c r="F62">
        <v>3.5190000000000001</v>
      </c>
      <c r="G62">
        <v>1.2230000000000001</v>
      </c>
      <c r="H62">
        <v>-14.904999999999999</v>
      </c>
      <c r="I62">
        <v>11.329000000000001</v>
      </c>
      <c r="J62" s="9">
        <f>chloroform!J67</f>
        <v>7.9216907870402367E-4</v>
      </c>
      <c r="K62" t="str">
        <f>chloroform!F67</f>
        <v>12C5</v>
      </c>
      <c r="M62">
        <f>0.9155*Table2[[#This Row],[J1,2]]*Table2[[#This Row],[weight]]</f>
        <v>6.6380374350894942E-3</v>
      </c>
      <c r="N62">
        <f>0.9155*Table2[[#This Row],[J2,3]]*Table2[[#This Row],[weight]]</f>
        <v>5.6183629421652252E-3</v>
      </c>
      <c r="O62">
        <f>0.9155*Table2[[#This Row],[J34]]*Table2[[#This Row],[weight]]</f>
        <v>1.8776225193320984E-3</v>
      </c>
      <c r="P62">
        <f>0.9155*Table2[[#This Row],[J45]]*Table2[[#This Row],[weight]]</f>
        <v>3.5920681105646524E-3</v>
      </c>
      <c r="Q62">
        <f>0.9155*Table2[[#This Row],[J56]]*Table2[[#This Row],[weight]]</f>
        <v>2.552087155476885E-3</v>
      </c>
      <c r="R62">
        <f>0.9155*Table2[[#This Row],[J67]]*Table2[[#This Row],[weight]]</f>
        <v>8.8695725806997171E-4</v>
      </c>
      <c r="S62">
        <f>0.9155*Table2[[#This Row],[J67'']]*Table2[[#This Row],[weight]]</f>
        <v>8.2161396375099831E-3</v>
      </c>
      <c r="T62">
        <f>0.9155*Table2[[#This Row],[J77'']]*Table2[[#This Row],[weight]]</f>
        <v>-1.0809564948105418E-2</v>
      </c>
      <c r="V62" s="13"/>
      <c r="W62">
        <v>272</v>
      </c>
    </row>
    <row r="63" spans="1:30" x14ac:dyDescent="0.25">
      <c r="A63" s="16">
        <v>272</v>
      </c>
      <c r="B63">
        <v>6.8360000000000003</v>
      </c>
      <c r="C63">
        <v>3.69</v>
      </c>
      <c r="D63">
        <v>12.138999999999999</v>
      </c>
      <c r="E63">
        <v>10.254</v>
      </c>
      <c r="F63">
        <v>11.066000000000001</v>
      </c>
      <c r="G63">
        <v>2.4900000000000002</v>
      </c>
      <c r="H63">
        <v>-12.907999999999999</v>
      </c>
      <c r="I63">
        <v>1.468</v>
      </c>
      <c r="J63" s="9">
        <f>chloroform!J68</f>
        <v>1.1084755555817298E-4</v>
      </c>
      <c r="K63" t="str">
        <f>chloroform!F68</f>
        <v>5C12</v>
      </c>
      <c r="M63">
        <f>0.9155*Table2[[#This Row],[J1,2]]*Table2[[#This Row],[weight]]</f>
        <v>6.9372368610793635E-4</v>
      </c>
      <c r="N63">
        <f>0.9155*Table2[[#This Row],[J2,3]]*Table2[[#This Row],[weight]]</f>
        <v>3.7446465794884219E-4</v>
      </c>
      <c r="O63">
        <f>0.9155*Table2[[#This Row],[J34]]*Table2[[#This Row],[weight]]</f>
        <v>1.231877095620866E-3</v>
      </c>
      <c r="P63">
        <f>0.9155*Table2[[#This Row],[J45]]*Table2[[#This Row],[weight]]</f>
        <v>1.0405855291619045E-3</v>
      </c>
      <c r="Q63">
        <f>0.9155*Table2[[#This Row],[J56]]*Table2[[#This Row],[weight]]</f>
        <v>1.1229880500980727E-3</v>
      </c>
      <c r="R63">
        <f>0.9155*Table2[[#This Row],[J67]]*Table2[[#This Row],[weight]]</f>
        <v>2.5268753341263332E-4</v>
      </c>
      <c r="S63">
        <f>0.9155*Table2[[#This Row],[J67'']]*Table2[[#This Row],[weight]]</f>
        <v>1.4897401568262879E-4</v>
      </c>
      <c r="T63">
        <f>0.9155*Table2[[#This Row],[J77'']]*Table2[[#This Row],[weight]]</f>
        <v>-1.3099159362611531E-3</v>
      </c>
      <c r="V63" s="13"/>
      <c r="W63">
        <v>276</v>
      </c>
    </row>
    <row r="64" spans="1:30" x14ac:dyDescent="0.25">
      <c r="A64" s="16">
        <v>276</v>
      </c>
      <c r="B64">
        <v>7.8159999999999998</v>
      </c>
      <c r="C64">
        <v>8.5660000000000007</v>
      </c>
      <c r="D64">
        <v>6.1180000000000003</v>
      </c>
      <c r="E64">
        <v>1.002</v>
      </c>
      <c r="F64">
        <v>10.753</v>
      </c>
      <c r="G64">
        <v>2.1549999999999998</v>
      </c>
      <c r="H64">
        <v>-13.507999999999999</v>
      </c>
      <c r="I64">
        <v>1.6220000000000001</v>
      </c>
      <c r="J64" s="9">
        <f>chloroform!J69</f>
        <v>3.822372900299207E-5</v>
      </c>
      <c r="K64" t="str">
        <f>chloroform!F69</f>
        <v>4H6</v>
      </c>
      <c r="M64">
        <f>0.9155*Table2[[#This Row],[J1,2]]*Table2[[#This Row],[weight]]</f>
        <v>2.7351172761990188E-4</v>
      </c>
      <c r="N64">
        <f>0.9155*Table2[[#This Row],[J2,3]]*Table2[[#This Row],[weight]]</f>
        <v>2.9975709554658133E-4</v>
      </c>
      <c r="O64">
        <f>0.9155*Table2[[#This Row],[J34]]*Table2[[#This Row],[weight]]</f>
        <v>2.1409221463389969E-4</v>
      </c>
      <c r="P64">
        <f>0.9155*Table2[[#This Row],[J45]]*Table2[[#This Row],[weight]]</f>
        <v>3.5063811550043719E-5</v>
      </c>
      <c r="Q64">
        <f>0.9155*Table2[[#This Row],[J56]]*Table2[[#This Row],[weight]]</f>
        <v>3.7628858842077853E-4</v>
      </c>
      <c r="R64">
        <f>0.9155*Table2[[#This Row],[J67]]*Table2[[#This Row],[weight]]</f>
        <v>7.5411690509325554E-5</v>
      </c>
      <c r="S64">
        <f>0.9155*Table2[[#This Row],[J67'']]*Table2[[#This Row],[weight]]</f>
        <v>5.6759982369432047E-5</v>
      </c>
      <c r="T64">
        <f>0.9155*Table2[[#This Row],[J77'']]*Table2[[#This Row],[weight]]</f>
        <v>-4.7269657327144761E-4</v>
      </c>
      <c r="V64" s="13"/>
      <c r="W64">
        <v>278</v>
      </c>
    </row>
    <row r="65" spans="1:28" x14ac:dyDescent="0.25">
      <c r="A65" s="16">
        <v>278</v>
      </c>
      <c r="B65">
        <v>9.4280000000000008</v>
      </c>
      <c r="C65">
        <v>2.9249999999999998</v>
      </c>
      <c r="D65">
        <v>9.5860000000000003</v>
      </c>
      <c r="E65">
        <v>11.978999999999999</v>
      </c>
      <c r="F65">
        <v>9.7940000000000005</v>
      </c>
      <c r="G65">
        <v>10.282</v>
      </c>
      <c r="H65">
        <v>-11.757999999999999</v>
      </c>
      <c r="I65">
        <v>2.0059999999999998</v>
      </c>
      <c r="J65" s="9">
        <f>chloroform!J70</f>
        <v>0</v>
      </c>
      <c r="K65" t="str">
        <f>chloroform!F70</f>
        <v>5C12</v>
      </c>
      <c r="M65">
        <f>0.9155*Table2[[#This Row],[J1,2]]*Table2[[#This Row],[weight]]</f>
        <v>0</v>
      </c>
      <c r="N65">
        <f>0.9155*Table2[[#This Row],[J2,3]]*Table2[[#This Row],[weight]]</f>
        <v>0</v>
      </c>
      <c r="O65">
        <f>0.9155*Table2[[#This Row],[J34]]*Table2[[#This Row],[weight]]</f>
        <v>0</v>
      </c>
      <c r="P65">
        <f>0.9155*Table2[[#This Row],[J45]]*Table2[[#This Row],[weight]]</f>
        <v>0</v>
      </c>
      <c r="Q65">
        <f>0.9155*Table2[[#This Row],[J56]]*Table2[[#This Row],[weight]]</f>
        <v>0</v>
      </c>
      <c r="R65">
        <f>0.9155*Table2[[#This Row],[J67]]*Table2[[#This Row],[weight]]</f>
        <v>0</v>
      </c>
      <c r="S65">
        <f>0.9155*Table2[[#This Row],[J67'']]*Table2[[#This Row],[weight]]</f>
        <v>0</v>
      </c>
      <c r="T65">
        <f>0.9155*Table2[[#This Row],[J77'']]*Table2[[#This Row],[weight]]</f>
        <v>0</v>
      </c>
      <c r="V65" s="13"/>
      <c r="W65">
        <v>283</v>
      </c>
    </row>
    <row r="66" spans="1:28" x14ac:dyDescent="0.25">
      <c r="A66" s="16">
        <v>283</v>
      </c>
      <c r="B66">
        <v>6.9189999999999996</v>
      </c>
      <c r="C66">
        <v>3.4630000000000001</v>
      </c>
      <c r="D66">
        <v>10.888</v>
      </c>
      <c r="E66">
        <v>10.045</v>
      </c>
      <c r="F66">
        <v>10.724</v>
      </c>
      <c r="G66">
        <v>11.218</v>
      </c>
      <c r="H66">
        <v>-13.159000000000001</v>
      </c>
      <c r="I66">
        <v>2.1509999999999998</v>
      </c>
      <c r="J66" s="9">
        <f>chloroform!J71</f>
        <v>6.6818504297804467E-5</v>
      </c>
      <c r="K66" t="str">
        <f>chloroform!F71</f>
        <v>5C12</v>
      </c>
      <c r="M66">
        <f>0.9155*Table2[[#This Row],[J1,2]]*Table2[[#This Row],[weight]]</f>
        <v>4.2325142519702405E-4</v>
      </c>
      <c r="N66">
        <f>0.9155*Table2[[#This Row],[J2,3]]*Table2[[#This Row],[weight]]</f>
        <v>2.1183981579090829E-4</v>
      </c>
      <c r="O66">
        <f>0.9155*Table2[[#This Row],[J34]]*Table2[[#This Row],[weight]]</f>
        <v>6.6604444537436019E-4</v>
      </c>
      <c r="P66">
        <f>0.9155*Table2[[#This Row],[J45]]*Table2[[#This Row],[weight]]</f>
        <v>6.144761621772087E-4</v>
      </c>
      <c r="Q66">
        <f>0.9155*Table2[[#This Row],[J56]]*Table2[[#This Row],[weight]]</f>
        <v>6.5601218150207919E-4</v>
      </c>
      <c r="R66">
        <f>0.9155*Table2[[#This Row],[J67]]*Table2[[#This Row],[weight]]</f>
        <v>6.8623131780029133E-4</v>
      </c>
      <c r="S66">
        <f>0.9155*Table2[[#This Row],[J67'']]*Table2[[#This Row],[weight]]</f>
        <v>1.315817048126606E-4</v>
      </c>
      <c r="T66">
        <f>0.9155*Table2[[#This Row],[J77'']]*Table2[[#This Row],[weight]]</f>
        <v>-8.0496683106917773E-4</v>
      </c>
      <c r="V66" s="13"/>
      <c r="W66">
        <v>290</v>
      </c>
    </row>
    <row r="67" spans="1:28" x14ac:dyDescent="0.25">
      <c r="A67" s="16">
        <v>290</v>
      </c>
      <c r="B67">
        <v>7.5730000000000004</v>
      </c>
      <c r="C67">
        <v>8.327</v>
      </c>
      <c r="D67">
        <v>6.367</v>
      </c>
      <c r="E67">
        <v>1.2649999999999999</v>
      </c>
      <c r="F67">
        <v>9.9410000000000007</v>
      </c>
      <c r="G67">
        <v>11.356</v>
      </c>
      <c r="H67">
        <v>-12.144</v>
      </c>
      <c r="I67">
        <v>2.9430000000000001</v>
      </c>
      <c r="J67" s="9">
        <f>chloroform!J72</f>
        <v>0</v>
      </c>
      <c r="K67" t="str">
        <f>chloroform!F72</f>
        <v>4H6</v>
      </c>
      <c r="M67">
        <f>0.9155*Table2[[#This Row],[J1,2]]*Table2[[#This Row],[weight]]</f>
        <v>0</v>
      </c>
      <c r="N67">
        <f>0.9155*Table2[[#This Row],[J2,3]]*Table2[[#This Row],[weight]]</f>
        <v>0</v>
      </c>
      <c r="O67">
        <f>0.9155*Table2[[#This Row],[J34]]*Table2[[#This Row],[weight]]</f>
        <v>0</v>
      </c>
      <c r="P67">
        <f>0.9155*Table2[[#This Row],[J45]]*Table2[[#This Row],[weight]]</f>
        <v>0</v>
      </c>
      <c r="Q67">
        <f>0.9155*Table2[[#This Row],[J56]]*Table2[[#This Row],[weight]]</f>
        <v>0</v>
      </c>
      <c r="R67">
        <f>0.9155*Table2[[#This Row],[J67]]*Table2[[#This Row],[weight]]</f>
        <v>0</v>
      </c>
      <c r="S67">
        <f>0.9155*Table2[[#This Row],[J67'']]*Table2[[#This Row],[weight]]</f>
        <v>0</v>
      </c>
      <c r="T67">
        <f>0.9155*Table2[[#This Row],[J77'']]*Table2[[#This Row],[weight]]</f>
        <v>0</v>
      </c>
      <c r="V67" s="13"/>
      <c r="W67">
        <v>333</v>
      </c>
    </row>
    <row r="68" spans="1:28" x14ac:dyDescent="0.25">
      <c r="A68" s="16">
        <v>333</v>
      </c>
      <c r="B68">
        <v>7.4660000000000002</v>
      </c>
      <c r="C68">
        <v>5.6509999999999998</v>
      </c>
      <c r="D68">
        <v>9.8309999999999995</v>
      </c>
      <c r="E68">
        <v>12.021000000000001</v>
      </c>
      <c r="F68">
        <v>6.8220000000000001</v>
      </c>
      <c r="G68">
        <v>13.111000000000001</v>
      </c>
      <c r="H68">
        <v>-11.866</v>
      </c>
      <c r="I68">
        <v>5.2990000000000004</v>
      </c>
      <c r="J68" s="9">
        <f>chloroform!J73</f>
        <v>0</v>
      </c>
      <c r="K68" t="str">
        <f>chloroform!F73</f>
        <v>56TH</v>
      </c>
      <c r="M68">
        <f>0.9155*Table2[[#This Row],[J1,2]]*Table2[[#This Row],[weight]]</f>
        <v>0</v>
      </c>
      <c r="N68">
        <f>0.9155*Table2[[#This Row],[J2,3]]*Table2[[#This Row],[weight]]</f>
        <v>0</v>
      </c>
      <c r="O68">
        <f>0.9155*Table2[[#This Row],[J34]]*Table2[[#This Row],[weight]]</f>
        <v>0</v>
      </c>
      <c r="P68">
        <f>0.9155*Table2[[#This Row],[J45]]*Table2[[#This Row],[weight]]</f>
        <v>0</v>
      </c>
      <c r="Q68">
        <f>0.9155*Table2[[#This Row],[J56]]*Table2[[#This Row],[weight]]</f>
        <v>0</v>
      </c>
      <c r="R68">
        <f>0.9155*Table2[[#This Row],[J67]]*Table2[[#This Row],[weight]]</f>
        <v>0</v>
      </c>
      <c r="S68">
        <f>0.9155*Table2[[#This Row],[J67'']]*Table2[[#This Row],[weight]]</f>
        <v>0</v>
      </c>
      <c r="T68">
        <f>0.9155*Table2[[#This Row],[J77'']]*Table2[[#This Row],[weight]]</f>
        <v>0</v>
      </c>
      <c r="V68" s="14"/>
      <c r="W68">
        <v>373</v>
      </c>
    </row>
    <row r="69" spans="1:28" x14ac:dyDescent="0.25">
      <c r="A69" s="16">
        <v>373</v>
      </c>
      <c r="B69">
        <v>7.6929999999999996</v>
      </c>
      <c r="C69">
        <v>8.3089999999999993</v>
      </c>
      <c r="D69">
        <v>6.141</v>
      </c>
      <c r="E69">
        <v>1.3120000000000001</v>
      </c>
      <c r="F69">
        <v>11.090999999999999</v>
      </c>
      <c r="G69">
        <v>1.319</v>
      </c>
      <c r="H69">
        <v>-13.228999999999999</v>
      </c>
      <c r="I69">
        <v>11.021000000000001</v>
      </c>
      <c r="J69" s="9">
        <f>chloroform!J74</f>
        <v>0</v>
      </c>
      <c r="K69" t="str">
        <f>chloroform!F74</f>
        <v>4H6</v>
      </c>
      <c r="M69">
        <f>0.9155*Table2[[#This Row],[J1,2]]*Table2[[#This Row],[weight]]</f>
        <v>0</v>
      </c>
      <c r="N69">
        <f>0.9155*Table2[[#This Row],[J2,3]]*Table2[[#This Row],[weight]]</f>
        <v>0</v>
      </c>
      <c r="O69">
        <f>0.9155*Table2[[#This Row],[J34]]*Table2[[#This Row],[weight]]</f>
        <v>0</v>
      </c>
      <c r="P69">
        <f>0.9155*Table2[[#This Row],[J45]]*Table2[[#This Row],[weight]]</f>
        <v>0</v>
      </c>
      <c r="Q69">
        <f>0.9155*Table2[[#This Row],[J56]]*Table2[[#This Row],[weight]]</f>
        <v>0</v>
      </c>
      <c r="R69">
        <f>0.9155*Table2[[#This Row],[J67]]*Table2[[#This Row],[weight]]</f>
        <v>0</v>
      </c>
      <c r="S69">
        <f>0.9155*Table2[[#This Row],[J67'']]*Table2[[#This Row],[weight]]</f>
        <v>0</v>
      </c>
      <c r="T69">
        <f>0.9155*Table2[[#This Row],[J77'']]*Table2[[#This Row],[weight]]</f>
        <v>0</v>
      </c>
    </row>
    <row r="70" spans="1:28" x14ac:dyDescent="0.25">
      <c r="A70" s="16">
        <v>396</v>
      </c>
      <c r="B70">
        <v>7.6760000000000002</v>
      </c>
      <c r="C70">
        <v>8.3049999999999997</v>
      </c>
      <c r="D70">
        <v>6.2050000000000001</v>
      </c>
      <c r="E70">
        <v>1.274</v>
      </c>
      <c r="F70">
        <v>10.272</v>
      </c>
      <c r="G70">
        <v>11.433999999999999</v>
      </c>
      <c r="H70">
        <v>-11.637</v>
      </c>
      <c r="I70">
        <v>4.8479999999999999</v>
      </c>
      <c r="J70" s="9">
        <f>chloroform!J75</f>
        <v>0</v>
      </c>
      <c r="K70" t="str">
        <f>chloroform!F75</f>
        <v>4H6</v>
      </c>
      <c r="M70">
        <f>0.9155*Table2[[#This Row],[J1,2]]*Table2[[#This Row],[weight]]</f>
        <v>0</v>
      </c>
      <c r="N70">
        <f>0.9155*Table2[[#This Row],[J2,3]]*Table2[[#This Row],[weight]]</f>
        <v>0</v>
      </c>
      <c r="O70">
        <f>0.9155*Table2[[#This Row],[J34]]*Table2[[#This Row],[weight]]</f>
        <v>0</v>
      </c>
      <c r="P70">
        <f>0.9155*Table2[[#This Row],[J45]]*Table2[[#This Row],[weight]]</f>
        <v>0</v>
      </c>
      <c r="Q70">
        <f>0.9155*Table2[[#This Row],[J56]]*Table2[[#This Row],[weight]]</f>
        <v>0</v>
      </c>
      <c r="R70">
        <f>0.9155*Table2[[#This Row],[J67]]*Table2[[#This Row],[weight]]</f>
        <v>0</v>
      </c>
      <c r="S70">
        <f>0.9155*Table2[[#This Row],[J67'']]*Table2[[#This Row],[weight]]</f>
        <v>0</v>
      </c>
      <c r="T70">
        <f>0.9155*Table2[[#This Row],[J77'']]*Table2[[#This Row],[weight]]</f>
        <v>0</v>
      </c>
    </row>
    <row r="71" spans="1:28" x14ac:dyDescent="0.25">
      <c r="M71">
        <f>SUM(M2:M70)</f>
        <v>7.4323237706080914</v>
      </c>
      <c r="N71">
        <f t="shared" ref="N71:T71" si="1">SUM(N2:N70)</f>
        <v>7.4910695962966498</v>
      </c>
      <c r="O71">
        <f t="shared" si="1"/>
        <v>5.2107945273132721</v>
      </c>
      <c r="P71">
        <f t="shared" si="1"/>
        <v>2.4942223830748937</v>
      </c>
      <c r="Q71">
        <f t="shared" si="1"/>
        <v>10.325611551675987</v>
      </c>
      <c r="R71">
        <f t="shared" si="1"/>
        <v>1.6580504771205604</v>
      </c>
      <c r="S71">
        <f t="shared" si="1"/>
        <v>4.8573893624499478</v>
      </c>
      <c r="T71">
        <f t="shared" si="1"/>
        <v>-12.280907260818553</v>
      </c>
      <c r="V71">
        <v>7.4319005191828946</v>
      </c>
      <c r="W71">
        <v>7.4908577564808585</v>
      </c>
      <c r="X71">
        <v>5.2101284828678978</v>
      </c>
      <c r="Y71">
        <v>2.4936079069127164</v>
      </c>
      <c r="Z71">
        <v>10.324955539494486</v>
      </c>
      <c r="AA71">
        <v>1.6573642458027602</v>
      </c>
      <c r="AB71">
        <v>4.8572577807451349</v>
      </c>
    </row>
    <row r="72" spans="1:28" x14ac:dyDescent="0.25">
      <c r="M72">
        <v>6.95</v>
      </c>
      <c r="N72" s="5">
        <v>6.15</v>
      </c>
      <c r="O72" s="5">
        <v>5.73</v>
      </c>
      <c r="P72" s="5">
        <v>4.0999999999999996</v>
      </c>
      <c r="Q72" s="5">
        <v>9.66</v>
      </c>
      <c r="R72">
        <v>2.23</v>
      </c>
      <c r="S72">
        <v>5.15</v>
      </c>
      <c r="T72">
        <v>-12.36</v>
      </c>
    </row>
    <row r="73" spans="1:28" x14ac:dyDescent="0.25">
      <c r="R73" t="s">
        <v>43</v>
      </c>
      <c r="S73">
        <f>SQRT(SUMXMY2(M71:S71,M72:S72)/7)</f>
        <v>0.90514291999696039</v>
      </c>
      <c r="V73" s="6">
        <v>7.4319005191828946</v>
      </c>
    </row>
    <row r="74" spans="1:28" x14ac:dyDescent="0.25">
      <c r="J74" s="4"/>
      <c r="S74">
        <f>SQRT(SUMXMY2(M71:Q71,M72:Q72)/5)</f>
        <v>1.0317207662361847</v>
      </c>
      <c r="V74" s="6">
        <v>7.4908577564808585</v>
      </c>
    </row>
    <row r="75" spans="1:28" x14ac:dyDescent="0.25">
      <c r="M75">
        <v>7.4323237706080914</v>
      </c>
      <c r="N75">
        <v>7.4910695962966498</v>
      </c>
      <c r="O75">
        <v>5.2107945273132721</v>
      </c>
      <c r="P75">
        <v>2.4942223830748937</v>
      </c>
      <c r="Q75">
        <v>10.325611551675987</v>
      </c>
      <c r="R75">
        <v>1.6580504771205604</v>
      </c>
      <c r="S75">
        <v>4.8573893624499478</v>
      </c>
      <c r="T75">
        <v>-12.280907260818553</v>
      </c>
      <c r="V75" s="6">
        <v>5.2101284828678978</v>
      </c>
    </row>
    <row r="76" spans="1:28" x14ac:dyDescent="0.25">
      <c r="D76" s="6">
        <v>7.497160637869781</v>
      </c>
      <c r="M76">
        <v>6.95</v>
      </c>
      <c r="N76">
        <v>6.15</v>
      </c>
      <c r="O76">
        <v>5.73</v>
      </c>
      <c r="P76">
        <v>4.0999999999999996</v>
      </c>
      <c r="Q76">
        <v>9.66</v>
      </c>
      <c r="R76">
        <v>2.23</v>
      </c>
      <c r="S76">
        <v>5.15</v>
      </c>
      <c r="T76">
        <v>-12.36</v>
      </c>
      <c r="V76" s="6">
        <v>2.4936079069127164</v>
      </c>
    </row>
    <row r="77" spans="1:28" x14ac:dyDescent="0.25">
      <c r="D77" s="6">
        <v>7.6060388017922413</v>
      </c>
      <c r="I77">
        <v>7.497160637869781</v>
      </c>
      <c r="J77">
        <v>7.6060388017922413</v>
      </c>
      <c r="K77">
        <v>5.0074564876252703</v>
      </c>
      <c r="L77">
        <v>2.6595498754283402</v>
      </c>
      <c r="M77">
        <v>9.4441019639862187</v>
      </c>
      <c r="N77">
        <v>1.9912320869411237</v>
      </c>
      <c r="O77">
        <v>4.6387407131026563</v>
      </c>
      <c r="P77">
        <v>-12.251622093605597</v>
      </c>
      <c r="V77" s="6">
        <v>10.324955539494486</v>
      </c>
    </row>
    <row r="78" spans="1:28" x14ac:dyDescent="0.25">
      <c r="D78" s="6">
        <v>5.0074564876252703</v>
      </c>
      <c r="M78">
        <v>7.3619040248002277</v>
      </c>
      <c r="N78">
        <v>4.380939398929562</v>
      </c>
      <c r="O78">
        <v>2.3400946817439134</v>
      </c>
      <c r="P78">
        <v>4.5845820776339199</v>
      </c>
      <c r="Q78">
        <v>9.8376003740782547</v>
      </c>
      <c r="R78">
        <v>2.318450132026475</v>
      </c>
      <c r="S78">
        <v>3.8353975985475173</v>
      </c>
      <c r="V78" s="6">
        <v>1.6573642458027602</v>
      </c>
    </row>
    <row r="79" spans="1:28" x14ac:dyDescent="0.25">
      <c r="D79" s="6">
        <v>2.6595498754283402</v>
      </c>
      <c r="M79">
        <v>6.8367000000000004</v>
      </c>
      <c r="N79">
        <v>3.44</v>
      </c>
      <c r="O79">
        <v>1.77</v>
      </c>
      <c r="P79">
        <v>4.0999999999999996</v>
      </c>
      <c r="Q79">
        <v>8.9</v>
      </c>
      <c r="R79">
        <v>2.54</v>
      </c>
      <c r="S79">
        <v>6.31</v>
      </c>
      <c r="V79" s="6">
        <v>4.8572577807451349</v>
      </c>
    </row>
    <row r="80" spans="1:28" x14ac:dyDescent="0.25">
      <c r="D80" s="6">
        <v>9.4441019639862187</v>
      </c>
    </row>
    <row r="81" spans="4:18" x14ac:dyDescent="0.25">
      <c r="D81" s="6">
        <v>1.9912320869411237</v>
      </c>
      <c r="L81">
        <v>7.4323237706080914</v>
      </c>
      <c r="M81">
        <v>7.4910695962966498</v>
      </c>
      <c r="N81">
        <v>5.2107945273132721</v>
      </c>
      <c r="O81">
        <v>2.4942223830748937</v>
      </c>
      <c r="P81">
        <v>10.325611551675987</v>
      </c>
      <c r="Q81">
        <v>1.6580504771205604</v>
      </c>
      <c r="R81">
        <v>4.8573893624499478</v>
      </c>
    </row>
    <row r="82" spans="4:18" x14ac:dyDescent="0.25">
      <c r="D82" s="6">
        <v>4.6387407131026563</v>
      </c>
      <c r="J82" s="6">
        <v>7.4323237706080914</v>
      </c>
    </row>
    <row r="83" spans="4:18" x14ac:dyDescent="0.25">
      <c r="D83" s="6">
        <v>-12.251622093605597</v>
      </c>
      <c r="J83" s="6">
        <v>7.4910695962966498</v>
      </c>
    </row>
    <row r="84" spans="4:18" x14ac:dyDescent="0.25">
      <c r="J84" s="6">
        <v>5.2107945273132721</v>
      </c>
    </row>
    <row r="85" spans="4:18" x14ac:dyDescent="0.25">
      <c r="J85" s="6">
        <v>2.4942223830748937</v>
      </c>
    </row>
    <row r="86" spans="4:18" x14ac:dyDescent="0.25">
      <c r="J86" s="6">
        <v>10.325611551675987</v>
      </c>
    </row>
    <row r="87" spans="4:18" x14ac:dyDescent="0.25">
      <c r="J87" s="6">
        <v>1.6580504771205604</v>
      </c>
    </row>
    <row r="88" spans="4:18" x14ac:dyDescent="0.25">
      <c r="J88" s="6">
        <v>4.8573893624499478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9E84E-9378-4B88-B36C-0D514983F28A}">
  <dimension ref="A1:T70"/>
  <sheetViews>
    <sheetView topLeftCell="A55" zoomScaleNormal="100" workbookViewId="0">
      <selection activeCell="V59" sqref="V59"/>
    </sheetView>
  </sheetViews>
  <sheetFormatPr defaultRowHeight="15" x14ac:dyDescent="0.25"/>
  <cols>
    <col min="11" max="11" width="10.5703125" customWidth="1"/>
    <col min="20" max="20" width="14" customWidth="1"/>
  </cols>
  <sheetData>
    <row r="1" spans="1:20" x14ac:dyDescent="0.25">
      <c r="A1" t="s">
        <v>33</v>
      </c>
      <c r="B1">
        <f>SUMIF(Table1[Classification],E1,Table1[weight])</f>
        <v>8.5383093834451224E-2</v>
      </c>
      <c r="D1" t="s">
        <v>11</v>
      </c>
      <c r="E1" t="s">
        <v>19</v>
      </c>
      <c r="G1">
        <f>COUNTIF(Table3[classification],E1)</f>
        <v>11</v>
      </c>
      <c r="K1" t="s">
        <v>32</v>
      </c>
      <c r="L1" t="s">
        <v>23</v>
      </c>
      <c r="M1" t="s">
        <v>24</v>
      </c>
      <c r="N1" t="s">
        <v>25</v>
      </c>
      <c r="O1" t="s">
        <v>26</v>
      </c>
      <c r="P1" t="s">
        <v>27</v>
      </c>
      <c r="Q1" t="s">
        <v>28</v>
      </c>
      <c r="R1" t="s">
        <v>30</v>
      </c>
      <c r="S1" t="s">
        <v>15</v>
      </c>
      <c r="T1" t="s">
        <v>31</v>
      </c>
    </row>
    <row r="2" spans="1:20" x14ac:dyDescent="0.25">
      <c r="K2">
        <f>chloroform!E7</f>
        <v>2</v>
      </c>
      <c r="L2">
        <f>Table3[[#This Row],[weight]]*(0.9155*Table2[[#This Row],[J1,2]]-A$9)^2</f>
        <v>2.9894847434765254E-2</v>
      </c>
      <c r="M2">
        <f>Table3[[#This Row],[weight]]*(0.9155*Table2[[#This Row],[J2,3]]-B$9)^2</f>
        <v>0.51485238083216489</v>
      </c>
      <c r="N2">
        <f>Table3[[#This Row],[weight]]*(0.9155*Table2[[#This Row],[J34]]-C$9)^2</f>
        <v>0.11658103665508539</v>
      </c>
      <c r="O2">
        <f>Table3[[#This Row],[weight]]*(0.9155*Table2[[#This Row],[J45]]-D$9)^2</f>
        <v>1.9042949688403521</v>
      </c>
      <c r="P2">
        <f>Table3[[#This Row],[weight]]*(0.9155*Table2[[#This Row],[J56]]-E$9)^2</f>
        <v>6.4152523069715126E-2</v>
      </c>
      <c r="Q2">
        <f>Table3[[#This Row],[weight]]*(0.9155*Table2[[#This Row],[J67]]-F$9)^2</f>
        <v>2.9033904713243543E-2</v>
      </c>
      <c r="R2">
        <f>Table3[[#This Row],[weight]]*(0.9155*Table2[[#This Row],[J67'']]-G$9)^2</f>
        <v>0.5741445071389023</v>
      </c>
      <c r="S2">
        <f>chloroform!J7</f>
        <v>2.0443132994926894E-2</v>
      </c>
      <c r="T2" t="str">
        <f>chloroform!F7</f>
        <v>4H6</v>
      </c>
    </row>
    <row r="3" spans="1:20" x14ac:dyDescent="0.25">
      <c r="K3">
        <f>chloroform!E8</f>
        <v>3</v>
      </c>
      <c r="L3">
        <f>Table3[[#This Row],[weight]]*(0.9155*Table2[[#This Row],[J1,2]]-A$9)^2</f>
        <v>3.0524949053730731E-2</v>
      </c>
      <c r="M3">
        <f>Table3[[#This Row],[weight]]*(0.9155*Table2[[#This Row],[J2,3]]-B$9)^2</f>
        <v>0.57231331877871561</v>
      </c>
      <c r="N3">
        <f>Table3[[#This Row],[weight]]*(0.9155*Table2[[#This Row],[J34]]-C$9)^2</f>
        <v>0.22037454361305975</v>
      </c>
      <c r="O3">
        <f>Table3[[#This Row],[weight]]*(0.9155*Table2[[#This Row],[J45]]-D$9)^2</f>
        <v>2.6374075324624147</v>
      </c>
      <c r="P3">
        <f>Table3[[#This Row],[weight]]*(0.9155*Table2[[#This Row],[J56]]-E$9)^2</f>
        <v>4.4050076166875084E-2</v>
      </c>
      <c r="Q3">
        <f>Table3[[#This Row],[weight]]*(0.9155*Table2[[#This Row],[J67]]-F$9)^2</f>
        <v>4.9841140922498216E-2</v>
      </c>
      <c r="R3">
        <f>Table3[[#This Row],[weight]]*(0.9155*Table2[[#This Row],[J67'']]-G$9)^2</f>
        <v>0.71050941652530375</v>
      </c>
      <c r="S3">
        <f>chloroform!J8</f>
        <v>2.6474327595882797E-2</v>
      </c>
      <c r="T3" t="str">
        <f>chloroform!F8</f>
        <v>4H6</v>
      </c>
    </row>
    <row r="4" spans="1:20" x14ac:dyDescent="0.25">
      <c r="A4" t="s">
        <v>23</v>
      </c>
      <c r="B4" t="s">
        <v>24</v>
      </c>
      <c r="C4" t="s">
        <v>25</v>
      </c>
      <c r="D4" t="s">
        <v>26</v>
      </c>
      <c r="E4" t="s">
        <v>27</v>
      </c>
      <c r="F4" t="s">
        <v>28</v>
      </c>
      <c r="G4" t="s">
        <v>30</v>
      </c>
      <c r="K4">
        <f>chloroform!E9</f>
        <v>4</v>
      </c>
      <c r="L4">
        <f>Table3[[#This Row],[weight]]*(0.9155*Table2[[#This Row],[J1,2]]-A$9)^2</f>
        <v>8.9949991861796738E-2</v>
      </c>
      <c r="M4">
        <f>Table3[[#This Row],[weight]]*(0.9155*Table2[[#This Row],[J2,3]]-B$9)^2</f>
        <v>2.347987736355817</v>
      </c>
      <c r="N4">
        <f>Table3[[#This Row],[weight]]*(0.9155*Table2[[#This Row],[J34]]-C$9)^2</f>
        <v>0.54132786010696909</v>
      </c>
      <c r="O4">
        <f>Table3[[#This Row],[weight]]*(0.9155*Table2[[#This Row],[J45]]-D$9)^2</f>
        <v>8.4002918534567605</v>
      </c>
      <c r="P4">
        <f>Table3[[#This Row],[weight]]*(0.9155*Table2[[#This Row],[J56]]-E$9)^2</f>
        <v>0.17123240089008615</v>
      </c>
      <c r="Q4">
        <f>Table3[[#This Row],[weight]]*(0.9155*Table2[[#This Row],[J67]]-F$9)^2</f>
        <v>0.22777647742958065</v>
      </c>
      <c r="R4">
        <f>Table3[[#This Row],[weight]]*(0.9155*Table2[[#This Row],[J67'']]-G$9)^2</f>
        <v>0.10982540554367705</v>
      </c>
      <c r="S4">
        <f>chloroform!J9</f>
        <v>8.2886759934681004E-2</v>
      </c>
      <c r="T4" t="str">
        <f>chloroform!F9</f>
        <v>4H6</v>
      </c>
    </row>
    <row r="5" spans="1:20" x14ac:dyDescent="0.25">
      <c r="A5">
        <f>SUMIF(Table1[Classification],E1,Table2[J1,23])/$B$1</f>
        <v>8.2375667433871236</v>
      </c>
      <c r="B5">
        <f>SUMIF(Table1[Classification],E1,Table2[J2,34])/$B$1</f>
        <v>2.8429712159257137</v>
      </c>
      <c r="C5">
        <f>SUMIF(Table1[Classification],E1,Table2[J345])/$B$1</f>
        <v>8.331458480017627</v>
      </c>
      <c r="D5">
        <f>SUMIF(Table1[Classification],E1,Table2[J456])/$B$1</f>
        <v>10.494643675979134</v>
      </c>
      <c r="E5">
        <f>SUMIF(Table1[Classification],E1,Table2[J567])/$B$1</f>
        <v>9.3170686845854256</v>
      </c>
      <c r="F5">
        <f>SUMIF(Table1[Classification],E1,Table2[J678])/$B$1</f>
        <v>2.5402645854322072</v>
      </c>
      <c r="G5">
        <f>SUMIF(Table1[Classification],E1,Table2[J67''9])/$B$1</f>
        <v>4.1420272943890355</v>
      </c>
      <c r="K5">
        <f>chloroform!E10</f>
        <v>6</v>
      </c>
      <c r="L5">
        <f>Table3[[#This Row],[weight]]*(0.9155*Table2[[#This Row],[J1,2]]-A$9)^2</f>
        <v>0.10869770306341635</v>
      </c>
      <c r="M5">
        <f>Table3[[#This Row],[weight]]*(0.9155*Table2[[#This Row],[J2,3]]-B$9)^2</f>
        <v>3.4381671107034237</v>
      </c>
      <c r="N5">
        <f>Table3[[#This Row],[weight]]*(0.9155*Table2[[#This Row],[J34]]-C$9)^2</f>
        <v>1.3815427292714866</v>
      </c>
      <c r="O5">
        <f>Table3[[#This Row],[weight]]*(0.9155*Table2[[#This Row],[J45]]-D$9)^2</f>
        <v>14.237036603100623</v>
      </c>
      <c r="P5">
        <f>Table3[[#This Row],[weight]]*(0.9155*Table2[[#This Row],[J56]]-E$9)^2</f>
        <v>0.30473469419846616</v>
      </c>
      <c r="Q5">
        <f>Table3[[#This Row],[weight]]*(0.9155*Table2[[#This Row],[J67]]-F$9)^2</f>
        <v>0.28658911704651985</v>
      </c>
      <c r="R5">
        <f>Table3[[#This Row],[weight]]*(0.9155*Table2[[#This Row],[J67'']]-G$9)^2</f>
        <v>0.32929064125725555</v>
      </c>
      <c r="S5">
        <f>chloroform!J10</f>
        <v>0.13701802520058434</v>
      </c>
      <c r="T5" t="str">
        <f>chloroform!F10</f>
        <v>4H6</v>
      </c>
    </row>
    <row r="6" spans="1:20" x14ac:dyDescent="0.25">
      <c r="K6">
        <f>chloroform!E11</f>
        <v>7</v>
      </c>
      <c r="L6">
        <f>Table3[[#This Row],[weight]]*(0.9155*Table2[[#This Row],[J1,2]]-A$9)^2</f>
        <v>5.8621951107121022E-4</v>
      </c>
      <c r="M6">
        <f>Table3[[#This Row],[weight]]*(0.9155*Table2[[#This Row],[J2,3]]-B$9)^2</f>
        <v>0.17761168220411649</v>
      </c>
      <c r="N6">
        <f>Table3[[#This Row],[weight]]*(0.9155*Table2[[#This Row],[J34]]-C$9)^2</f>
        <v>0.15736841482198866</v>
      </c>
      <c r="O6">
        <f>Table3[[#This Row],[weight]]*(0.9155*Table2[[#This Row],[J45]]-D$9)^2</f>
        <v>9.8175454357218542E-2</v>
      </c>
      <c r="P6">
        <f>Table3[[#This Row],[weight]]*(0.9155*Table2[[#This Row],[J56]]-E$9)^2</f>
        <v>4.0399947094703226E-3</v>
      </c>
      <c r="Q6">
        <f>Table3[[#This Row],[weight]]*(0.9155*Table2[[#This Row],[J67]]-F$9)^2</f>
        <v>4.5495318190027197E-3</v>
      </c>
      <c r="R6">
        <f>Table3[[#This Row],[weight]]*(0.9155*Table2[[#This Row],[J67'']]-G$9)^2</f>
        <v>1.896448136068124E-2</v>
      </c>
      <c r="S6">
        <f>chloroform!J11</f>
        <v>4.8979761756914458E-3</v>
      </c>
      <c r="T6" t="str">
        <f>chloroform!F11</f>
        <v>45TH</v>
      </c>
    </row>
    <row r="7" spans="1:20" x14ac:dyDescent="0.25">
      <c r="A7" t="s">
        <v>48</v>
      </c>
      <c r="K7">
        <f>chloroform!E12</f>
        <v>8</v>
      </c>
      <c r="L7">
        <f>Table3[[#This Row],[weight]]*(0.9155*Table2[[#This Row],[J1,2]]-A$9)^2</f>
        <v>5.1544990007484484E-2</v>
      </c>
      <c r="M7">
        <f>Table3[[#This Row],[weight]]*(0.9155*Table2[[#This Row],[J2,3]]-B$9)^2</f>
        <v>2.07350607490502</v>
      </c>
      <c r="N7">
        <f>Table3[[#This Row],[weight]]*(0.9155*Table2[[#This Row],[J34]]-C$9)^2</f>
        <v>0.73083060391927779</v>
      </c>
      <c r="O7">
        <f>Table3[[#This Row],[weight]]*(0.9155*Table2[[#This Row],[J45]]-D$9)^2</f>
        <v>6.9743239046814258</v>
      </c>
      <c r="P7">
        <f>Table3[[#This Row],[weight]]*(0.9155*Table2[[#This Row],[J56]]-E$9)^2</f>
        <v>0.13882753334510983</v>
      </c>
      <c r="Q7">
        <f>Table3[[#This Row],[weight]]*(0.9155*Table2[[#This Row],[J67]]-F$9)^2</f>
        <v>0.11199310489685696</v>
      </c>
      <c r="R7">
        <f>Table3[[#This Row],[weight]]*(0.9155*Table2[[#This Row],[J67'']]-G$9)^2</f>
        <v>0.20499644868503736</v>
      </c>
      <c r="S7">
        <f>chloroform!J12</f>
        <v>6.8591809039828824E-2</v>
      </c>
      <c r="T7" t="str">
        <f>chloroform!F12</f>
        <v>4H6</v>
      </c>
    </row>
    <row r="8" spans="1:20" x14ac:dyDescent="0.25">
      <c r="A8" t="s">
        <v>23</v>
      </c>
      <c r="B8" t="s">
        <v>24</v>
      </c>
      <c r="C8" t="s">
        <v>25</v>
      </c>
      <c r="D8" t="s">
        <v>26</v>
      </c>
      <c r="E8" t="s">
        <v>27</v>
      </c>
      <c r="F8" t="s">
        <v>28</v>
      </c>
      <c r="G8" t="s">
        <v>30</v>
      </c>
      <c r="K8">
        <f>chloroform!E13</f>
        <v>9</v>
      </c>
      <c r="L8">
        <f>Table3[[#This Row],[weight]]*(0.9155*Table2[[#This Row],[J1,2]]-A$9)^2</f>
        <v>4.9018753728165262E-2</v>
      </c>
      <c r="M8">
        <f>Table3[[#This Row],[weight]]*(0.9155*Table2[[#This Row],[J2,3]]-B$9)^2</f>
        <v>0.95287529137422422</v>
      </c>
      <c r="N8">
        <f>Table3[[#This Row],[weight]]*(0.9155*Table2[[#This Row],[J34]]-C$9)^2</f>
        <v>0.21106087720857533</v>
      </c>
      <c r="O8">
        <f>Table3[[#This Row],[weight]]*(0.9155*Table2[[#This Row],[J45]]-D$9)^2</f>
        <v>3.4551292537028551</v>
      </c>
      <c r="P8">
        <f>Table3[[#This Row],[weight]]*(0.9155*Table2[[#This Row],[J56]]-E$9)^2</f>
        <v>7.6166270266010402E-2</v>
      </c>
      <c r="Q8">
        <f>Table3[[#This Row],[weight]]*(0.9155*Table2[[#This Row],[J67]]-F$9)^2</f>
        <v>9.7238448696487269E-4</v>
      </c>
      <c r="R8">
        <f>Table3[[#This Row],[weight]]*(0.9155*Table2[[#This Row],[J67'']]-G$9)^2</f>
        <v>0.33367838079122691</v>
      </c>
      <c r="S8">
        <f>chloroform!J13</f>
        <v>3.6728546106106548E-2</v>
      </c>
      <c r="T8" t="str">
        <f>chloroform!F13</f>
        <v>4H6</v>
      </c>
    </row>
    <row r="9" spans="1:20" x14ac:dyDescent="0.25">
      <c r="A9">
        <f>A5</f>
        <v>8.2375667433871236</v>
      </c>
      <c r="B9">
        <f t="shared" ref="B9:G9" si="0">B5</f>
        <v>2.8429712159257137</v>
      </c>
      <c r="C9">
        <f t="shared" si="0"/>
        <v>8.331458480017627</v>
      </c>
      <c r="D9">
        <f t="shared" si="0"/>
        <v>10.494643675979134</v>
      </c>
      <c r="E9">
        <f t="shared" si="0"/>
        <v>9.3170686845854256</v>
      </c>
      <c r="F9">
        <f t="shared" si="0"/>
        <v>2.5402645854322072</v>
      </c>
      <c r="G9">
        <f t="shared" si="0"/>
        <v>4.1420272943890355</v>
      </c>
      <c r="K9">
        <f>chloroform!E14</f>
        <v>14</v>
      </c>
      <c r="L9">
        <f>Table3[[#This Row],[weight]]*(0.9155*Table2[[#This Row],[J1,2]]-A$9)^2</f>
        <v>0</v>
      </c>
      <c r="M9">
        <f>Table3[[#This Row],[weight]]*(0.9155*Table2[[#This Row],[J2,3]]-B$9)^2</f>
        <v>0</v>
      </c>
      <c r="N9">
        <f>Table3[[#This Row],[weight]]*(0.9155*Table2[[#This Row],[J34]]-C$9)^2</f>
        <v>0</v>
      </c>
      <c r="O9">
        <f>Table3[[#This Row],[weight]]*(0.9155*Table2[[#This Row],[J45]]-D$9)^2</f>
        <v>0</v>
      </c>
      <c r="P9">
        <f>Table3[[#This Row],[weight]]*(0.9155*Table2[[#This Row],[J56]]-E$9)^2</f>
        <v>0</v>
      </c>
      <c r="Q9">
        <f>Table3[[#This Row],[weight]]*(0.9155*Table2[[#This Row],[J67]]-F$9)^2</f>
        <v>0</v>
      </c>
      <c r="R9">
        <f>Table3[[#This Row],[weight]]*(0.9155*Table2[[#This Row],[J67'']]-G$9)^2</f>
        <v>0</v>
      </c>
      <c r="S9">
        <f>chloroform!J14</f>
        <v>0</v>
      </c>
      <c r="T9" t="str">
        <f>chloroform!F14</f>
        <v>45TH</v>
      </c>
    </row>
    <row r="10" spans="1:20" x14ac:dyDescent="0.25">
      <c r="K10">
        <f>chloroform!E15</f>
        <v>15</v>
      </c>
      <c r="L10">
        <f>Table3[[#This Row],[weight]]*(0.9155*Table2[[#This Row],[J1,2]]-A$9)^2</f>
        <v>1.3415434114484248E-3</v>
      </c>
      <c r="M10">
        <f>Table3[[#This Row],[weight]]*(0.9155*Table2[[#This Row],[J2,3]]-B$9)^2</f>
        <v>0.58309362743771487</v>
      </c>
      <c r="N10">
        <f>Table3[[#This Row],[weight]]*(0.9155*Table2[[#This Row],[J34]]-C$9)^2</f>
        <v>0.76235195536873346</v>
      </c>
      <c r="O10">
        <f>Table3[[#This Row],[weight]]*(0.9155*Table2[[#This Row],[J45]]-D$9)^2</f>
        <v>0.42263296197247713</v>
      </c>
      <c r="P10">
        <f>Table3[[#This Row],[weight]]*(0.9155*Table2[[#This Row],[J56]]-E$9)^2</f>
        <v>5.67121288030948E-3</v>
      </c>
      <c r="Q10">
        <f>Table3[[#This Row],[weight]]*(0.9155*Table2[[#This Row],[J67]]-F$9)^2</f>
        <v>7.7456378295678245E-4</v>
      </c>
      <c r="R10">
        <f>Table3[[#This Row],[weight]]*(0.9155*Table2[[#This Row],[J67'']]-G$9)^2</f>
        <v>0.81148738874456561</v>
      </c>
      <c r="S10">
        <f>chloroform!J15</f>
        <v>1.9047002688397006E-2</v>
      </c>
      <c r="T10" t="str">
        <f>chloroform!F15</f>
        <v>45TH</v>
      </c>
    </row>
    <row r="11" spans="1:20" x14ac:dyDescent="0.25">
      <c r="A11" t="s">
        <v>49</v>
      </c>
      <c r="K11">
        <f>chloroform!E16</f>
        <v>16</v>
      </c>
      <c r="L11">
        <f>Table3[[#This Row],[weight]]*(0.9155*Table2[[#This Row],[J1,2]]-A$9)^2</f>
        <v>7.6715501484836773E-2</v>
      </c>
      <c r="M11">
        <f>Table3[[#This Row],[weight]]*(0.9155*Table2[[#This Row],[J2,3]]-B$9)^2</f>
        <v>1.8098761318368304</v>
      </c>
      <c r="N11">
        <f>Table3[[#This Row],[weight]]*(0.9155*Table2[[#This Row],[J34]]-C$9)^2</f>
        <v>0.71804406848930136</v>
      </c>
      <c r="O11">
        <f>Table3[[#This Row],[weight]]*(0.9155*Table2[[#This Row],[J45]]-D$9)^2</f>
        <v>7.9316790231425465</v>
      </c>
      <c r="P11">
        <f>Table3[[#This Row],[weight]]*(0.9155*Table2[[#This Row],[J56]]-E$9)^2</f>
        <v>0.19786870973652229</v>
      </c>
      <c r="Q11">
        <f>Table3[[#This Row],[weight]]*(0.9155*Table2[[#This Row],[J67]]-F$9)^2</f>
        <v>8.9559033478094907E-3</v>
      </c>
      <c r="R11">
        <f>Table3[[#This Row],[weight]]*(0.9155*Table2[[#This Row],[J67'']]-G$9)^2</f>
        <v>0.64019353102706644</v>
      </c>
      <c r="S11">
        <f>chloroform!J16</f>
        <v>7.6914081690591052E-2</v>
      </c>
      <c r="T11" t="str">
        <f>chloroform!F16</f>
        <v>4H6</v>
      </c>
    </row>
    <row r="12" spans="1:20" x14ac:dyDescent="0.25">
      <c r="A12" t="s">
        <v>23</v>
      </c>
      <c r="B12" t="s">
        <v>24</v>
      </c>
      <c r="C12" t="s">
        <v>25</v>
      </c>
      <c r="D12" t="s">
        <v>26</v>
      </c>
      <c r="E12" t="s">
        <v>27</v>
      </c>
      <c r="F12" t="s">
        <v>28</v>
      </c>
      <c r="G12" t="s">
        <v>30</v>
      </c>
      <c r="K12">
        <f>chloroform!E17</f>
        <v>17</v>
      </c>
      <c r="L12">
        <f>Table3[[#This Row],[weight]]*(0.9155*Table2[[#This Row],[J1,2]]-A$9)^2</f>
        <v>4.2516702863707682E-3</v>
      </c>
      <c r="M12">
        <f>Table3[[#This Row],[weight]]*(0.9155*Table2[[#This Row],[J2,3]]-B$9)^2</f>
        <v>2.1581807988840573</v>
      </c>
      <c r="N12">
        <f>Table3[[#This Row],[weight]]*(0.9155*Table2[[#This Row],[J34]]-C$9)^2</f>
        <v>2.6590574675004239</v>
      </c>
      <c r="O12">
        <f>Table3[[#This Row],[weight]]*(0.9155*Table2[[#This Row],[J45]]-D$9)^2</f>
        <v>1.7961949629370355</v>
      </c>
      <c r="P12">
        <f>Table3[[#This Row],[weight]]*(0.9155*Table2[[#This Row],[J56]]-E$9)^2</f>
        <v>1.2608503843748301E-3</v>
      </c>
      <c r="Q12">
        <f>Table3[[#This Row],[weight]]*(0.9155*Table2[[#This Row],[J67]]-F$9)^2</f>
        <v>2.9817724679470296E-2</v>
      </c>
      <c r="R12">
        <f>Table3[[#This Row],[weight]]*(0.9155*Table2[[#This Row],[J67'']]-G$9)^2</f>
        <v>0.39986147579361553</v>
      </c>
      <c r="S12">
        <f>chloroform!J17</f>
        <v>6.9642563450323117E-2</v>
      </c>
      <c r="T12" t="str">
        <f>chloroform!F17</f>
        <v>45TH</v>
      </c>
    </row>
    <row r="13" spans="1:20" x14ac:dyDescent="0.25">
      <c r="A13">
        <f t="shared" ref="A13:F13" si="1">SQRT(SUMIF($T$2:$T$67,$E$1,L$2:L$67)/(($G$1-1)*$B$1/$G$1))</f>
        <v>0.7903150011745258</v>
      </c>
      <c r="B13">
        <f t="shared" si="1"/>
        <v>0.36197975786860603</v>
      </c>
      <c r="C13">
        <f>SQRT(SUMIF($T$2:$T$70,$E$1,N$2:N$70)/(($G$1-1)*$B$1/$G$1))</f>
        <v>1.1005947083896495</v>
      </c>
      <c r="D13">
        <f t="shared" si="1"/>
        <v>0.49444923228679538</v>
      </c>
      <c r="E13">
        <f t="shared" si="1"/>
        <v>0.57958023184770158</v>
      </c>
      <c r="F13">
        <f t="shared" si="1"/>
        <v>2.2658941589578689</v>
      </c>
      <c r="G13">
        <f>SQRT(SUMIF($T$2:$T$70,$E$1,R$2:R$70)/(($G$1-1)*$B$1/$G$1))</f>
        <v>3.9498151690535113</v>
      </c>
      <c r="K13">
        <f>chloroform!E18</f>
        <v>19</v>
      </c>
      <c r="L13">
        <f>Table3[[#This Row],[weight]]*(0.9155*Table2[[#This Row],[J1,2]]-A$9)^2</f>
        <v>7.3178287155631843E-5</v>
      </c>
      <c r="M13">
        <f>Table3[[#This Row],[weight]]*(0.9155*Table2[[#This Row],[J2,3]]-B$9)^2</f>
        <v>2.8237131739755378E-3</v>
      </c>
      <c r="N13">
        <f>Table3[[#This Row],[weight]]*(0.9155*Table2[[#This Row],[J34]]-C$9)^2</f>
        <v>1.9907558196057509E-2</v>
      </c>
      <c r="O13">
        <f>Table3[[#This Row],[weight]]*(0.9155*Table2[[#This Row],[J45]]-D$9)^2</f>
        <v>1.1124379065176972E-2</v>
      </c>
      <c r="P13">
        <f>Table3[[#This Row],[weight]]*(0.9155*Table2[[#This Row],[J56]]-E$9)^2</f>
        <v>0.23530098094811835</v>
      </c>
      <c r="Q13">
        <f>Table3[[#This Row],[weight]]*(0.9155*Table2[[#This Row],[J67]]-F$9)^2</f>
        <v>0.23754820077203914</v>
      </c>
      <c r="R13">
        <f>Table3[[#This Row],[weight]]*(0.9155*Table2[[#This Row],[J67'']]-G$9)^2</f>
        <v>5.2099931733300053E-3</v>
      </c>
      <c r="S13">
        <f>chloroform!J18</f>
        <v>2.8545917385225878E-3</v>
      </c>
      <c r="T13" t="str">
        <f>chloroform!F18</f>
        <v>6H4</v>
      </c>
    </row>
    <row r="14" spans="1:20" x14ac:dyDescent="0.25">
      <c r="K14">
        <f>chloroform!E19</f>
        <v>20</v>
      </c>
      <c r="L14">
        <f>Table3[[#This Row],[weight]]*(0.9155*Table2[[#This Row],[J1,2]]-A$9)^2</f>
        <v>7.9174190701417055E-2</v>
      </c>
      <c r="M14">
        <f>Table3[[#This Row],[weight]]*(0.9155*Table2[[#This Row],[J2,3]]-B$9)^2</f>
        <v>1.8124723987132862</v>
      </c>
      <c r="N14">
        <f>Table3[[#This Row],[weight]]*(0.9155*Table2[[#This Row],[J34]]-C$9)^2</f>
        <v>0.40050239070825561</v>
      </c>
      <c r="O14">
        <f>Table3[[#This Row],[weight]]*(0.9155*Table2[[#This Row],[J45]]-D$9)^2</f>
        <v>6.4062404611086512</v>
      </c>
      <c r="P14">
        <f>Table3[[#This Row],[weight]]*(0.9155*Table2[[#This Row],[J56]]-E$9)^2</f>
        <v>0.14593933412632698</v>
      </c>
      <c r="Q14">
        <f>Table3[[#This Row],[weight]]*(0.9155*Table2[[#This Row],[J67]]-F$9)^2</f>
        <v>4.4793175057493882E-2</v>
      </c>
      <c r="R14">
        <f>Table3[[#This Row],[weight]]*(0.9155*Table2[[#This Row],[J67'']]-G$9)^2</f>
        <v>0.32628800305645284</v>
      </c>
      <c r="S14">
        <f>chloroform!J19</f>
        <v>6.7511764566552959E-2</v>
      </c>
      <c r="T14" t="str">
        <f>chloroform!F19</f>
        <v>4H6</v>
      </c>
    </row>
    <row r="15" spans="1:20" x14ac:dyDescent="0.25">
      <c r="K15">
        <f>chloroform!E20</f>
        <v>21</v>
      </c>
      <c r="L15">
        <f>Table3[[#This Row],[weight]]*(0.9155*Table2[[#This Row],[J1,2]]-A$9)^2</f>
        <v>2.1111922473458604E-5</v>
      </c>
      <c r="M15">
        <f>Table3[[#This Row],[weight]]*(0.9155*Table2[[#This Row],[J2,3]]-B$9)^2</f>
        <v>4.1017106853716736E-6</v>
      </c>
      <c r="N15">
        <f>Table3[[#This Row],[weight]]*(0.9155*Table2[[#This Row],[J34]]-C$9)^2</f>
        <v>1.2266021544233955E-4</v>
      </c>
      <c r="O15">
        <f>Table3[[#This Row],[weight]]*(0.9155*Table2[[#This Row],[J45]]-D$9)^2</f>
        <v>3.8744978586628155E-3</v>
      </c>
      <c r="P15">
        <f>Table3[[#This Row],[weight]]*(0.9155*Table2[[#This Row],[J56]]-E$9)^2</f>
        <v>1.3405901718553802E-3</v>
      </c>
      <c r="Q15">
        <f>Table3[[#This Row],[weight]]*(0.9155*Table2[[#This Row],[J67]]-F$9)^2</f>
        <v>8.903081766879436E-5</v>
      </c>
      <c r="R15">
        <f>Table3[[#This Row],[weight]]*(0.9155*Table2[[#This Row],[J67'']]-G$9)^2</f>
        <v>4.3021289834006311E-4</v>
      </c>
      <c r="S15">
        <f>chloroform!J20</f>
        <v>4.7383043906060167E-5</v>
      </c>
      <c r="T15" t="str">
        <f>chloroform!F20</f>
        <v>TH45</v>
      </c>
    </row>
    <row r="16" spans="1:20" x14ac:dyDescent="0.25">
      <c r="K16">
        <f>chloroform!E21</f>
        <v>22</v>
      </c>
      <c r="L16">
        <f>Table3[[#This Row],[weight]]*(0.9155*Table2[[#This Row],[J1,2]]-A$9)^2</f>
        <v>4.1640643658714131E-5</v>
      </c>
      <c r="M16">
        <f>Table3[[#This Row],[weight]]*(0.9155*Table2[[#This Row],[J2,3]]-B$9)^2</f>
        <v>1.113861753961318E-2</v>
      </c>
      <c r="N16">
        <f>Table3[[#This Row],[weight]]*(0.9155*Table2[[#This Row],[J34]]-C$9)^2</f>
        <v>1.0083783798257719E-2</v>
      </c>
      <c r="O16">
        <f>Table3[[#This Row],[weight]]*(0.9155*Table2[[#This Row],[J45]]-D$9)^2</f>
        <v>5.3576743689846005E-3</v>
      </c>
      <c r="P16">
        <f>Table3[[#This Row],[weight]]*(0.9155*Table2[[#This Row],[J56]]-E$9)^2</f>
        <v>4.3521023423765239E-4</v>
      </c>
      <c r="Q16">
        <f>Table3[[#This Row],[weight]]*(0.9155*Table2[[#This Row],[J67]]-F$9)^2</f>
        <v>2.0535955528199607E-4</v>
      </c>
      <c r="R16">
        <f>Table3[[#This Row],[weight]]*(0.9155*Table2[[#This Row],[J67'']]-G$9)^2</f>
        <v>1.3296623809896364E-2</v>
      </c>
      <c r="S16">
        <f>chloroform!J21</f>
        <v>3.0913911731859928E-4</v>
      </c>
      <c r="T16" t="str">
        <f>chloroform!F21</f>
        <v>45TH</v>
      </c>
    </row>
    <row r="17" spans="11:20" x14ac:dyDescent="0.25">
      <c r="K17">
        <f>chloroform!E22</f>
        <v>23</v>
      </c>
      <c r="L17">
        <f>Table3[[#This Row],[weight]]*(0.9155*Table2[[#This Row],[J1,2]]-A$9)^2</f>
        <v>0</v>
      </c>
      <c r="M17">
        <f>Table3[[#This Row],[weight]]*(0.9155*Table2[[#This Row],[J2,3]]-B$9)^2</f>
        <v>0</v>
      </c>
      <c r="N17">
        <f>Table3[[#This Row],[weight]]*(0.9155*Table2[[#This Row],[J34]]-C$9)^2</f>
        <v>0</v>
      </c>
      <c r="O17">
        <f>Table3[[#This Row],[weight]]*(0.9155*Table2[[#This Row],[J45]]-D$9)^2</f>
        <v>0</v>
      </c>
      <c r="P17">
        <f>Table3[[#This Row],[weight]]*(0.9155*Table2[[#This Row],[J56]]-E$9)^2</f>
        <v>0</v>
      </c>
      <c r="Q17">
        <f>Table3[[#This Row],[weight]]*(0.9155*Table2[[#This Row],[J67]]-F$9)^2</f>
        <v>0</v>
      </c>
      <c r="R17">
        <f>Table3[[#This Row],[weight]]*(0.9155*Table2[[#This Row],[J67'']]-G$9)^2</f>
        <v>0</v>
      </c>
      <c r="S17">
        <f>chloroform!J22</f>
        <v>0</v>
      </c>
      <c r="T17" t="str">
        <f>chloroform!F22</f>
        <v>TH45</v>
      </c>
    </row>
    <row r="18" spans="11:20" x14ac:dyDescent="0.25">
      <c r="K18">
        <f>chloroform!E23</f>
        <v>24</v>
      </c>
      <c r="L18">
        <f>Table3[[#This Row],[weight]]*(0.9155*Table2[[#This Row],[J1,2]]-A$9)^2</f>
        <v>7.4397203677134158E-5</v>
      </c>
      <c r="M18">
        <f>Table3[[#This Row],[weight]]*(0.9155*Table2[[#This Row],[J2,3]]-B$9)^2</f>
        <v>1.7635114659003522E-2</v>
      </c>
      <c r="N18">
        <f>Table3[[#This Row],[weight]]*(0.9155*Table2[[#This Row],[J34]]-C$9)^2</f>
        <v>1.5131184347207066E-2</v>
      </c>
      <c r="O18">
        <f>Table3[[#This Row],[weight]]*(0.9155*Table2[[#This Row],[J45]]-D$9)^2</f>
        <v>1.0205134683675683E-2</v>
      </c>
      <c r="P18">
        <f>Table3[[#This Row],[weight]]*(0.9155*Table2[[#This Row],[J56]]-E$9)^2</f>
        <v>6.9284014995279943E-5</v>
      </c>
      <c r="Q18">
        <f>Table3[[#This Row],[weight]]*(0.9155*Table2[[#This Row],[J67]]-F$9)^2</f>
        <v>2.6873315263313293E-2</v>
      </c>
      <c r="R18">
        <f>Table3[[#This Row],[weight]]*(0.9155*Table2[[#This Row],[J67'']]-G$9)^2</f>
        <v>1.491352671755196E-3</v>
      </c>
      <c r="S18">
        <f>chloroform!J23</f>
        <v>4.9168885002817317E-4</v>
      </c>
      <c r="T18" t="str">
        <f>chloroform!F23</f>
        <v>45TH</v>
      </c>
    </row>
    <row r="19" spans="11:20" x14ac:dyDescent="0.25">
      <c r="K19">
        <f>chloroform!E24</f>
        <v>26</v>
      </c>
      <c r="L19">
        <f>Table3[[#This Row],[weight]]*(0.9155*Table2[[#This Row],[J1,2]]-A$9)^2</f>
        <v>2.4387645625554736E-4</v>
      </c>
      <c r="M19">
        <f>Table3[[#This Row],[weight]]*(0.9155*Table2[[#This Row],[J2,3]]-B$9)^2</f>
        <v>0.19775447304303864</v>
      </c>
      <c r="N19">
        <f>Table3[[#This Row],[weight]]*(0.9155*Table2[[#This Row],[J34]]-C$9)^2</f>
        <v>0.27925768493056707</v>
      </c>
      <c r="O19">
        <f>Table3[[#This Row],[weight]]*(0.9155*Table2[[#This Row],[J45]]-D$9)^2</f>
        <v>5.1173893867266056E-2</v>
      </c>
      <c r="P19">
        <f>Table3[[#This Row],[weight]]*(0.9155*Table2[[#This Row],[J56]]-E$9)^2</f>
        <v>1.2522980795181077E-2</v>
      </c>
      <c r="Q19">
        <f>Table3[[#This Row],[weight]]*(0.9155*Table2[[#This Row],[J67]]-F$9)^2</f>
        <v>3.0760660160988017E-3</v>
      </c>
      <c r="R19">
        <f>Table3[[#This Row],[weight]]*(0.9155*Table2[[#This Row],[J67'']]-G$9)^2</f>
        <v>3.321107670491167E-2</v>
      </c>
      <c r="S19">
        <f>chloroform!J24</f>
        <v>6.2430231388068413E-3</v>
      </c>
      <c r="T19" t="str">
        <f>chloroform!F24</f>
        <v>45TH</v>
      </c>
    </row>
    <row r="20" spans="11:20" x14ac:dyDescent="0.25">
      <c r="K20">
        <f>chloroform!E25</f>
        <v>27</v>
      </c>
      <c r="L20">
        <f>Table3[[#This Row],[weight]]*(0.9155*Table2[[#This Row],[J1,2]]-A$9)^2</f>
        <v>7.8926410918465417E-2</v>
      </c>
      <c r="M20">
        <f>Table3[[#This Row],[weight]]*(0.9155*Table2[[#This Row],[J2,3]]-B$9)^2</f>
        <v>1.3744764900845596</v>
      </c>
      <c r="N20">
        <f>Table3[[#This Row],[weight]]*(0.9155*Table2[[#This Row],[J34]]-C$9)^2</f>
        <v>0.3105933461499486</v>
      </c>
      <c r="O20">
        <f>Table3[[#This Row],[weight]]*(0.9155*Table2[[#This Row],[J45]]-D$9)^2</f>
        <v>5.0466568268628853</v>
      </c>
      <c r="P20">
        <f>Table3[[#This Row],[weight]]*(0.9155*Table2[[#This Row],[J56]]-E$9)^2</f>
        <v>0.17960075070336742</v>
      </c>
      <c r="Q20">
        <f>Table3[[#This Row],[weight]]*(0.9155*Table2[[#This Row],[J67]]-F$9)^2</f>
        <v>0.101229700688654</v>
      </c>
      <c r="R20">
        <f>Table3[[#This Row],[weight]]*(0.9155*Table2[[#This Row],[J67'']]-G$9)^2</f>
        <v>1.8321219968811067</v>
      </c>
      <c r="S20">
        <f>chloroform!J25</f>
        <v>5.4715696994462895E-2</v>
      </c>
      <c r="T20" t="str">
        <f>chloroform!F25</f>
        <v>4H6</v>
      </c>
    </row>
    <row r="21" spans="11:20" x14ac:dyDescent="0.25">
      <c r="K21">
        <f>chloroform!E26</f>
        <v>30</v>
      </c>
      <c r="L21">
        <f>Table3[[#This Row],[weight]]*(0.9155*Table2[[#This Row],[J1,2]]-A$9)^2</f>
        <v>1.7122062887764845E-4</v>
      </c>
      <c r="M21">
        <f>Table3[[#This Row],[weight]]*(0.9155*Table2[[#This Row],[J2,3]]-B$9)^2</f>
        <v>5.8477067323154774E-4</v>
      </c>
      <c r="N21">
        <f>Table3[[#This Row],[weight]]*(0.9155*Table2[[#This Row],[J34]]-C$9)^2</f>
        <v>5.5661253338031734E-3</v>
      </c>
      <c r="O21">
        <f>Table3[[#This Row],[weight]]*(0.9155*Table2[[#This Row],[J45]]-D$9)^2</f>
        <v>2.2017454873420749E-3</v>
      </c>
      <c r="P21">
        <f>Table3[[#This Row],[weight]]*(0.9155*Table2[[#This Row],[J56]]-E$9)^2</f>
        <v>5.6740789536935836E-2</v>
      </c>
      <c r="Q21">
        <f>Table3[[#This Row],[weight]]*(0.9155*Table2[[#This Row],[J67]]-F$9)^2</f>
        <v>5.1390466809988038E-2</v>
      </c>
      <c r="R21">
        <f>Table3[[#This Row],[weight]]*(0.9155*Table2[[#This Row],[J67'']]-G$9)^2</f>
        <v>2.8193227075966446E-4</v>
      </c>
      <c r="S21">
        <f>chloroform!J26</f>
        <v>6.7806516787653249E-4</v>
      </c>
      <c r="T21" t="str">
        <f>chloroform!F26</f>
        <v>6H4</v>
      </c>
    </row>
    <row r="22" spans="11:20" x14ac:dyDescent="0.25">
      <c r="K22">
        <f>chloroform!E27</f>
        <v>33</v>
      </c>
      <c r="L22">
        <f>Table3[[#This Row],[weight]]*(0.9155*Table2[[#This Row],[J1,2]]-A$9)^2</f>
        <v>1.6183736082145948E-4</v>
      </c>
      <c r="M22">
        <f>Table3[[#This Row],[weight]]*(0.9155*Table2[[#This Row],[J2,3]]-B$9)^2</f>
        <v>4.8008124011382193E-2</v>
      </c>
      <c r="N22">
        <f>Table3[[#This Row],[weight]]*(0.9155*Table2[[#This Row],[J34]]-C$9)^2</f>
        <v>4.5519793014252623E-2</v>
      </c>
      <c r="O22">
        <f>Table3[[#This Row],[weight]]*(0.9155*Table2[[#This Row],[J45]]-D$9)^2</f>
        <v>2.2020581281748768E-2</v>
      </c>
      <c r="P22">
        <f>Table3[[#This Row],[weight]]*(0.9155*Table2[[#This Row],[J56]]-E$9)^2</f>
        <v>1.2101822225248108E-3</v>
      </c>
      <c r="Q22">
        <f>Table3[[#This Row],[weight]]*(0.9155*Table2[[#This Row],[J67]]-F$9)^2</f>
        <v>5.4204459571320553E-4</v>
      </c>
      <c r="R22">
        <f>Table3[[#This Row],[weight]]*(0.9155*Table2[[#This Row],[J67'']]-G$9)^2</f>
        <v>5.7173837467721637E-2</v>
      </c>
      <c r="S22">
        <f>chloroform!J27</f>
        <v>1.3170973837027624E-3</v>
      </c>
      <c r="T22" t="str">
        <f>chloroform!F27</f>
        <v>45TH</v>
      </c>
    </row>
    <row r="23" spans="11:20" x14ac:dyDescent="0.25">
      <c r="K23">
        <f>chloroform!E28</f>
        <v>34</v>
      </c>
      <c r="L23">
        <f>Table3[[#This Row],[weight]]*(0.9155*Table2[[#This Row],[J1,2]]-A$9)^2</f>
        <v>1.2341172318809499E-4</v>
      </c>
      <c r="M23">
        <f>Table3[[#This Row],[weight]]*(0.9155*Table2[[#This Row],[J2,3]]-B$9)^2</f>
        <v>3.796776004393008E-4</v>
      </c>
      <c r="N23">
        <f>Table3[[#This Row],[weight]]*(0.9155*Table2[[#This Row],[J34]]-C$9)^2</f>
        <v>4.4663702653201104E-3</v>
      </c>
      <c r="O23">
        <f>Table3[[#This Row],[weight]]*(0.9155*Table2[[#This Row],[J45]]-D$9)^2</f>
        <v>7.4015487216278321E-4</v>
      </c>
      <c r="P23">
        <f>Table3[[#This Row],[weight]]*(0.9155*Table2[[#This Row],[J56]]-E$9)^2</f>
        <v>4.1195769648931208E-2</v>
      </c>
      <c r="Q23">
        <f>Table3[[#This Row],[weight]]*(0.9155*Table2[[#This Row],[J67]]-F$9)^2</f>
        <v>1.1294632002631472E-3</v>
      </c>
      <c r="R23">
        <f>Table3[[#This Row],[weight]]*(0.9155*Table2[[#This Row],[J67'']]-G$9)^2</f>
        <v>6.2426154657600367E-5</v>
      </c>
      <c r="S23">
        <f>chloroform!J28</f>
        <v>5.489938901080875E-4</v>
      </c>
      <c r="T23" t="str">
        <f>chloroform!F28</f>
        <v>6H4</v>
      </c>
    </row>
    <row r="24" spans="11:20" x14ac:dyDescent="0.25">
      <c r="K24">
        <f>chloroform!E29</f>
        <v>38</v>
      </c>
      <c r="L24">
        <f>Table3[[#This Row],[weight]]*(0.9155*Table2[[#This Row],[J1,2]]-A$9)^2</f>
        <v>1.6599514509877504E-3</v>
      </c>
      <c r="M24">
        <f>Table3[[#This Row],[weight]]*(0.9155*Table2[[#This Row],[J2,3]]-B$9)^2</f>
        <v>1.101457132139529</v>
      </c>
      <c r="N24">
        <f>Table3[[#This Row],[weight]]*(0.9155*Table2[[#This Row],[J34]]-C$9)^2</f>
        <v>1.4491849768810758</v>
      </c>
      <c r="O24">
        <f>Table3[[#This Row],[weight]]*(0.9155*Table2[[#This Row],[J45]]-D$9)^2</f>
        <v>0.66218230266582856</v>
      </c>
      <c r="P24">
        <f>Table3[[#This Row],[weight]]*(0.9155*Table2[[#This Row],[J56]]-E$9)^2</f>
        <v>4.1128686826421386E-3</v>
      </c>
      <c r="Q24">
        <f>Table3[[#This Row],[weight]]*(0.9155*Table2[[#This Row],[J67]]-F$9)^2</f>
        <v>1.1498279821568012E-2</v>
      </c>
      <c r="R24">
        <f>Table3[[#This Row],[weight]]*(0.9155*Table2[[#This Row],[J67'']]-G$9)^2</f>
        <v>0.20694752547344014</v>
      </c>
      <c r="S24">
        <f>chloroform!J29</f>
        <v>3.4704749215741508E-2</v>
      </c>
      <c r="T24" t="str">
        <f>chloroform!F29</f>
        <v>45TH</v>
      </c>
    </row>
    <row r="25" spans="11:20" x14ac:dyDescent="0.25">
      <c r="K25">
        <f>chloroform!E30</f>
        <v>39</v>
      </c>
      <c r="L25">
        <f>Table3[[#This Row],[weight]]*(0.9155*Table2[[#This Row],[J1,2]]-A$9)^2</f>
        <v>0.1024949200700549</v>
      </c>
      <c r="M25">
        <f>Table3[[#This Row],[weight]]*(0.9155*Table2[[#This Row],[J2,3]]-B$9)^2</f>
        <v>2.0128235949156519</v>
      </c>
      <c r="N25">
        <f>Table3[[#This Row],[weight]]*(0.9155*Table2[[#This Row],[J34]]-C$9)^2</f>
        <v>0.80879828367497664</v>
      </c>
      <c r="O25">
        <f>Table3[[#This Row],[weight]]*(0.9155*Table2[[#This Row],[J45]]-D$9)^2</f>
        <v>9.1660909994658351</v>
      </c>
      <c r="P25">
        <f>Table3[[#This Row],[weight]]*(0.9155*Table2[[#This Row],[J56]]-E$9)^2</f>
        <v>0.36902753594512694</v>
      </c>
      <c r="Q25">
        <f>Table3[[#This Row],[weight]]*(0.9155*Table2[[#This Row],[J67]]-F$9)^2</f>
        <v>0.15665613478653556</v>
      </c>
      <c r="R25">
        <f>Table3[[#This Row],[weight]]*(0.9155*Table2[[#This Row],[J67'']]-G$9)^2</f>
        <v>3.1756187908692208</v>
      </c>
      <c r="S25">
        <f>chloroform!J30</f>
        <v>9.1054724218691138E-2</v>
      </c>
      <c r="T25" t="str">
        <f>chloroform!F30</f>
        <v>4H6</v>
      </c>
    </row>
    <row r="26" spans="11:20" x14ac:dyDescent="0.25">
      <c r="K26">
        <f>chloroform!E31</f>
        <v>41</v>
      </c>
      <c r="L26">
        <f>Table3[[#This Row],[weight]]*(0.9155*Table2[[#This Row],[J1,2]]-A$9)^2</f>
        <v>6.9141211701082186E-2</v>
      </c>
      <c r="M26">
        <f>Table3[[#This Row],[weight]]*(0.9155*Table2[[#This Row],[J2,3]]-B$9)^2</f>
        <v>1.3002685027661716</v>
      </c>
      <c r="N26">
        <f>Table3[[#This Row],[weight]]*(0.9155*Table2[[#This Row],[J34]]-C$9)^2</f>
        <v>0.40313364900024407</v>
      </c>
      <c r="O26">
        <f>Table3[[#This Row],[weight]]*(0.9155*Table2[[#This Row],[J45]]-D$9)^2</f>
        <v>5.1112853015315114</v>
      </c>
      <c r="P26">
        <f>Table3[[#This Row],[weight]]*(0.9155*Table2[[#This Row],[J56]]-E$9)^2</f>
        <v>0.14581182221243963</v>
      </c>
      <c r="Q26">
        <f>Table3[[#This Row],[weight]]*(0.9155*Table2[[#This Row],[J67]]-F$9)^2</f>
        <v>9.3516999390252584E-2</v>
      </c>
      <c r="R26">
        <f>Table3[[#This Row],[weight]]*(0.9155*Table2[[#This Row],[J67'']]-G$9)^2</f>
        <v>1.7849499482923672</v>
      </c>
      <c r="S26">
        <f>chloroform!J31</f>
        <v>5.1723797878644208E-2</v>
      </c>
      <c r="T26" t="str">
        <f>chloroform!F31</f>
        <v>4H6</v>
      </c>
    </row>
    <row r="27" spans="11:20" x14ac:dyDescent="0.25">
      <c r="K27">
        <f>chloroform!E32</f>
        <v>45</v>
      </c>
      <c r="L27">
        <f>Table3[[#This Row],[weight]]*(0.9155*Table2[[#This Row],[J1,2]]-A$9)^2</f>
        <v>0</v>
      </c>
      <c r="M27">
        <f>Table3[[#This Row],[weight]]*(0.9155*Table2[[#This Row],[J2,3]]-B$9)^2</f>
        <v>0</v>
      </c>
      <c r="N27">
        <f>Table3[[#This Row],[weight]]*(0.9155*Table2[[#This Row],[J34]]-C$9)^2</f>
        <v>0</v>
      </c>
      <c r="O27">
        <f>Table3[[#This Row],[weight]]*(0.9155*Table2[[#This Row],[J45]]-D$9)^2</f>
        <v>0</v>
      </c>
      <c r="P27">
        <f>Table3[[#This Row],[weight]]*(0.9155*Table2[[#This Row],[J56]]-E$9)^2</f>
        <v>0</v>
      </c>
      <c r="Q27">
        <f>Table3[[#This Row],[weight]]*(0.9155*Table2[[#This Row],[J67]]-F$9)^2</f>
        <v>0</v>
      </c>
      <c r="R27">
        <f>Table3[[#This Row],[weight]]*(0.9155*Table2[[#This Row],[J67'']]-G$9)^2</f>
        <v>0</v>
      </c>
      <c r="S27">
        <f>chloroform!J32</f>
        <v>0</v>
      </c>
      <c r="T27" t="str">
        <f>chloroform!F32</f>
        <v>45TH</v>
      </c>
    </row>
    <row r="28" spans="11:20" x14ac:dyDescent="0.25">
      <c r="K28">
        <f>chloroform!E33</f>
        <v>48</v>
      </c>
      <c r="L28">
        <f>Table3[[#This Row],[weight]]*(0.9155*Table2[[#This Row],[J1,2]]-A$9)^2</f>
        <v>2.8119289706672521E-2</v>
      </c>
      <c r="M28">
        <f>Table3[[#This Row],[weight]]*(0.9155*Table2[[#This Row],[J2,3]]-B$9)^2</f>
        <v>9.8028666451614802E-2</v>
      </c>
      <c r="N28">
        <f>Table3[[#This Row],[weight]]*(0.9155*Table2[[#This Row],[J34]]-C$9)^2</f>
        <v>1.7565664474686021E-2</v>
      </c>
      <c r="O28">
        <f>Table3[[#This Row],[weight]]*(0.9155*Table2[[#This Row],[J45]]-D$9)^2</f>
        <v>1.0535081793649338E-3</v>
      </c>
      <c r="P28">
        <f>Table3[[#This Row],[weight]]*(0.9155*Table2[[#This Row],[J56]]-E$9)^2</f>
        <v>2.4704506236187862E-2</v>
      </c>
      <c r="Q28">
        <f>Table3[[#This Row],[weight]]*(0.9155*Table2[[#This Row],[J67]]-F$9)^2</f>
        <v>6.7323938549063668E-3</v>
      </c>
      <c r="R28">
        <f>Table3[[#This Row],[weight]]*(0.9155*Table2[[#This Row],[J67'']]-G$9)^2</f>
        <v>0.47511321875769957</v>
      </c>
      <c r="S28">
        <f>chloroform!J33</f>
        <v>1.2220843534505128E-2</v>
      </c>
      <c r="T28" t="str">
        <f>chloroform!F33</f>
        <v>56TH</v>
      </c>
    </row>
    <row r="29" spans="11:20" x14ac:dyDescent="0.25">
      <c r="K29">
        <f>chloroform!E34</f>
        <v>57</v>
      </c>
      <c r="L29">
        <f>Table3[[#This Row],[weight]]*(0.9155*Table2[[#This Row],[J1,2]]-A$9)^2</f>
        <v>4.5849711743268149E-6</v>
      </c>
      <c r="M29">
        <f>Table3[[#This Row],[weight]]*(0.9155*Table2[[#This Row],[J2,3]]-B$9)^2</f>
        <v>7.9238891133979756E-4</v>
      </c>
      <c r="N29">
        <f>Table3[[#This Row],[weight]]*(0.9155*Table2[[#This Row],[J34]]-C$9)^2</f>
        <v>7.8339676489915695E-3</v>
      </c>
      <c r="O29">
        <f>Table3[[#This Row],[weight]]*(0.9155*Table2[[#This Row],[J45]]-D$9)^2</f>
        <v>1.3841089486144887E-2</v>
      </c>
      <c r="P29">
        <f>Table3[[#This Row],[weight]]*(0.9155*Table2[[#This Row],[J56]]-E$9)^2</f>
        <v>6.5784793498063862E-2</v>
      </c>
      <c r="Q29">
        <f>Table3[[#This Row],[weight]]*(0.9155*Table2[[#This Row],[J67]]-F$9)^2</f>
        <v>2.9905538473928134E-4</v>
      </c>
      <c r="R29">
        <f>Table3[[#This Row],[weight]]*(0.9155*Table2[[#This Row],[J67'']]-G$9)^2</f>
        <v>5.2828877244721947E-2</v>
      </c>
      <c r="S29">
        <f>chloroform!J34</f>
        <v>8.3608116631864952E-4</v>
      </c>
      <c r="T29" t="str">
        <f>chloroform!F34</f>
        <v>6H4</v>
      </c>
    </row>
    <row r="30" spans="11:20" x14ac:dyDescent="0.25">
      <c r="K30">
        <f>chloroform!E35</f>
        <v>59</v>
      </c>
      <c r="L30">
        <f>Table3[[#This Row],[weight]]*(0.9155*Table2[[#This Row],[J1,2]]-A$9)^2</f>
        <v>6.1836552734505175E-5</v>
      </c>
      <c r="M30">
        <f>Table3[[#This Row],[weight]]*(0.9155*Table2[[#This Row],[J2,3]]-B$9)^2</f>
        <v>2.0867303256834207E-5</v>
      </c>
      <c r="N30">
        <f>Table3[[#This Row],[weight]]*(0.9155*Table2[[#This Row],[J34]]-C$9)^2</f>
        <v>1.1634623915405698E-4</v>
      </c>
      <c r="O30">
        <f>Table3[[#This Row],[weight]]*(0.9155*Table2[[#This Row],[J45]]-D$9)^2</f>
        <v>6.1057837232522238E-3</v>
      </c>
      <c r="P30">
        <f>Table3[[#This Row],[weight]]*(0.9155*Table2[[#This Row],[J56]]-E$9)^2</f>
        <v>1.2074834555791823E-3</v>
      </c>
      <c r="Q30">
        <f>Table3[[#This Row],[weight]]*(0.9155*Table2[[#This Row],[J67]]-F$9)^2</f>
        <v>1.811651159917045E-4</v>
      </c>
      <c r="R30">
        <f>Table3[[#This Row],[weight]]*(0.9155*Table2[[#This Row],[J67'']]-G$9)^2</f>
        <v>1.816806204755496E-3</v>
      </c>
      <c r="S30">
        <f>chloroform!J35</f>
        <v>6.7936009605517467E-5</v>
      </c>
      <c r="T30" t="str">
        <f>chloroform!F35</f>
        <v>45TH</v>
      </c>
    </row>
    <row r="31" spans="11:20" x14ac:dyDescent="0.25">
      <c r="K31">
        <f>chloroform!E36</f>
        <v>72</v>
      </c>
      <c r="L31">
        <f>Table3[[#This Row],[weight]]*(0.9155*Table2[[#This Row],[J1,2]]-A$9)^2</f>
        <v>2.6954970345460095E-3</v>
      </c>
      <c r="M31">
        <f>Table3[[#This Row],[weight]]*(0.9155*Table2[[#This Row],[J2,3]]-B$9)^2</f>
        <v>7.9387527731879931E-2</v>
      </c>
      <c r="N31">
        <f>Table3[[#This Row],[weight]]*(0.9155*Table2[[#This Row],[J34]]-C$9)^2</f>
        <v>3.3523159587641016E-2</v>
      </c>
      <c r="O31">
        <f>Table3[[#This Row],[weight]]*(0.9155*Table2[[#This Row],[J45]]-D$9)^2</f>
        <v>0.32548140867245712</v>
      </c>
      <c r="P31">
        <f>Table3[[#This Row],[weight]]*(0.9155*Table2[[#This Row],[J56]]-E$9)^2</f>
        <v>9.4207069956584472E-3</v>
      </c>
      <c r="Q31">
        <f>Table3[[#This Row],[weight]]*(0.9155*Table2[[#This Row],[J67]]-F$9)^2</f>
        <v>9.4553825145969383E-2</v>
      </c>
      <c r="R31">
        <f>Table3[[#This Row],[weight]]*(0.9155*Table2[[#This Row],[J67'']]-G$9)^2</f>
        <v>3.9426816203443953E-2</v>
      </c>
      <c r="S31">
        <f>chloroform!J36</f>
        <v>3.1533739469376994E-3</v>
      </c>
      <c r="T31" t="str">
        <f>chloroform!F36</f>
        <v>4H6</v>
      </c>
    </row>
    <row r="32" spans="11:20" x14ac:dyDescent="0.25">
      <c r="K32">
        <f>chloroform!E37</f>
        <v>73</v>
      </c>
      <c r="L32">
        <f>Table3[[#This Row],[weight]]*(0.9155*Table2[[#This Row],[J1,2]]-A$9)^2</f>
        <v>1.5840192605399726E-2</v>
      </c>
      <c r="M32">
        <f>Table3[[#This Row],[weight]]*(0.9155*Table2[[#This Row],[J2,3]]-B$9)^2</f>
        <v>1.1590213540549823E-3</v>
      </c>
      <c r="N32">
        <f>Table3[[#This Row],[weight]]*(0.9155*Table2[[#This Row],[J34]]-C$9)^2</f>
        <v>2.6097299939560878E-2</v>
      </c>
      <c r="O32">
        <f>Table3[[#This Row],[weight]]*(0.9155*Table2[[#This Row],[J45]]-D$9)^2</f>
        <v>3.1632911376013708E-3</v>
      </c>
      <c r="P32">
        <f>Table3[[#This Row],[weight]]*(0.9155*Table2[[#This Row],[J56]]-E$9)^2</f>
        <v>2.6865992312474704E-3</v>
      </c>
      <c r="Q32">
        <f>Table3[[#This Row],[weight]]*(0.9155*Table2[[#This Row],[J67]]-F$9)^2</f>
        <v>2.8729651548548632E-2</v>
      </c>
      <c r="R32">
        <f>Table3[[#This Row],[weight]]*(0.9155*Table2[[#This Row],[J67'']]-G$9)^2</f>
        <v>0.30005083432861135</v>
      </c>
      <c r="S32">
        <f>chloroform!J37</f>
        <v>5.4271936435693488E-2</v>
      </c>
      <c r="T32" t="str">
        <f>chloroform!F37</f>
        <v>5C12</v>
      </c>
    </row>
    <row r="33" spans="11:20" x14ac:dyDescent="0.25">
      <c r="K33">
        <f>chloroform!E38</f>
        <v>76</v>
      </c>
      <c r="L33">
        <f>Table3[[#This Row],[weight]]*(0.9155*Table2[[#This Row],[J1,2]]-A$9)^2</f>
        <v>1.0703419294850374E-4</v>
      </c>
      <c r="M33">
        <f>Table3[[#This Row],[weight]]*(0.9155*Table2[[#This Row],[J2,3]]-B$9)^2</f>
        <v>3.1736579669574618E-5</v>
      </c>
      <c r="N33">
        <f>Table3[[#This Row],[weight]]*(0.9155*Table2[[#This Row],[J34]]-C$9)^2</f>
        <v>2.2388296537222073E-4</v>
      </c>
      <c r="O33">
        <f>Table3[[#This Row],[weight]]*(0.9155*Table2[[#This Row],[J45]]-D$9)^2</f>
        <v>8.9347925080071576E-3</v>
      </c>
      <c r="P33">
        <f>Table3[[#This Row],[weight]]*(0.9155*Table2[[#This Row],[J56]]-E$9)^2</f>
        <v>1.9132736575433113E-3</v>
      </c>
      <c r="Q33">
        <f>Table3[[#This Row],[weight]]*(0.9155*Table2[[#This Row],[J67]]-F$9)^2</f>
        <v>1.0470152234865478E-4</v>
      </c>
      <c r="R33">
        <f>Table3[[#This Row],[weight]]*(0.9155*Table2[[#This Row],[J67'']]-G$9)^2</f>
        <v>3.940087410074752E-3</v>
      </c>
      <c r="S33">
        <f>chloroform!J38</f>
        <v>9.9991504539998592E-5</v>
      </c>
      <c r="T33" t="str">
        <f>chloroform!F38</f>
        <v>TH45</v>
      </c>
    </row>
    <row r="34" spans="11:20" x14ac:dyDescent="0.25">
      <c r="K34">
        <f>chloroform!E39</f>
        <v>78</v>
      </c>
      <c r="L34">
        <f>Table3[[#This Row],[weight]]*(0.9155*Table2[[#This Row],[J1,2]]-A$9)^2</f>
        <v>1.438525796716626E-3</v>
      </c>
      <c r="M34">
        <f>Table3[[#This Row],[weight]]*(0.9155*Table2[[#This Row],[J2,3]]-B$9)^2</f>
        <v>0.802053407333711</v>
      </c>
      <c r="N34">
        <f>Table3[[#This Row],[weight]]*(0.9155*Table2[[#This Row],[J34]]-C$9)^2</f>
        <v>1.0795346919420554</v>
      </c>
      <c r="O34">
        <f>Table3[[#This Row],[weight]]*(0.9155*Table2[[#This Row],[J45]]-D$9)^2</f>
        <v>0.4979543871391236</v>
      </c>
      <c r="P34">
        <f>Table3[[#This Row],[weight]]*(0.9155*Table2[[#This Row],[J56]]-E$9)^2</f>
        <v>4.0306735148878357E-3</v>
      </c>
      <c r="Q34">
        <f>Table3[[#This Row],[weight]]*(0.9155*Table2[[#This Row],[J67]]-F$9)^2</f>
        <v>7.7629814412977219E-3</v>
      </c>
      <c r="R34">
        <f>Table3[[#This Row],[weight]]*(0.9155*Table2[[#This Row],[J67'']]-G$9)^2</f>
        <v>1.1848586994326196</v>
      </c>
      <c r="S34">
        <f>chloroform!J39</f>
        <v>2.541133509739623E-2</v>
      </c>
      <c r="T34" t="str">
        <f>chloroform!F39</f>
        <v>45TH</v>
      </c>
    </row>
    <row r="35" spans="11:20" x14ac:dyDescent="0.25">
      <c r="K35">
        <f>chloroform!E40</f>
        <v>86</v>
      </c>
      <c r="L35">
        <f>Table3[[#This Row],[weight]]*(0.9155*Table2[[#This Row],[J1,2]]-A$9)^2</f>
        <v>2.1185151121877515E-6</v>
      </c>
      <c r="M35">
        <f>Table3[[#This Row],[weight]]*(0.9155*Table2[[#This Row],[J2,3]]-B$9)^2</f>
        <v>2.3038576551406443E-3</v>
      </c>
      <c r="N35">
        <f>Table3[[#This Row],[weight]]*(0.9155*Table2[[#This Row],[J34]]-C$9)^2</f>
        <v>3.0298750645525079E-3</v>
      </c>
      <c r="O35">
        <f>Table3[[#This Row],[weight]]*(0.9155*Table2[[#This Row],[J45]]-D$9)^2</f>
        <v>3.7880945885261654E-3</v>
      </c>
      <c r="P35">
        <f>Table3[[#This Row],[weight]]*(0.9155*Table2[[#This Row],[J56]]-E$9)^2</f>
        <v>4.2051543340277569E-3</v>
      </c>
      <c r="Q35">
        <f>Table3[[#This Row],[weight]]*(0.9155*Table2[[#This Row],[J67]]-F$9)^2</f>
        <v>9.192902135499316E-3</v>
      </c>
      <c r="R35">
        <f>Table3[[#This Row],[weight]]*(0.9155*Table2[[#This Row],[J67'']]-G$9)^2</f>
        <v>9.7356865351861451E-5</v>
      </c>
      <c r="S35">
        <f>chloroform!J40</f>
        <v>9.7648576252639774E-5</v>
      </c>
      <c r="T35" t="str">
        <f>chloroform!F40</f>
        <v>12C5</v>
      </c>
    </row>
    <row r="36" spans="11:20" x14ac:dyDescent="0.25">
      <c r="K36">
        <f>chloroform!E41</f>
        <v>94</v>
      </c>
      <c r="L36">
        <f>Table3[[#This Row],[weight]]*(0.9155*Table2[[#This Row],[J1,2]]-A$9)^2</f>
        <v>0</v>
      </c>
      <c r="M36">
        <f>Table3[[#This Row],[weight]]*(0.9155*Table2[[#This Row],[J2,3]]-B$9)^2</f>
        <v>0</v>
      </c>
      <c r="N36">
        <f>Table3[[#This Row],[weight]]*(0.9155*Table2[[#This Row],[J34]]-C$9)^2</f>
        <v>0</v>
      </c>
      <c r="O36">
        <f>Table3[[#This Row],[weight]]*(0.9155*Table2[[#This Row],[J45]]-D$9)^2</f>
        <v>0</v>
      </c>
      <c r="P36">
        <f>Table3[[#This Row],[weight]]*(0.9155*Table2[[#This Row],[J56]]-E$9)^2</f>
        <v>0</v>
      </c>
      <c r="Q36">
        <f>Table3[[#This Row],[weight]]*(0.9155*Table2[[#This Row],[J67]]-F$9)^2</f>
        <v>0</v>
      </c>
      <c r="R36">
        <f>Table3[[#This Row],[weight]]*(0.9155*Table2[[#This Row],[J67'']]-G$9)^2</f>
        <v>0</v>
      </c>
      <c r="S36">
        <f>chloroform!J41</f>
        <v>0</v>
      </c>
      <c r="T36" t="str">
        <f>chloroform!F41</f>
        <v>6H4</v>
      </c>
    </row>
    <row r="37" spans="11:20" x14ac:dyDescent="0.25">
      <c r="K37">
        <f>chloroform!E42</f>
        <v>101</v>
      </c>
      <c r="L37">
        <f>Table3[[#This Row],[weight]]*(0.9155*Table2[[#This Row],[J1,2]]-A$9)^2</f>
        <v>0</v>
      </c>
      <c r="M37">
        <f>Table3[[#This Row],[weight]]*(0.9155*Table2[[#This Row],[J2,3]]-B$9)^2</f>
        <v>0</v>
      </c>
      <c r="N37">
        <f>Table3[[#This Row],[weight]]*(0.9155*Table2[[#This Row],[J34]]-C$9)^2</f>
        <v>0</v>
      </c>
      <c r="O37">
        <f>Table3[[#This Row],[weight]]*(0.9155*Table2[[#This Row],[J45]]-D$9)^2</f>
        <v>0</v>
      </c>
      <c r="P37">
        <f>Table3[[#This Row],[weight]]*(0.9155*Table2[[#This Row],[J56]]-E$9)^2</f>
        <v>0</v>
      </c>
      <c r="Q37">
        <f>Table3[[#This Row],[weight]]*(0.9155*Table2[[#This Row],[J67]]-F$9)^2</f>
        <v>0</v>
      </c>
      <c r="R37">
        <f>Table3[[#This Row],[weight]]*(0.9155*Table2[[#This Row],[J67'']]-G$9)^2</f>
        <v>0</v>
      </c>
      <c r="S37">
        <f>chloroform!J42</f>
        <v>0</v>
      </c>
      <c r="T37" t="str">
        <f>chloroform!F42</f>
        <v>TH45</v>
      </c>
    </row>
    <row r="38" spans="11:20" x14ac:dyDescent="0.25">
      <c r="K38">
        <f>chloroform!E43</f>
        <v>103</v>
      </c>
      <c r="L38">
        <f>Table3[[#This Row],[weight]]*(0.9155*Table2[[#This Row],[J1,2]]-A$9)^2</f>
        <v>2.4790058568000164E-2</v>
      </c>
      <c r="M38">
        <f>Table3[[#This Row],[weight]]*(0.9155*Table2[[#This Row],[J2,3]]-B$9)^2</f>
        <v>2.0335673702609946E-3</v>
      </c>
      <c r="N38">
        <f>Table3[[#This Row],[weight]]*(0.9155*Table2[[#This Row],[J34]]-C$9)^2</f>
        <v>4.1305856039994107E-2</v>
      </c>
      <c r="O38">
        <f>Table3[[#This Row],[weight]]*(0.9155*Table2[[#This Row],[J45]]-D$9)^2</f>
        <v>4.6688952265204527E-3</v>
      </c>
      <c r="P38">
        <f>Table3[[#This Row],[weight]]*(0.9155*Table2[[#This Row],[J56]]-E$9)^2</f>
        <v>7.6955073945146925E-3</v>
      </c>
      <c r="Q38">
        <f>Table3[[#This Row],[weight]]*(0.9155*Table2[[#This Row],[J67]]-F$9)^2</f>
        <v>2.7146162534279943E-3</v>
      </c>
      <c r="R38">
        <f>Table3[[#This Row],[weight]]*(0.9155*Table2[[#This Row],[J67'']]-G$9)^2</f>
        <v>0.77322829303762086</v>
      </c>
      <c r="S38">
        <f>chloroform!J43</f>
        <v>2.0578011611822208E-2</v>
      </c>
      <c r="T38" t="str">
        <f>chloroform!F43</f>
        <v>5C12</v>
      </c>
    </row>
    <row r="39" spans="11:20" x14ac:dyDescent="0.25">
      <c r="K39">
        <f>chloroform!E44</f>
        <v>104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45TH</v>
      </c>
    </row>
    <row r="40" spans="11:20" x14ac:dyDescent="0.25">
      <c r="K40">
        <f>chloroform!E45</f>
        <v>106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6H4</v>
      </c>
    </row>
    <row r="41" spans="11:20" x14ac:dyDescent="0.25">
      <c r="K41">
        <f>chloroform!E46</f>
        <v>107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109</v>
      </c>
      <c r="L42">
        <f>Table3[[#This Row],[weight]]*(0.9155*Table2[[#This Row],[J1,2]]-A$9)^2</f>
        <v>1.1533550893164188E-3</v>
      </c>
      <c r="M42">
        <f>Table3[[#This Row],[weight]]*(0.9155*Table2[[#This Row],[J2,3]]-B$9)^2</f>
        <v>0.41315238585574193</v>
      </c>
      <c r="N42">
        <f>Table3[[#This Row],[weight]]*(0.9155*Table2[[#This Row],[J34]]-C$9)^2</f>
        <v>0.42702995225795992</v>
      </c>
      <c r="O42">
        <f>Table3[[#This Row],[weight]]*(0.9155*Table2[[#This Row],[J45]]-D$9)^2</f>
        <v>0.22244968820580341</v>
      </c>
      <c r="P42">
        <f>Table3[[#This Row],[weight]]*(0.9155*Table2[[#This Row],[J56]]-E$9)^2</f>
        <v>7.6791924276013756E-4</v>
      </c>
      <c r="Q42">
        <f>Table3[[#This Row],[weight]]*(0.9155*Table2[[#This Row],[J67]]-F$9)^2</f>
        <v>2.2278269961857007E-6</v>
      </c>
      <c r="R42">
        <f>Table3[[#This Row],[weight]]*(0.9155*Table2[[#This Row],[J67'']]-G$9)^2</f>
        <v>0.50202059400967325</v>
      </c>
      <c r="S42">
        <f>chloroform!J47</f>
        <v>1.0743636969289242E-2</v>
      </c>
      <c r="T42" t="str">
        <f>chloroform!F47</f>
        <v>45TH</v>
      </c>
    </row>
    <row r="43" spans="11:20" x14ac:dyDescent="0.25">
      <c r="K43">
        <f>chloroform!E48</f>
        <v>123</v>
      </c>
      <c r="L43">
        <f>Table3[[#This Row],[weight]]*(0.9155*Table2[[#This Row],[J1,2]]-A$9)^2</f>
        <v>1.7725279860323702E-3</v>
      </c>
      <c r="M43">
        <f>Table3[[#This Row],[weight]]*(0.9155*Table2[[#This Row],[J2,3]]-B$9)^2</f>
        <v>7.4129894411867982E-5</v>
      </c>
      <c r="N43">
        <f>Table3[[#This Row],[weight]]*(0.9155*Table2[[#This Row],[J34]]-C$9)^2</f>
        <v>1.7557077225214891E-3</v>
      </c>
      <c r="O43">
        <f>Table3[[#This Row],[weight]]*(0.9155*Table2[[#This Row],[J45]]-D$9)^2</f>
        <v>2.8098774056730671E-4</v>
      </c>
      <c r="P43">
        <f>Table3[[#This Row],[weight]]*(0.9155*Table2[[#This Row],[J56]]-E$9)^2</f>
        <v>1.9857576157087683E-5</v>
      </c>
      <c r="Q43">
        <f>Table3[[#This Row],[weight]]*(0.9155*Table2[[#This Row],[J67]]-F$9)^2</f>
        <v>2.5859693965782763E-3</v>
      </c>
      <c r="R43">
        <f>Table3[[#This Row],[weight]]*(0.9155*Table2[[#This Row],[J67'']]-G$9)^2</f>
        <v>1.8409017402342236E-3</v>
      </c>
      <c r="S43">
        <f>chloroform!J48</f>
        <v>1.1921771469275491E-3</v>
      </c>
      <c r="T43" t="str">
        <f>chloroform!F48</f>
        <v>5C12</v>
      </c>
    </row>
    <row r="44" spans="11:20" x14ac:dyDescent="0.25">
      <c r="K44">
        <f>chloroform!E49</f>
        <v>125</v>
      </c>
      <c r="L44">
        <f>Table3[[#This Row],[weight]]*(0.9155*Table2[[#This Row],[J1,2]]-A$9)^2</f>
        <v>0</v>
      </c>
      <c r="M44">
        <f>Table3[[#This Row],[weight]]*(0.9155*Table2[[#This Row],[J2,3]]-B$9)^2</f>
        <v>0</v>
      </c>
      <c r="N44">
        <f>Table3[[#This Row],[weight]]*(0.9155*Table2[[#This Row],[J34]]-C$9)^2</f>
        <v>0</v>
      </c>
      <c r="O44">
        <f>Table3[[#This Row],[weight]]*(0.9155*Table2[[#This Row],[J45]]-D$9)^2</f>
        <v>0</v>
      </c>
      <c r="P44">
        <f>Table3[[#This Row],[weight]]*(0.9155*Table2[[#This Row],[J56]]-E$9)^2</f>
        <v>0</v>
      </c>
      <c r="Q44">
        <f>Table3[[#This Row],[weight]]*(0.9155*Table2[[#This Row],[J67]]-F$9)^2</f>
        <v>0</v>
      </c>
      <c r="R44">
        <f>Table3[[#This Row],[weight]]*(0.9155*Table2[[#This Row],[J67'']]-G$9)^2</f>
        <v>0</v>
      </c>
      <c r="S44">
        <f>chloroform!J49</f>
        <v>0</v>
      </c>
      <c r="T44" t="str">
        <f>chloroform!F49</f>
        <v>125B</v>
      </c>
    </row>
    <row r="45" spans="11:20" x14ac:dyDescent="0.25">
      <c r="K45">
        <f>chloroform!E50</f>
        <v>128</v>
      </c>
      <c r="L45">
        <f>Table3[[#This Row],[weight]]*(0.9155*Table2[[#This Row],[J1,2]]-A$9)^2</f>
        <v>1.307427960285258E-5</v>
      </c>
      <c r="M45">
        <f>Table3[[#This Row],[weight]]*(0.9155*Table2[[#This Row],[J2,3]]-B$9)^2</f>
        <v>8.1757762836136439E-3</v>
      </c>
      <c r="N45">
        <f>Table3[[#This Row],[weight]]*(0.9155*Table2[[#This Row],[J34]]-C$9)^2</f>
        <v>1.1155214344174174E-2</v>
      </c>
      <c r="O45">
        <f>Table3[[#This Row],[weight]]*(0.9155*Table2[[#This Row],[J45]]-D$9)^2</f>
        <v>1.3517553458376309E-2</v>
      </c>
      <c r="P45">
        <f>Table3[[#This Row],[weight]]*(0.9155*Table2[[#This Row],[J56]]-E$9)^2</f>
        <v>1.4387090295518773E-2</v>
      </c>
      <c r="Q45">
        <f>Table3[[#This Row],[weight]]*(0.9155*Table2[[#This Row],[J67]]-F$9)^2</f>
        <v>4.8582774695830856E-4</v>
      </c>
      <c r="R45">
        <f>Table3[[#This Row],[weight]]*(0.9155*Table2[[#This Row],[J67'']]-G$9)^2</f>
        <v>1.1343356223906821E-2</v>
      </c>
      <c r="S45">
        <f>chloroform!J50</f>
        <v>3.4418937692157247E-4</v>
      </c>
      <c r="T45" t="str">
        <f>chloroform!F50</f>
        <v>12C5</v>
      </c>
    </row>
    <row r="46" spans="11:20" x14ac:dyDescent="0.25">
      <c r="K46">
        <f>chloroform!E51</f>
        <v>135</v>
      </c>
      <c r="L46">
        <f>Table3[[#This Row],[weight]]*(0.9155*Table2[[#This Row],[J1,2]]-A$9)^2</f>
        <v>6.0970497146640087E-3</v>
      </c>
      <c r="M46">
        <f>Table3[[#This Row],[weight]]*(0.9155*Table2[[#This Row],[J2,3]]-B$9)^2</f>
        <v>1.7759909976256309E-2</v>
      </c>
      <c r="N46">
        <f>Table3[[#This Row],[weight]]*(0.9155*Table2[[#This Row],[J34]]-C$9)^2</f>
        <v>6.2688706717509857E-3</v>
      </c>
      <c r="O46">
        <f>Table3[[#This Row],[weight]]*(0.9155*Table2[[#This Row],[J45]]-D$9)^2</f>
        <v>7.2337225588751865E-4</v>
      </c>
      <c r="P46">
        <f>Table3[[#This Row],[weight]]*(0.9155*Table2[[#This Row],[J56]]-E$9)^2</f>
        <v>1.042320680494754E-2</v>
      </c>
      <c r="Q46">
        <f>Table3[[#This Row],[weight]]*(0.9155*Table2[[#This Row],[J67]]-F$9)^2</f>
        <v>7.5248569696246062E-3</v>
      </c>
      <c r="R46">
        <f>Table3[[#This Row],[weight]]*(0.9155*Table2[[#This Row],[J67'']]-G$9)^2</f>
        <v>9.2215275379511449E-2</v>
      </c>
      <c r="S46">
        <f>chloroform!J51</f>
        <v>3.3350913648038036E-3</v>
      </c>
      <c r="T46" t="str">
        <f>chloroform!F51</f>
        <v>56TH</v>
      </c>
    </row>
    <row r="47" spans="11:20" x14ac:dyDescent="0.25">
      <c r="K47">
        <f>chloroform!E52</f>
        <v>136</v>
      </c>
      <c r="L47">
        <f>Table3[[#This Row],[weight]]*(0.9155*Table2[[#This Row],[J1,2]]-A$9)^2</f>
        <v>4.0088758798369176E-5</v>
      </c>
      <c r="M47">
        <f>Table3[[#This Row],[weight]]*(0.9155*Table2[[#This Row],[J2,3]]-B$9)^2</f>
        <v>3.2529524805559205E-5</v>
      </c>
      <c r="N47">
        <f>Table3[[#This Row],[weight]]*(0.9155*Table2[[#This Row],[J34]]-C$9)^2</f>
        <v>4.6288680400407018E-5</v>
      </c>
      <c r="O47">
        <f>Table3[[#This Row],[weight]]*(0.9155*Table2[[#This Row],[J45]]-D$9)^2</f>
        <v>3.5678513554375572E-5</v>
      </c>
      <c r="P47">
        <f>Table3[[#This Row],[weight]]*(0.9155*Table2[[#This Row],[J56]]-E$9)^2</f>
        <v>2.7132082170779759E-4</v>
      </c>
      <c r="Q47">
        <f>Table3[[#This Row],[weight]]*(0.9155*Table2[[#This Row],[J67]]-F$9)^2</f>
        <v>6.9128857547179622E-5</v>
      </c>
      <c r="R47">
        <f>Table3[[#This Row],[weight]]*(0.9155*Table2[[#This Row],[J67'']]-G$9)^2</f>
        <v>3.9923993335430126E-2</v>
      </c>
      <c r="S47">
        <f>chloroform!J52</f>
        <v>9.9626482403280484E-4</v>
      </c>
      <c r="T47" t="str">
        <f>chloroform!F52</f>
        <v>5C12</v>
      </c>
    </row>
    <row r="48" spans="11:20" x14ac:dyDescent="0.25">
      <c r="K48">
        <f>chloroform!E53</f>
        <v>142</v>
      </c>
      <c r="L48">
        <f>Table3[[#This Row],[weight]]*(0.9155*Table2[[#This Row],[J1,2]]-A$9)^2</f>
        <v>5.1169728165361868E-3</v>
      </c>
      <c r="M48">
        <f>Table3[[#This Row],[weight]]*(0.9155*Table2[[#This Row],[J2,3]]-B$9)^2</f>
        <v>1.160550616497003E-3</v>
      </c>
      <c r="N48">
        <f>Table3[[#This Row],[weight]]*(0.9155*Table2[[#This Row],[J34]]-C$9)^2</f>
        <v>1.3854331177075411E-2</v>
      </c>
      <c r="O48">
        <f>Table3[[#This Row],[weight]]*(0.9155*Table2[[#This Row],[J45]]-D$9)^2</f>
        <v>3.7346002059754862E-4</v>
      </c>
      <c r="P48">
        <f>Table3[[#This Row],[weight]]*(0.9155*Table2[[#This Row],[J56]]-E$9)^2</f>
        <v>1.4340170676546851E-3</v>
      </c>
      <c r="Q48">
        <f>Table3[[#This Row],[weight]]*(0.9155*Table2[[#This Row],[J67]]-F$9)^2</f>
        <v>0.33181497928225029</v>
      </c>
      <c r="R48">
        <f>Table3[[#This Row],[weight]]*(0.9155*Table2[[#This Row],[J67'']]-G$9)^2</f>
        <v>2.5924477135981179E-2</v>
      </c>
      <c r="S48">
        <f>chloroform!J53</f>
        <v>6.4767610225899943E-3</v>
      </c>
      <c r="T48" t="str">
        <f>chloroform!F53</f>
        <v>5C12</v>
      </c>
    </row>
    <row r="49" spans="11:20" x14ac:dyDescent="0.25">
      <c r="K49">
        <f>chloroform!E54</f>
        <v>143</v>
      </c>
      <c r="L49">
        <f>Table3[[#This Row],[weight]]*(0.9155*Table2[[#This Row],[J1,2]]-A$9)^2</f>
        <v>3.3911447343558613E-6</v>
      </c>
      <c r="M49">
        <f>Table3[[#This Row],[weight]]*(0.9155*Table2[[#This Row],[J2,3]]-B$9)^2</f>
        <v>4.458016482464403E-3</v>
      </c>
      <c r="N49">
        <f>Table3[[#This Row],[weight]]*(0.9155*Table2[[#This Row],[J34]]-C$9)^2</f>
        <v>7.918477666038341E-3</v>
      </c>
      <c r="O49">
        <f>Table3[[#This Row],[weight]]*(0.9155*Table2[[#This Row],[J45]]-D$9)^2</f>
        <v>1.5600872923293764E-4</v>
      </c>
      <c r="P49">
        <f>Table3[[#This Row],[weight]]*(0.9155*Table2[[#This Row],[J56]]-E$9)^2</f>
        <v>3.8863428968731348E-4</v>
      </c>
      <c r="Q49">
        <f>Table3[[#This Row],[weight]]*(0.9155*Table2[[#This Row],[J67]]-F$9)^2</f>
        <v>6.8692128573676001E-3</v>
      </c>
      <c r="R49">
        <f>Table3[[#This Row],[weight]]*(0.9155*Table2[[#This Row],[J67'']]-G$9)^2</f>
        <v>7.2761802004325663E-4</v>
      </c>
      <c r="S49">
        <f>chloroform!J54</f>
        <v>1.2898379500030682E-4</v>
      </c>
      <c r="T49" t="str">
        <f>chloroform!F54</f>
        <v>45TH</v>
      </c>
    </row>
    <row r="50" spans="11:20" x14ac:dyDescent="0.25">
      <c r="K50">
        <f>chloroform!E55</f>
        <v>144</v>
      </c>
      <c r="L50">
        <f>Table3[[#This Row],[weight]]*(0.9155*Table2[[#This Row],[J1,2]]-A$9)^2</f>
        <v>5.9401421979395835E-7</v>
      </c>
      <c r="M50">
        <f>Table3[[#This Row],[weight]]*(0.9155*Table2[[#This Row],[J2,3]]-B$9)^2</f>
        <v>2.092365067355315E-3</v>
      </c>
      <c r="N50">
        <f>Table3[[#This Row],[weight]]*(0.9155*Table2[[#This Row],[J34]]-C$9)^2</f>
        <v>4.0139819204503694E-3</v>
      </c>
      <c r="O50">
        <f>Table3[[#This Row],[weight]]*(0.9155*Table2[[#This Row],[J45]]-D$9)^2</f>
        <v>4.3116892544473179E-3</v>
      </c>
      <c r="P50">
        <f>Table3[[#This Row],[weight]]*(0.9155*Table2[[#This Row],[J56]]-E$9)^2</f>
        <v>4.4681532539481324E-3</v>
      </c>
      <c r="Q50">
        <f>Table3[[#This Row],[weight]]*(0.9155*Table2[[#This Row],[J67]]-F$9)^2</f>
        <v>1.0533993939404214E-2</v>
      </c>
      <c r="R50">
        <f>Table3[[#This Row],[weight]]*(0.9155*Table2[[#This Row],[J67'']]-G$9)^2</f>
        <v>5.2852480245068351E-5</v>
      </c>
      <c r="S50">
        <f>chloroform!J55</f>
        <v>1.1043031343540842E-4</v>
      </c>
      <c r="T50" t="str">
        <f>chloroform!F55</f>
        <v>12C5</v>
      </c>
    </row>
    <row r="51" spans="11:20" x14ac:dyDescent="0.25">
      <c r="K51">
        <f>chloroform!E56</f>
        <v>145</v>
      </c>
      <c r="L51">
        <f>Table3[[#This Row],[weight]]*(0.9155*Table2[[#This Row],[J1,2]]-A$9)^2</f>
        <v>6.7643292358055402E-6</v>
      </c>
      <c r="M51">
        <f>Table3[[#This Row],[weight]]*(0.9155*Table2[[#This Row],[J2,3]]-B$9)^2</f>
        <v>5.5390057086645251E-3</v>
      </c>
      <c r="N51">
        <f>Table3[[#This Row],[weight]]*(0.9155*Table2[[#This Row],[J34]]-C$9)^2</f>
        <v>9.1307448651039274E-3</v>
      </c>
      <c r="O51">
        <f>Table3[[#This Row],[weight]]*(0.9155*Table2[[#This Row],[J45]]-D$9)^2</f>
        <v>9.9954423371571514E-3</v>
      </c>
      <c r="P51">
        <f>Table3[[#This Row],[weight]]*(0.9155*Table2[[#This Row],[J56]]-E$9)^2</f>
        <v>1.2414763087393352E-2</v>
      </c>
      <c r="Q51">
        <f>Table3[[#This Row],[weight]]*(0.9155*Table2[[#This Row],[J67]]-F$9)^2</f>
        <v>2.8250754337218808E-2</v>
      </c>
      <c r="R51">
        <f>Table3[[#This Row],[weight]]*(0.9155*Table2[[#This Row],[J67'']]-G$9)^2</f>
        <v>2.0464406667069783E-4</v>
      </c>
      <c r="S51">
        <f>chloroform!J56</f>
        <v>2.8556974071908823E-4</v>
      </c>
      <c r="T51" t="str">
        <f>chloroform!F56</f>
        <v>5C12</v>
      </c>
    </row>
    <row r="52" spans="11:20" x14ac:dyDescent="0.25">
      <c r="K52">
        <f>chloroform!E57</f>
        <v>166</v>
      </c>
      <c r="L52">
        <f>Table3[[#This Row],[weight]]*(0.9155*Table2[[#This Row],[J1,2]]-A$9)^2</f>
        <v>2.3478368082089499E-4</v>
      </c>
      <c r="M52">
        <f>Table3[[#This Row],[weight]]*(0.9155*Table2[[#This Row],[J2,3]]-B$9)^2</f>
        <v>1.3190326321762055E-4</v>
      </c>
      <c r="N52">
        <f>Table3[[#This Row],[weight]]*(0.9155*Table2[[#This Row],[J34]]-C$9)^2</f>
        <v>7.9244603364166349E-4</v>
      </c>
      <c r="O52">
        <f>Table3[[#This Row],[weight]]*(0.9155*Table2[[#This Row],[J45]]-D$9)^2</f>
        <v>2.0530098255749996E-4</v>
      </c>
      <c r="P52">
        <f>Table3[[#This Row],[weight]]*(0.9155*Table2[[#This Row],[J56]]-E$9)^2</f>
        <v>1.439674703070062E-3</v>
      </c>
      <c r="Q52">
        <f>Table3[[#This Row],[weight]]*(0.9155*Table2[[#This Row],[J67]]-F$9)^2</f>
        <v>3.2943354164718697E-4</v>
      </c>
      <c r="R52">
        <f>Table3[[#This Row],[weight]]*(0.9155*Table2[[#This Row],[J67'']]-G$9)^2</f>
        <v>6.705794865217761E-2</v>
      </c>
      <c r="S52">
        <f>chloroform!J57</f>
        <v>1.3643967202022281E-3</v>
      </c>
      <c r="T52" t="str">
        <f>chloroform!F57</f>
        <v>5C12</v>
      </c>
    </row>
    <row r="53" spans="11:20" x14ac:dyDescent="0.25">
      <c r="K53">
        <f>chloroform!E58</f>
        <v>173</v>
      </c>
      <c r="L53">
        <f>Table3[[#This Row],[weight]]*(0.9155*Table2[[#This Row],[J1,2]]-A$9)^2</f>
        <v>7.6446555972351813E-7</v>
      </c>
      <c r="M53">
        <f>Table3[[#This Row],[weight]]*(0.9155*Table2[[#This Row],[J2,3]]-B$9)^2</f>
        <v>5.7221923021200929E-3</v>
      </c>
      <c r="N53">
        <f>Table3[[#This Row],[weight]]*(0.9155*Table2[[#This Row],[J34]]-C$9)^2</f>
        <v>1.0262923585681262E-2</v>
      </c>
      <c r="O53">
        <f>Table3[[#This Row],[weight]]*(0.9155*Table2[[#This Row],[J45]]-D$9)^2</f>
        <v>1.0281387314074332E-2</v>
      </c>
      <c r="P53">
        <f>Table3[[#This Row],[weight]]*(0.9155*Table2[[#This Row],[J56]]-E$9)^2</f>
        <v>1.0948301376197263E-2</v>
      </c>
      <c r="Q53">
        <f>Table3[[#This Row],[weight]]*(0.9155*Table2[[#This Row],[J67]]-F$9)^2</f>
        <v>5.4174497910667067E-4</v>
      </c>
      <c r="R53">
        <f>Table3[[#This Row],[weight]]*(0.9155*Table2[[#This Row],[J67'']]-G$9)^2</f>
        <v>1.1288859147419165E-2</v>
      </c>
      <c r="S53">
        <f>chloroform!J58</f>
        <v>2.8969063399003788E-4</v>
      </c>
      <c r="T53" t="str">
        <f>chloroform!F58</f>
        <v>12C5</v>
      </c>
    </row>
    <row r="54" spans="11:20" x14ac:dyDescent="0.25">
      <c r="K54">
        <f>chloroform!E59</f>
        <v>191</v>
      </c>
      <c r="L54">
        <f>Table3[[#This Row],[weight]]*(0.9155*Table2[[#This Row],[J1,2]]-A$9)^2</f>
        <v>2.7544283715690269E-6</v>
      </c>
      <c r="M54">
        <f>Table3[[#This Row],[weight]]*(0.9155*Table2[[#This Row],[J2,3]]-B$9)^2</f>
        <v>2.2742115011924195E-3</v>
      </c>
      <c r="N54">
        <f>Table3[[#This Row],[weight]]*(0.9155*Table2[[#This Row],[J34]]-C$9)^2</f>
        <v>2.9429434590464956E-3</v>
      </c>
      <c r="O54">
        <f>Table3[[#This Row],[weight]]*(0.9155*Table2[[#This Row],[J45]]-D$9)^2</f>
        <v>3.7790019748123794E-3</v>
      </c>
      <c r="P54">
        <f>Table3[[#This Row],[weight]]*(0.9155*Table2[[#This Row],[J56]]-E$9)^2</f>
        <v>4.1969067680258836E-3</v>
      </c>
      <c r="Q54">
        <f>Table3[[#This Row],[weight]]*(0.9155*Table2[[#This Row],[J67]]-F$9)^2</f>
        <v>9.1672233190049981E-3</v>
      </c>
      <c r="R54">
        <f>Table3[[#This Row],[weight]]*(0.9155*Table2[[#This Row],[J67'']]-G$9)^2</f>
        <v>8.7767981396333938E-5</v>
      </c>
      <c r="S54">
        <f>chloroform!J59</f>
        <v>9.6138181511408734E-5</v>
      </c>
      <c r="T54" t="str">
        <f>chloroform!F59</f>
        <v>12C5</v>
      </c>
    </row>
    <row r="55" spans="11:20" x14ac:dyDescent="0.25">
      <c r="K55">
        <f>chloroform!E60</f>
        <v>193</v>
      </c>
      <c r="L55">
        <f>Table3[[#This Row],[weight]]*(0.9155*Table2[[#This Row],[J1,2]]-A$9)^2</f>
        <v>8.7930717181415119E-6</v>
      </c>
      <c r="M55">
        <f>Table3[[#This Row],[weight]]*(0.9155*Table2[[#This Row],[J2,3]]-B$9)^2</f>
        <v>1.4383269567211582E-2</v>
      </c>
      <c r="N55">
        <f>Table3[[#This Row],[weight]]*(0.9155*Table2[[#This Row],[J34]]-C$9)^2</f>
        <v>2.7842571630678919E-2</v>
      </c>
      <c r="O55">
        <f>Table3[[#This Row],[weight]]*(0.9155*Table2[[#This Row],[J45]]-D$9)^2</f>
        <v>2.8987554384400309E-2</v>
      </c>
      <c r="P55">
        <f>Table3[[#This Row],[weight]]*(0.9155*Table2[[#This Row],[J56]]-E$9)^2</f>
        <v>3.0477561477147516E-2</v>
      </c>
      <c r="Q55">
        <f>Table3[[#This Row],[weight]]*(0.9155*Table2[[#This Row],[J67]]-F$9)^2</f>
        <v>1.0884696993078808E-3</v>
      </c>
      <c r="R55">
        <f>Table3[[#This Row],[weight]]*(0.9155*Table2[[#This Row],[J67'']]-G$9)^2</f>
        <v>2.6873024354802447E-2</v>
      </c>
      <c r="S55">
        <f>chloroform!J60</f>
        <v>7.9174443894333344E-4</v>
      </c>
      <c r="T55" t="str">
        <f>chloroform!F60</f>
        <v>12C5</v>
      </c>
    </row>
    <row r="56" spans="11:20" x14ac:dyDescent="0.25">
      <c r="K56">
        <f>chloroform!E61</f>
        <v>197</v>
      </c>
      <c r="L56">
        <f>Table3[[#This Row],[weight]]*(0.9155*Table2[[#This Row],[J1,2]]-A$9)^2</f>
        <v>0</v>
      </c>
      <c r="M56">
        <f>Table3[[#This Row],[weight]]*(0.9155*Table2[[#This Row],[J2,3]]-B$9)^2</f>
        <v>0</v>
      </c>
      <c r="N56">
        <f>Table3[[#This Row],[weight]]*(0.9155*Table2[[#This Row],[J34]]-C$9)^2</f>
        <v>0</v>
      </c>
      <c r="O56">
        <f>Table3[[#This Row],[weight]]*(0.9155*Table2[[#This Row],[J45]]-D$9)^2</f>
        <v>0</v>
      </c>
      <c r="P56">
        <f>Table3[[#This Row],[weight]]*(0.9155*Table2[[#This Row],[J56]]-E$9)^2</f>
        <v>0</v>
      </c>
      <c r="Q56">
        <f>Table3[[#This Row],[weight]]*(0.9155*Table2[[#This Row],[J67]]-F$9)^2</f>
        <v>0</v>
      </c>
      <c r="R56">
        <f>Table3[[#This Row],[weight]]*(0.9155*Table2[[#This Row],[J67'']]-G$9)^2</f>
        <v>0</v>
      </c>
      <c r="S56">
        <f>chloroform!J61</f>
        <v>0</v>
      </c>
      <c r="T56" t="str">
        <f>chloroform!F61</f>
        <v>4H6</v>
      </c>
    </row>
    <row r="57" spans="11:20" x14ac:dyDescent="0.25">
      <c r="K57">
        <f>chloroform!E62</f>
        <v>208</v>
      </c>
      <c r="L57">
        <f>Table3[[#This Row],[weight]]*(0.9155*Table2[[#This Row],[J1,2]]-A$9)^2</f>
        <v>4.2605177855229528E-6</v>
      </c>
      <c r="M57">
        <f>Table3[[#This Row],[weight]]*(0.9155*Table2[[#This Row],[J2,3]]-B$9)^2</f>
        <v>1.0038832576194504E-6</v>
      </c>
      <c r="N57">
        <f>Table3[[#This Row],[weight]]*(0.9155*Table2[[#This Row],[J34]]-C$9)^2</f>
        <v>3.5807831176897963E-6</v>
      </c>
      <c r="O57">
        <f>Table3[[#This Row],[weight]]*(0.9155*Table2[[#This Row],[J45]]-D$9)^2</f>
        <v>5.2104147184469229E-6</v>
      </c>
      <c r="P57">
        <f>Table3[[#This Row],[weight]]*(0.9155*Table2[[#This Row],[J56]]-E$9)^2</f>
        <v>2.2004378665176372E-5</v>
      </c>
      <c r="Q57">
        <f>Table3[[#This Row],[weight]]*(0.9155*Table2[[#This Row],[J67]]-F$9)^2</f>
        <v>3.3162125739446814E-5</v>
      </c>
      <c r="R57">
        <f>Table3[[#This Row],[weight]]*(0.9155*Table2[[#This Row],[J67'']]-G$9)^2</f>
        <v>1.5538364091726123E-3</v>
      </c>
      <c r="S57">
        <f>chloroform!J62</f>
        <v>4.031027260786241E-5</v>
      </c>
      <c r="T57" t="str">
        <f>chloroform!F62</f>
        <v>5C12</v>
      </c>
    </row>
    <row r="58" spans="11:20" x14ac:dyDescent="0.25">
      <c r="K58">
        <f>chloroform!E63</f>
        <v>212</v>
      </c>
      <c r="L58">
        <f>Table3[[#This Row],[weight]]*(0.9155*Table2[[#This Row],[J1,2]]-A$9)^2</f>
        <v>6.405838352391688E-8</v>
      </c>
      <c r="M58">
        <f>Table3[[#This Row],[weight]]*(0.9155*Table2[[#This Row],[J2,3]]-B$9)^2</f>
        <v>3.0672886602644248E-3</v>
      </c>
      <c r="N58">
        <f>Table3[[#This Row],[weight]]*(0.9155*Table2[[#This Row],[J34]]-C$9)^2</f>
        <v>6.488947759649628E-3</v>
      </c>
      <c r="O58">
        <f>Table3[[#This Row],[weight]]*(0.9155*Table2[[#This Row],[J45]]-D$9)^2</f>
        <v>6.2982027478828218E-3</v>
      </c>
      <c r="P58">
        <f>Table3[[#This Row],[weight]]*(0.9155*Table2[[#This Row],[J56]]-E$9)^2</f>
        <v>5.7083898088154065E-3</v>
      </c>
      <c r="Q58">
        <f>Table3[[#This Row],[weight]]*(0.9155*Table2[[#This Row],[J67]]-F$9)^2</f>
        <v>1.0394944021124304E-4</v>
      </c>
      <c r="R58">
        <f>Table3[[#This Row],[weight]]*(0.9155*Table2[[#This Row],[J67'']]-G$9)^2</f>
        <v>6.0014760571330643E-3</v>
      </c>
      <c r="S58">
        <f>chloroform!J63</f>
        <v>1.5952729737975731E-4</v>
      </c>
      <c r="T58" t="str">
        <f>chloroform!F63</f>
        <v>12C5</v>
      </c>
    </row>
    <row r="59" spans="11:20" x14ac:dyDescent="0.25">
      <c r="K59">
        <f>chloroform!E64</f>
        <v>215</v>
      </c>
      <c r="L59">
        <f>Table3[[#This Row],[weight]]*(0.9155*Table2[[#This Row],[J1,2]]-A$9)^2</f>
        <v>7.5060862053840395E-6</v>
      </c>
      <c r="M59">
        <f>Table3[[#This Row],[weight]]*(0.9155*Table2[[#This Row],[J2,3]]-B$9)^2</f>
        <v>1.9976130352792609E-2</v>
      </c>
      <c r="N59">
        <f>Table3[[#This Row],[weight]]*(0.9155*Table2[[#This Row],[J34]]-C$9)^2</f>
        <v>3.2655629504481261E-2</v>
      </c>
      <c r="O59">
        <f>Table3[[#This Row],[weight]]*(0.9155*Table2[[#This Row],[J45]]-D$9)^2</f>
        <v>3.5362652052892594E-2</v>
      </c>
      <c r="P59">
        <f>Table3[[#This Row],[weight]]*(0.9155*Table2[[#This Row],[J56]]-E$9)^2</f>
        <v>3.9642097244728815E-2</v>
      </c>
      <c r="Q59">
        <f>Table3[[#This Row],[weight]]*(0.9155*Table2[[#This Row],[J67]]-F$9)^2</f>
        <v>1.4848484250306988E-3</v>
      </c>
      <c r="R59">
        <f>Table3[[#This Row],[weight]]*(0.9155*Table2[[#This Row],[J67'']]-G$9)^2</f>
        <v>3.364389970254008E-2</v>
      </c>
      <c r="S59">
        <f>chloroform!J64</f>
        <v>9.8998590065562005E-4</v>
      </c>
      <c r="T59" t="str">
        <f>chloroform!F64</f>
        <v>12C5</v>
      </c>
    </row>
    <row r="60" spans="11:20" x14ac:dyDescent="0.25">
      <c r="K60">
        <f>chloroform!E65</f>
        <v>219</v>
      </c>
      <c r="L60">
        <f>Table3[[#This Row],[weight]]*(0.9155*Table2[[#This Row],[J1,2]]-A$9)^2</f>
        <v>2.8778344565861826E-5</v>
      </c>
      <c r="M60">
        <f>Table3[[#This Row],[weight]]*(0.9155*Table2[[#This Row],[J2,3]]-B$9)^2</f>
        <v>9.0906100706380241E-4</v>
      </c>
      <c r="N60">
        <f>Table3[[#This Row],[weight]]*(0.9155*Table2[[#This Row],[J34]]-C$9)^2</f>
        <v>2.5128795639685984E-3</v>
      </c>
      <c r="O60">
        <f>Table3[[#This Row],[weight]]*(0.9155*Table2[[#This Row],[J45]]-D$9)^2</f>
        <v>1.5413373543040369E-3</v>
      </c>
      <c r="P60">
        <f>Table3[[#This Row],[weight]]*(0.9155*Table2[[#This Row],[J56]]-E$9)^2</f>
        <v>2.1338052154529956E-3</v>
      </c>
      <c r="Q60">
        <f>Table3[[#This Row],[weight]]*(0.9155*Table2[[#This Row],[J67]]-F$9)^2</f>
        <v>1.8988530958872753E-4</v>
      </c>
      <c r="R60">
        <f>Table3[[#This Row],[weight]]*(0.9155*Table2[[#This Row],[J67'']]-G$9)^2</f>
        <v>2.3073551762412933E-3</v>
      </c>
      <c r="S60">
        <f>chloroform!J65</f>
        <v>6.4945168979610465E-5</v>
      </c>
      <c r="T60" t="str">
        <f>chloroform!F65</f>
        <v>12C5</v>
      </c>
    </row>
    <row r="61" spans="11:20" x14ac:dyDescent="0.25">
      <c r="K61">
        <f>chloroform!E66</f>
        <v>220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chloroform!J66</f>
        <v>0</v>
      </c>
      <c r="T61" t="str">
        <f>chloroform!F66</f>
        <v>12C5</v>
      </c>
    </row>
    <row r="62" spans="11:20" x14ac:dyDescent="0.25">
      <c r="K62">
        <f>chloroform!E67</f>
        <v>241</v>
      </c>
      <c r="L62">
        <f>Table3[[#This Row],[weight]]*(0.9155*Table2[[#This Row],[J1,2]]-A$9)^2</f>
        <v>1.5974367444737014E-5</v>
      </c>
      <c r="M62">
        <f>Table3[[#This Row],[weight]]*(0.9155*Table2[[#This Row],[J2,3]]-B$9)^2</f>
        <v>1.430456324694521E-2</v>
      </c>
      <c r="N62">
        <f>Table3[[#This Row],[weight]]*(0.9155*Table2[[#This Row],[J34]]-C$9)^2</f>
        <v>2.8150719177400845E-2</v>
      </c>
      <c r="O62">
        <f>Table3[[#This Row],[weight]]*(0.9155*Table2[[#This Row],[J45]]-D$9)^2</f>
        <v>2.8140738968018598E-2</v>
      </c>
      <c r="P62">
        <f>Table3[[#This Row],[weight]]*(0.9155*Table2[[#This Row],[J56]]-E$9)^2</f>
        <v>2.9432405207409928E-2</v>
      </c>
      <c r="Q62">
        <f>Table3[[#This Row],[weight]]*(0.9155*Table2[[#This Row],[J67]]-F$9)^2</f>
        <v>1.5986980696110422E-3</v>
      </c>
      <c r="R62">
        <f>Table3[[#This Row],[weight]]*(0.9155*Table2[[#This Row],[J67'']]-G$9)^2</f>
        <v>3.0743143849452887E-2</v>
      </c>
      <c r="S62">
        <f>chloroform!J67</f>
        <v>7.9216907870402367E-4</v>
      </c>
      <c r="T62" t="str">
        <f>chloroform!F67</f>
        <v>12C5</v>
      </c>
    </row>
    <row r="63" spans="11:20" x14ac:dyDescent="0.25">
      <c r="K63">
        <f>chloroform!E68</f>
        <v>272</v>
      </c>
      <c r="L63">
        <f>Table3[[#This Row],[weight]]*(0.9155*Table2[[#This Row],[J1,2]]-A$9)^2</f>
        <v>4.3421949911950567E-4</v>
      </c>
      <c r="M63">
        <f>Table3[[#This Row],[weight]]*(0.9155*Table2[[#This Row],[J2,3]]-B$9)^2</f>
        <v>3.1753889472647364E-5</v>
      </c>
      <c r="N63">
        <f>Table3[[#This Row],[weight]]*(0.9155*Table2[[#This Row],[J34]]-C$9)^2</f>
        <v>8.5778151533716428E-4</v>
      </c>
      <c r="O63">
        <f>Table3[[#This Row],[weight]]*(0.9155*Table2[[#This Row],[J45]]-D$9)^2</f>
        <v>1.3586420741678023E-4</v>
      </c>
      <c r="P63">
        <f>Table3[[#This Row],[weight]]*(0.9155*Table2[[#This Row],[J56]]-E$9)^2</f>
        <v>7.3420859061123668E-5</v>
      </c>
      <c r="Q63">
        <f>Table3[[#This Row],[weight]]*(0.9155*Table2[[#This Row],[J67]]-F$9)^2</f>
        <v>7.5319398460078229E-6</v>
      </c>
      <c r="R63">
        <f>Table3[[#This Row],[weight]]*(0.9155*Table2[[#This Row],[J67'']]-G$9)^2</f>
        <v>8.6784925166313192E-4</v>
      </c>
      <c r="S63">
        <f>chloroform!J68</f>
        <v>1.1084755555817298E-4</v>
      </c>
      <c r="T63" t="str">
        <f>chloroform!F68</f>
        <v>5C12</v>
      </c>
    </row>
    <row r="64" spans="11:20" x14ac:dyDescent="0.25">
      <c r="K64">
        <f>chloroform!E69</f>
        <v>276</v>
      </c>
      <c r="L64">
        <f>Table3[[#This Row],[weight]]*(0.9155*Table2[[#This Row],[J1,2]]-A$9)^2</f>
        <v>4.4750987307540096E-5</v>
      </c>
      <c r="M64">
        <f>Table3[[#This Row],[weight]]*(0.9155*Table2[[#This Row],[J2,3]]-B$9)^2</f>
        <v>9.5528814153669653E-4</v>
      </c>
      <c r="N64">
        <f>Table3[[#This Row],[weight]]*(0.9155*Table2[[#This Row],[J34]]-C$9)^2</f>
        <v>2.8496727008670486E-4</v>
      </c>
      <c r="O64">
        <f>Table3[[#This Row],[weight]]*(0.9155*Table2[[#This Row],[J45]]-D$9)^2</f>
        <v>3.5060684120264635E-3</v>
      </c>
      <c r="P64">
        <f>Table3[[#This Row],[weight]]*(0.9155*Table2[[#This Row],[J56]]-E$9)^2</f>
        <v>1.062804130727917E-5</v>
      </c>
      <c r="Q64">
        <f>Table3[[#This Row],[weight]]*(0.9155*Table2[[#This Row],[J67]]-F$9)^2</f>
        <v>1.2304208274462927E-5</v>
      </c>
      <c r="R64">
        <f>Table3[[#This Row],[weight]]*(0.9155*Table2[[#This Row],[J67'']]-G$9)^2</f>
        <v>2.6986363871049933E-4</v>
      </c>
      <c r="S64">
        <f>chloroform!J69</f>
        <v>3.822372900299207E-5</v>
      </c>
      <c r="T64" t="str">
        <f>chloroform!F69</f>
        <v>4H6</v>
      </c>
    </row>
    <row r="65" spans="11:20" x14ac:dyDescent="0.25">
      <c r="K65">
        <f>chloroform!E70</f>
        <v>278</v>
      </c>
      <c r="L65">
        <f>Table3[[#This Row],[weight]]*(0.9155*Table2[[#This Row],[J1,2]]-A$9)^2</f>
        <v>0</v>
      </c>
      <c r="M65">
        <f>Table3[[#This Row],[weight]]*(0.9155*Table2[[#This Row],[J2,3]]-B$9)^2</f>
        <v>0</v>
      </c>
      <c r="N65">
        <f>Table3[[#This Row],[weight]]*(0.9155*Table2[[#This Row],[J34]]-C$9)^2</f>
        <v>0</v>
      </c>
      <c r="O65">
        <f>Table3[[#This Row],[weight]]*(0.9155*Table2[[#This Row],[J45]]-D$9)^2</f>
        <v>0</v>
      </c>
      <c r="P65">
        <f>Table3[[#This Row],[weight]]*(0.9155*Table2[[#This Row],[J56]]-E$9)^2</f>
        <v>0</v>
      </c>
      <c r="Q65">
        <f>Table3[[#This Row],[weight]]*(0.9155*Table2[[#This Row],[J67]]-F$9)^2</f>
        <v>0</v>
      </c>
      <c r="R65">
        <f>Table3[[#This Row],[weight]]*(0.9155*Table2[[#This Row],[J67'']]-G$9)^2</f>
        <v>0</v>
      </c>
      <c r="S65">
        <f>chloroform!J70</f>
        <v>0</v>
      </c>
      <c r="T65" t="str">
        <f>chloroform!F70</f>
        <v>5C12</v>
      </c>
    </row>
    <row r="66" spans="11:20" x14ac:dyDescent="0.25">
      <c r="K66">
        <f>chloroform!E71</f>
        <v>283</v>
      </c>
      <c r="L66">
        <f>Table3[[#This Row],[weight]]*(0.9155*Table2[[#This Row],[J1,2]]-A$9)^2</f>
        <v>2.420336551194672E-4</v>
      </c>
      <c r="M66">
        <f>Table3[[#This Row],[weight]]*(0.9155*Table2[[#This Row],[J2,3]]-B$9)^2</f>
        <v>7.1625574524267835E-6</v>
      </c>
      <c r="N66">
        <f>Table3[[#This Row],[weight]]*(0.9155*Table2[[#This Row],[J34]]-C$9)^2</f>
        <v>1.7894999846213922E-4</v>
      </c>
      <c r="O66">
        <f>Table3[[#This Row],[weight]]*(0.9155*Table2[[#This Row],[J45]]-D$9)^2</f>
        <v>1.1265349067557848E-4</v>
      </c>
      <c r="P66">
        <f>Table3[[#This Row],[weight]]*(0.9155*Table2[[#This Row],[J56]]-E$9)^2</f>
        <v>1.675499940215713E-5</v>
      </c>
      <c r="Q66">
        <f>Table3[[#This Row],[weight]]*(0.9155*Table2[[#This Row],[J67]]-F$9)^2</f>
        <v>3.9924076953937867E-3</v>
      </c>
      <c r="R66">
        <f>Table3[[#This Row],[weight]]*(0.9155*Table2[[#This Row],[J67'']]-G$9)^2</f>
        <v>3.1545032275395035E-4</v>
      </c>
      <c r="S66">
        <f>chloroform!J71</f>
        <v>6.6818504297804467E-5</v>
      </c>
      <c r="T66" t="str">
        <f>chloroform!F71</f>
        <v>5C12</v>
      </c>
    </row>
    <row r="67" spans="11:20" x14ac:dyDescent="0.25">
      <c r="K67">
        <f>chloroform!E72</f>
        <v>290</v>
      </c>
      <c r="L67">
        <f>Table3[[#This Row],[weight]]*(0.9155*Table2[[#This Row],[J1,2]]-A$9)^2</f>
        <v>0</v>
      </c>
      <c r="M67">
        <f>Table3[[#This Row],[weight]]*(0.9155*Table2[[#This Row],[J2,3]]-B$9)^2</f>
        <v>0</v>
      </c>
      <c r="N67">
        <f>Table3[[#This Row],[weight]]*(0.9155*Table2[[#This Row],[J34]]-C$9)^2</f>
        <v>0</v>
      </c>
      <c r="O67">
        <f>Table3[[#This Row],[weight]]*(0.9155*Table2[[#This Row],[J45]]-D$9)^2</f>
        <v>0</v>
      </c>
      <c r="P67">
        <f>Table3[[#This Row],[weight]]*(0.9155*Table2[[#This Row],[J56]]-E$9)^2</f>
        <v>0</v>
      </c>
      <c r="Q67">
        <f>Table3[[#This Row],[weight]]*(0.9155*Table2[[#This Row],[J67]]-F$9)^2</f>
        <v>0</v>
      </c>
      <c r="R67">
        <f>Table3[[#This Row],[weight]]*(0.9155*Table2[[#This Row],[J67'']]-G$9)^2</f>
        <v>0</v>
      </c>
      <c r="S67">
        <f>chloroform!J72</f>
        <v>0</v>
      </c>
      <c r="T67" t="str">
        <f>chloroform!F72</f>
        <v>4H6</v>
      </c>
    </row>
    <row r="68" spans="11:20" x14ac:dyDescent="0.25">
      <c r="K68">
        <f>chloroform!E73</f>
        <v>333</v>
      </c>
      <c r="L68" s="4">
        <f>Table3[[#This Row],[weight]]*(0.9155*Table2[[#This Row],[J1,2]]-A$9)^2</f>
        <v>0</v>
      </c>
      <c r="M68" s="4">
        <f>Table3[[#This Row],[weight]]*(0.9155*Table2[[#This Row],[J2,3]]-B$9)^2</f>
        <v>0</v>
      </c>
      <c r="N68" s="4">
        <f>Table3[[#This Row],[weight]]*(0.9155*Table2[[#This Row],[J34]]-C$9)^2</f>
        <v>0</v>
      </c>
      <c r="O68" s="4">
        <f>Table3[[#This Row],[weight]]*(0.9155*Table2[[#This Row],[J45]]-D$9)^2</f>
        <v>0</v>
      </c>
      <c r="P68" s="4">
        <f>Table3[[#This Row],[weight]]*(0.9155*Table2[[#This Row],[J56]]-E$9)^2</f>
        <v>0</v>
      </c>
      <c r="Q68" s="4">
        <f>Table3[[#This Row],[weight]]*(0.9155*Table2[[#This Row],[J67]]-F$9)^2</f>
        <v>0</v>
      </c>
      <c r="R68" s="4">
        <f>Table3[[#This Row],[weight]]*(0.9155*Table2[[#This Row],[J67'']]-G$9)^2</f>
        <v>0</v>
      </c>
      <c r="S68" s="4">
        <f>chloroform!J73</f>
        <v>0</v>
      </c>
      <c r="T68" t="str">
        <f>chloroform!F73</f>
        <v>56TH</v>
      </c>
    </row>
    <row r="69" spans="11:20" x14ac:dyDescent="0.25">
      <c r="K69">
        <f>chloroform!E74</f>
        <v>373</v>
      </c>
      <c r="L69" s="4">
        <f>Table3[[#This Row],[weight]]*(0.9155*Table2[[#This Row],[J1,2]]-A$9)^2</f>
        <v>0</v>
      </c>
      <c r="M69" s="4">
        <f>Table3[[#This Row],[weight]]*(0.9155*Table2[[#This Row],[J2,3]]-B$9)^2</f>
        <v>0</v>
      </c>
      <c r="N69" s="4">
        <f>Table3[[#This Row],[weight]]*(0.9155*Table2[[#This Row],[J34]]-C$9)^2</f>
        <v>0</v>
      </c>
      <c r="O69" s="4">
        <f>Table3[[#This Row],[weight]]*(0.9155*Table2[[#This Row],[J45]]-D$9)^2</f>
        <v>0</v>
      </c>
      <c r="P69" s="4">
        <f>Table3[[#This Row],[weight]]*(0.9155*Table2[[#This Row],[J56]]-E$9)^2</f>
        <v>0</v>
      </c>
      <c r="Q69" s="4">
        <f>Table3[[#This Row],[weight]]*(0.9155*Table2[[#This Row],[J67]]-F$9)^2</f>
        <v>0</v>
      </c>
      <c r="R69" s="4">
        <f>Table3[[#This Row],[weight]]*(0.9155*Table2[[#This Row],[J67'']]-G$9)^2</f>
        <v>0</v>
      </c>
      <c r="S69" s="4">
        <f>chloroform!J74</f>
        <v>0</v>
      </c>
      <c r="T69" t="str">
        <f>chloroform!F74</f>
        <v>4H6</v>
      </c>
    </row>
    <row r="70" spans="11:20" x14ac:dyDescent="0.25">
      <c r="K70">
        <f>chloroform!E75</f>
        <v>396</v>
      </c>
      <c r="L70" s="4">
        <f>Table3[[#This Row],[weight]]*(0.9155*Table2[[#This Row],[J1,2]]-A$9)^2</f>
        <v>0</v>
      </c>
      <c r="M70" s="4">
        <f>Table3[[#This Row],[weight]]*(0.9155*Table2[[#This Row],[J2,3]]-B$9)^2</f>
        <v>0</v>
      </c>
      <c r="N70" s="4">
        <f>Table3[[#This Row],[weight]]*(0.9155*Table2[[#This Row],[J34]]-C$9)^2</f>
        <v>0</v>
      </c>
      <c r="O70" s="4">
        <f>Table3[[#This Row],[weight]]*(0.9155*Table2[[#This Row],[J45]]-D$9)^2</f>
        <v>0</v>
      </c>
      <c r="P70" s="4">
        <f>Table3[[#This Row],[weight]]*(0.9155*Table2[[#This Row],[J56]]-E$9)^2</f>
        <v>0</v>
      </c>
      <c r="Q70" s="4">
        <f>Table3[[#This Row],[weight]]*(0.9155*Table2[[#This Row],[J67]]-F$9)^2</f>
        <v>0</v>
      </c>
      <c r="R70" s="4">
        <f>Table3[[#This Row],[weight]]*(0.9155*Table2[[#This Row],[J67'']]-G$9)^2</f>
        <v>0</v>
      </c>
      <c r="S70" s="4">
        <f>chloroform!J75</f>
        <v>0</v>
      </c>
      <c r="T70" t="str">
        <f>chloroform!F75</f>
        <v>4H6</v>
      </c>
    </row>
  </sheetData>
  <phoneticPr fontId="4" type="noConversion"/>
  <conditionalFormatting sqref="T1:T1048576">
    <cfRule type="cellIs" dxfId="11" priority="1" operator="equal">
      <formula>$E$1</formula>
    </cfRule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0C877-BDD3-45E1-BA89-4846EDD764E0}">
  <dimension ref="A1:T70"/>
  <sheetViews>
    <sheetView topLeftCell="A49" workbookViewId="0">
      <selection activeCell="P74" sqref="P74"/>
    </sheetView>
  </sheetViews>
  <sheetFormatPr defaultRowHeight="15" x14ac:dyDescent="0.25"/>
  <cols>
    <col min="1" max="1" width="14.5703125" customWidth="1"/>
    <col min="11" max="11" width="10.5703125" customWidth="1"/>
    <col min="20" max="20" width="14" customWidth="1"/>
  </cols>
  <sheetData>
    <row r="1" spans="1:20" x14ac:dyDescent="0.25">
      <c r="A1" t="s">
        <v>33</v>
      </c>
      <c r="B1">
        <f>SUMIF(Table1[Classification],E1,Table1[weight])</f>
        <v>0.71725426389689328</v>
      </c>
      <c r="D1" t="s">
        <v>11</v>
      </c>
      <c r="E1" t="s">
        <v>17</v>
      </c>
      <c r="G1">
        <f>COUNTIF(Table3[classification],E1)</f>
        <v>17</v>
      </c>
      <c r="K1" t="s">
        <v>32</v>
      </c>
      <c r="L1" t="s">
        <v>23</v>
      </c>
      <c r="M1" t="s">
        <v>24</v>
      </c>
      <c r="N1" t="s">
        <v>25</v>
      </c>
      <c r="O1" t="s">
        <v>26</v>
      </c>
      <c r="P1" t="s">
        <v>27</v>
      </c>
      <c r="Q1" t="s">
        <v>28</v>
      </c>
      <c r="R1" t="s">
        <v>30</v>
      </c>
      <c r="S1" t="s">
        <v>15</v>
      </c>
      <c r="T1" t="s">
        <v>31</v>
      </c>
    </row>
    <row r="2" spans="1:20" x14ac:dyDescent="0.25">
      <c r="K2" t="str">
        <f>chloroform!K7</f>
        <v>1-2</v>
      </c>
      <c r="L2">
        <f>Table3[[#This Row],[weight]]*(0.9155*Table2[[#This Row],[J1,2]]-A$9)^2</f>
        <v>6.6050913577081493E-4</v>
      </c>
      <c r="M2">
        <f>Table3[[#This Row],[weight]]*(0.9155*Table2[[#This Row],[J2,3]]-B$9)^2</f>
        <v>1.3622639992399096E-5</v>
      </c>
      <c r="N2">
        <f>Table3[[#This Row],[weight]]*(0.9155*Table2[[#This Row],[J34]]-C$9)^2</f>
        <v>4.2539015111677254E-3</v>
      </c>
      <c r="O2">
        <f>Table3[[#This Row],[weight]]*(0.9155*Table2[[#This Row],[J45]]-D$9)^2</f>
        <v>2.3335344669288961E-3</v>
      </c>
      <c r="P2">
        <f>Table3[[#This Row],[weight]]*(0.9155*Table2[[#This Row],[J56]]-E$9)^2</f>
        <v>6.6028052793995809E-4</v>
      </c>
      <c r="Q2">
        <f>Table3[[#This Row],[weight]]*(0.9155*Table2[[#This Row],[J67]]-F$9)^2</f>
        <v>5.5893510931172948E-5</v>
      </c>
      <c r="R2">
        <f>Table3[[#This Row],[weight]]*(0.9155*Table2[[#This Row],[J67'']]-G$9)^2</f>
        <v>0.43697418001445709</v>
      </c>
      <c r="S2">
        <f>chloroform!J7</f>
        <v>2.0443132994926894E-2</v>
      </c>
      <c r="T2" t="str">
        <f>chloroform!F7</f>
        <v>4H6</v>
      </c>
    </row>
    <row r="3" spans="1:20" x14ac:dyDescent="0.25">
      <c r="A3" t="s">
        <v>47</v>
      </c>
      <c r="K3" t="str">
        <f>chloroform!K8</f>
        <v>1-3</v>
      </c>
      <c r="L3">
        <f>Table3[[#This Row],[weight]]*(0.9155*Table2[[#This Row],[J1,2]]-A$9)^2</f>
        <v>5.1849332132413211E-5</v>
      </c>
      <c r="M3">
        <f>Table3[[#This Row],[weight]]*(0.9155*Table2[[#This Row],[J2,3]]-B$9)^2</f>
        <v>4.1256514032089161E-3</v>
      </c>
      <c r="N3">
        <f>Table3[[#This Row],[weight]]*(0.9155*Table2[[#This Row],[J34]]-C$9)^2</f>
        <v>4.440260981426305E-5</v>
      </c>
      <c r="O3">
        <f>Table3[[#This Row],[weight]]*(0.9155*Table2[[#This Row],[J45]]-D$9)^2</f>
        <v>1.8138798933118702E-6</v>
      </c>
      <c r="P3">
        <f>Table3[[#This Row],[weight]]*(0.9155*Table2[[#This Row],[J56]]-E$9)^2</f>
        <v>2.4119338666826928E-3</v>
      </c>
      <c r="Q3">
        <f>Table3[[#This Row],[weight]]*(0.9155*Table2[[#This Row],[J67]]-F$9)^2</f>
        <v>1.4328526688005138E-3</v>
      </c>
      <c r="R3">
        <f>Table3[[#This Row],[weight]]*(0.9155*Table2[[#This Row],[J67'']]-G$9)^2</f>
        <v>0.53713189826406005</v>
      </c>
      <c r="S3">
        <f>chloroform!J8</f>
        <v>2.6474327595882797E-2</v>
      </c>
      <c r="T3" t="str">
        <f>chloroform!F8</f>
        <v>4H6</v>
      </c>
    </row>
    <row r="4" spans="1:20" x14ac:dyDescent="0.25">
      <c r="A4" t="s">
        <v>23</v>
      </c>
      <c r="B4" t="s">
        <v>24</v>
      </c>
      <c r="C4" t="s">
        <v>25</v>
      </c>
      <c r="D4" t="s">
        <v>26</v>
      </c>
      <c r="E4" t="s">
        <v>27</v>
      </c>
      <c r="F4" t="s">
        <v>28</v>
      </c>
      <c r="G4" t="s">
        <v>30</v>
      </c>
      <c r="K4" t="str">
        <f>chloroform!K9</f>
        <v>1-4</v>
      </c>
      <c r="L4">
        <f>Table3[[#This Row],[weight]]*(0.9155*Table2[[#This Row],[J1,2]]-A$9)^2</f>
        <v>1.2361492211398448E-5</v>
      </c>
      <c r="M4">
        <f>Table3[[#This Row],[weight]]*(0.9155*Table2[[#This Row],[J2,3]]-B$9)^2</f>
        <v>6.4119006197934396E-3</v>
      </c>
      <c r="N4">
        <f>Table3[[#This Row],[weight]]*(0.9155*Table2[[#This Row],[J34]]-C$9)^2</f>
        <v>6.9048993881117996E-3</v>
      </c>
      <c r="O4">
        <f>Table3[[#This Row],[weight]]*(0.9155*Table2[[#This Row],[J45]]-D$9)^2</f>
        <v>5.0143775604857745E-4</v>
      </c>
      <c r="P4">
        <f>Table3[[#This Row],[weight]]*(0.9155*Table2[[#This Row],[J56]]-E$9)^2</f>
        <v>1.9769896772131577E-3</v>
      </c>
      <c r="Q4">
        <f>Table3[[#This Row],[weight]]*(0.9155*Table2[[#This Row],[J67]]-F$9)^2</f>
        <v>2.2264393547325664E-2</v>
      </c>
      <c r="R4">
        <f>Table3[[#This Row],[weight]]*(0.9155*Table2[[#This Row],[J67'']]-G$9)^2</f>
        <v>0.27675819916155037</v>
      </c>
      <c r="S4">
        <f>chloroform!J9</f>
        <v>8.2886759934681004E-2</v>
      </c>
      <c r="T4" t="str">
        <f>chloroform!F9</f>
        <v>4H6</v>
      </c>
    </row>
    <row r="5" spans="1:20" x14ac:dyDescent="0.25">
      <c r="A5">
        <f>SUMIF(Table1[Classification],E1,Table2[J1,23])/$B$1</f>
        <v>7.2080421707551983</v>
      </c>
      <c r="B5">
        <f>SUMIF(Table1[Classification],E1,Table2[J2,34])/$B$1</f>
        <v>7.8872125955236907</v>
      </c>
      <c r="C5">
        <f>SUMIF(Table1[Classification],E1,Table2[J345])/$B$1</f>
        <v>5.4872630712461374</v>
      </c>
      <c r="D5">
        <f>SUMIF(Table1[Classification],E1,Table2[J456])/$B$1</f>
        <v>0.50531814095147931</v>
      </c>
      <c r="E5">
        <f>SUMIF(Table1[Classification],E1,Table2[J567])/$B$1</f>
        <v>10.90881843820884</v>
      </c>
      <c r="F5">
        <f>SUMIF(Table1[Classification],E1,Table2[J678])/$B$1</f>
        <v>1.4008200944965239</v>
      </c>
      <c r="G5">
        <f>SUMIF(Table1[Classification],E1,Table2[J67''9])/$B$1</f>
        <v>4.8182292946244001</v>
      </c>
      <c r="K5" t="str">
        <f>chloroform!K10</f>
        <v>1-6</v>
      </c>
      <c r="L5">
        <f>Table3[[#This Row],[weight]]*(0.9155*Table2[[#This Row],[J1,2]]-A$9)^2</f>
        <v>2.6414369773500148E-3</v>
      </c>
      <c r="M5">
        <f>Table3[[#This Row],[weight]]*(0.9155*Table2[[#This Row],[J2,3]]-B$9)^2</f>
        <v>1.6755079881283869E-4</v>
      </c>
      <c r="N5">
        <f>Table3[[#This Row],[weight]]*(0.9155*Table2[[#This Row],[J34]]-C$9)^2</f>
        <v>1.5026990036763522E-2</v>
      </c>
      <c r="O5">
        <f>Table3[[#This Row],[weight]]*(0.9155*Table2[[#This Row],[J45]]-D$9)^2</f>
        <v>5.7087764925116422E-3</v>
      </c>
      <c r="P5">
        <f>Table3[[#This Row],[weight]]*(0.9155*Table2[[#This Row],[J56]]-E$9)^2</f>
        <v>1.3818635925931489E-3</v>
      </c>
      <c r="Q5">
        <f>Table3[[#This Row],[weight]]*(0.9155*Table2[[#This Row],[J67]]-F$9)^2</f>
        <v>1.2896789284223774E-2</v>
      </c>
      <c r="R5">
        <f>Table3[[#This Row],[weight]]*(0.9155*Table2[[#This Row],[J67'']]-G$9)^2</f>
        <v>0.67920852246396768</v>
      </c>
      <c r="S5">
        <f>chloroform!J10</f>
        <v>0.13701802520058434</v>
      </c>
      <c r="T5" t="str">
        <f>chloroform!F10</f>
        <v>4H6</v>
      </c>
    </row>
    <row r="6" spans="1:20" x14ac:dyDescent="0.25">
      <c r="K6" t="str">
        <f>chloroform!K11</f>
        <v>1-7</v>
      </c>
      <c r="L6">
        <f>Table3[[#This Row],[weight]]*(0.9155*Table2[[#This Row],[J1,2]]-A$9)^2</f>
        <v>2.2886527259550512E-3</v>
      </c>
      <c r="M6">
        <f>Table3[[#This Row],[weight]]*(0.9155*Table2[[#This Row],[J2,3]]-B$9)^2</f>
        <v>4.6807545504984737E-3</v>
      </c>
      <c r="N6">
        <f>Table3[[#This Row],[weight]]*(0.9155*Table2[[#This Row],[J34]]-C$9)^2</f>
        <v>3.9063277734213073E-2</v>
      </c>
      <c r="O6">
        <f>Table3[[#This Row],[weight]]*(0.9155*Table2[[#This Row],[J45]]-D$9)^2</f>
        <v>0.14882523796617131</v>
      </c>
      <c r="P6">
        <f>Table3[[#This Row],[weight]]*(0.9155*Table2[[#This Row],[J56]]-E$9)^2</f>
        <v>3.0611149592440077E-2</v>
      </c>
      <c r="Q6">
        <f>Table3[[#This Row],[weight]]*(0.9155*Table2[[#This Row],[J67]]-F$9)^2</f>
        <v>1.5115285273940995E-4</v>
      </c>
      <c r="R6">
        <f>Table3[[#This Row],[weight]]*(0.9155*Table2[[#This Row],[J67'']]-G$9)^2</f>
        <v>3.4238303351792128E-2</v>
      </c>
      <c r="S6">
        <f>chloroform!J11</f>
        <v>4.8979761756914458E-3</v>
      </c>
      <c r="T6" t="str">
        <f>chloroform!F11</f>
        <v>45TH</v>
      </c>
    </row>
    <row r="7" spans="1:20" x14ac:dyDescent="0.25">
      <c r="A7" t="s">
        <v>48</v>
      </c>
      <c r="K7" t="str">
        <f>chloroform!K12</f>
        <v>1-8</v>
      </c>
      <c r="L7">
        <f>Table3[[#This Row],[weight]]*(0.9155*Table2[[#This Row],[J1,2]]-A$9)^2</f>
        <v>1.8145605722363217E-3</v>
      </c>
      <c r="M7">
        <f>Table3[[#This Row],[weight]]*(0.9155*Table2[[#This Row],[J2,3]]-B$9)^2</f>
        <v>1.4132134059115118E-2</v>
      </c>
      <c r="N7">
        <f>Table3[[#This Row],[weight]]*(0.9155*Table2[[#This Row],[J34]]-C$9)^2</f>
        <v>1.2097899573999074E-2</v>
      </c>
      <c r="O7">
        <f>Table3[[#This Row],[weight]]*(0.9155*Table2[[#This Row],[J45]]-D$9)^2</f>
        <v>6.0941705547642273E-4</v>
      </c>
      <c r="P7">
        <f>Table3[[#This Row],[weight]]*(0.9155*Table2[[#This Row],[J56]]-E$9)^2</f>
        <v>1.9610899506157064E-3</v>
      </c>
      <c r="Q7">
        <f>Table3[[#This Row],[weight]]*(0.9155*Table2[[#This Row],[J67]]-F$9)^2</f>
        <v>1.3128131703275289E-3</v>
      </c>
      <c r="R7">
        <f>Table3[[#This Row],[weight]]*(0.9155*Table2[[#This Row],[J67'']]-G$9)^2</f>
        <v>0.39672726767109956</v>
      </c>
      <c r="S7">
        <f>chloroform!J12</f>
        <v>6.8591809039828824E-2</v>
      </c>
      <c r="T7" t="str">
        <f>chloroform!F12</f>
        <v>4H6</v>
      </c>
    </row>
    <row r="8" spans="1:20" x14ac:dyDescent="0.25">
      <c r="A8" t="s">
        <v>23</v>
      </c>
      <c r="B8" t="s">
        <v>24</v>
      </c>
      <c r="C8" t="s">
        <v>25</v>
      </c>
      <c r="D8" t="s">
        <v>26</v>
      </c>
      <c r="E8" t="s">
        <v>27</v>
      </c>
      <c r="F8" t="s">
        <v>28</v>
      </c>
      <c r="G8" t="s">
        <v>30</v>
      </c>
      <c r="K8" t="str">
        <f>chloroform!K13</f>
        <v>1-9</v>
      </c>
      <c r="L8">
        <f>Table3[[#This Row],[weight]]*(0.9155*Table2[[#This Row],[J1,2]]-A$9)^2</f>
        <v>5.806445859482854E-4</v>
      </c>
      <c r="M8">
        <f>Table3[[#This Row],[weight]]*(0.9155*Table2[[#This Row],[J2,3]]-B$9)^2</f>
        <v>8.9112364615991544E-5</v>
      </c>
      <c r="N8">
        <f>Table3[[#This Row],[weight]]*(0.9155*Table2[[#This Row],[J34]]-C$9)^2</f>
        <v>7.3389544143959975E-3</v>
      </c>
      <c r="O8">
        <f>Table3[[#This Row],[weight]]*(0.9155*Table2[[#This Row],[J45]]-D$9)^2</f>
        <v>3.0942276384770787E-3</v>
      </c>
      <c r="P8">
        <f>Table3[[#This Row],[weight]]*(0.9155*Table2[[#This Row],[J56]]-E$9)^2</f>
        <v>8.4515687204926538E-4</v>
      </c>
      <c r="Q8">
        <f>Table3[[#This Row],[weight]]*(0.9155*Table2[[#This Row],[J67]]-F$9)^2</f>
        <v>3.5039332154895381E-2</v>
      </c>
      <c r="R8">
        <f>Table3[[#This Row],[weight]]*(0.9155*Table2[[#This Row],[J67'']]-G$9)^2</f>
        <v>0.50018990244646577</v>
      </c>
      <c r="S8">
        <f>chloroform!J13</f>
        <v>3.6728546106106548E-2</v>
      </c>
      <c r="T8" t="str">
        <f>chloroform!F13</f>
        <v>4H6</v>
      </c>
    </row>
    <row r="9" spans="1:20" x14ac:dyDescent="0.25">
      <c r="A9">
        <f>A5</f>
        <v>7.2080421707551983</v>
      </c>
      <c r="B9">
        <f t="shared" ref="B9:G9" si="0">B5</f>
        <v>7.8872125955236907</v>
      </c>
      <c r="C9">
        <f>C5</f>
        <v>5.4872630712461374</v>
      </c>
      <c r="D9">
        <f t="shared" si="0"/>
        <v>0.50531814095147931</v>
      </c>
      <c r="E9">
        <f t="shared" si="0"/>
        <v>10.90881843820884</v>
      </c>
      <c r="F9">
        <f t="shared" si="0"/>
        <v>1.4008200944965239</v>
      </c>
      <c r="G9">
        <f t="shared" si="0"/>
        <v>4.8182292946244001</v>
      </c>
      <c r="K9" t="str">
        <f>chloroform!K14</f>
        <v>1-14</v>
      </c>
      <c r="L9">
        <f>Table3[[#This Row],[weight]]*(0.9155*Table2[[#This Row],[J1,2]]-A$9)^2</f>
        <v>0</v>
      </c>
      <c r="M9">
        <f>Table3[[#This Row],[weight]]*(0.9155*Table2[[#This Row],[J2,3]]-B$9)^2</f>
        <v>0</v>
      </c>
      <c r="N9">
        <f>Table3[[#This Row],[weight]]*(0.9155*Table2[[#This Row],[J34]]-C$9)^2</f>
        <v>0</v>
      </c>
      <c r="O9">
        <f>Table3[[#This Row],[weight]]*(0.9155*Table2[[#This Row],[J45]]-D$9)^2</f>
        <v>0</v>
      </c>
      <c r="P9">
        <f>Table3[[#This Row],[weight]]*(0.9155*Table2[[#This Row],[J56]]-E$9)^2</f>
        <v>0</v>
      </c>
      <c r="Q9">
        <f>Table3[[#This Row],[weight]]*(0.9155*Table2[[#This Row],[J67]]-F$9)^2</f>
        <v>0</v>
      </c>
      <c r="R9">
        <f>Table3[[#This Row],[weight]]*(0.9155*Table2[[#This Row],[J67'']]-G$9)^2</f>
        <v>0</v>
      </c>
      <c r="S9">
        <f>chloroform!J14</f>
        <v>0</v>
      </c>
      <c r="T9" t="str">
        <f>chloroform!F14</f>
        <v>45TH</v>
      </c>
    </row>
    <row r="10" spans="1:20" x14ac:dyDescent="0.25">
      <c r="K10" t="str">
        <f>chloroform!K15</f>
        <v>1-15</v>
      </c>
      <c r="L10">
        <f>Table3[[#This Row],[weight]]*(0.9155*Table2[[#This Row],[J1,2]]-A$9)^2</f>
        <v>1.1121496346849146E-2</v>
      </c>
      <c r="M10">
        <f>Table3[[#This Row],[weight]]*(0.9155*Table2[[#This Row],[J2,3]]-B$9)^2</f>
        <v>4.5488940257342051E-3</v>
      </c>
      <c r="N10">
        <f>Table3[[#This Row],[weight]]*(0.9155*Table2[[#This Row],[J34]]-C$9)^2</f>
        <v>0.23097422377819093</v>
      </c>
      <c r="O10">
        <f>Table3[[#This Row],[weight]]*(0.9155*Table2[[#This Row],[J45]]-D$9)^2</f>
        <v>0.5307608072130382</v>
      </c>
      <c r="P10">
        <f>Table3[[#This Row],[weight]]*(0.9155*Table2[[#This Row],[J56]]-E$9)^2</f>
        <v>8.7016880683277537E-2</v>
      </c>
      <c r="Q10">
        <f>Table3[[#This Row],[weight]]*(0.9155*Table2[[#This Row],[J67]]-F$9)^2</f>
        <v>3.4257094530244857E-2</v>
      </c>
      <c r="R10">
        <f>Table3[[#This Row],[weight]]*(0.9155*Table2[[#This Row],[J67'']]-G$9)^2</f>
        <v>0.65206063591920693</v>
      </c>
      <c r="S10">
        <f>chloroform!J15</f>
        <v>1.9047002688397006E-2</v>
      </c>
      <c r="T10" t="str">
        <f>chloroform!F15</f>
        <v>45TH</v>
      </c>
    </row>
    <row r="11" spans="1:20" x14ac:dyDescent="0.25">
      <c r="A11" t="s">
        <v>49</v>
      </c>
      <c r="K11" t="str">
        <f>chloroform!K16</f>
        <v>1-16</v>
      </c>
      <c r="L11">
        <f>Table3[[#This Row],[weight]]*(0.9155*Table2[[#This Row],[J1,2]]-A$9)^2</f>
        <v>7.3041161413966619E-5</v>
      </c>
      <c r="M11">
        <f>Table3[[#This Row],[weight]]*(0.9155*Table2[[#This Row],[J2,3]]-B$9)^2</f>
        <v>2.8753908557993231E-3</v>
      </c>
      <c r="N11">
        <f>Table3[[#This Row],[weight]]*(0.9155*Table2[[#This Row],[J34]]-C$9)^2</f>
        <v>3.4319747041005638E-3</v>
      </c>
      <c r="O11">
        <f>Table3[[#This Row],[weight]]*(0.9155*Table2[[#This Row],[J45]]-D$9)^2</f>
        <v>2.1109659849757015E-3</v>
      </c>
      <c r="P11">
        <f>Table3[[#This Row],[weight]]*(0.9155*Table2[[#This Row],[J56]]-E$9)^2</f>
        <v>1.1412378099926965E-5</v>
      </c>
      <c r="Q11">
        <f>Table3[[#This Row],[weight]]*(0.9155*Table2[[#This Row],[J67]]-F$9)^2</f>
        <v>4.9005087976705414E-2</v>
      </c>
      <c r="R11">
        <f>Table3[[#This Row],[weight]]*(0.9155*Table2[[#This Row],[J67'']]-G$9)^2</f>
        <v>0.97546175306948046</v>
      </c>
      <c r="S11">
        <f>chloroform!J16</f>
        <v>7.6914081690591052E-2</v>
      </c>
      <c r="T11" t="str">
        <f>chloroform!F16</f>
        <v>4H6</v>
      </c>
    </row>
    <row r="12" spans="1:20" x14ac:dyDescent="0.25">
      <c r="A12" t="s">
        <v>23</v>
      </c>
      <c r="B12" t="s">
        <v>24</v>
      </c>
      <c r="C12" t="s">
        <v>25</v>
      </c>
      <c r="D12" t="s">
        <v>26</v>
      </c>
      <c r="E12" t="s">
        <v>27</v>
      </c>
      <c r="F12" t="s">
        <v>28</v>
      </c>
      <c r="G12" t="s">
        <v>30</v>
      </c>
      <c r="K12" t="str">
        <f>chloroform!K17</f>
        <v>1-17</v>
      </c>
      <c r="L12">
        <f>Table3[[#This Row],[weight]]*(0.9155*Table2[[#This Row],[J1,2]]-A$9)^2</f>
        <v>4.26362370361155E-2</v>
      </c>
      <c r="M12">
        <f>Table3[[#This Row],[weight]]*(0.9155*Table2[[#This Row],[J2,3]]-B$9)^2</f>
        <v>1.9017979223041236E-2</v>
      </c>
      <c r="N12">
        <f>Table3[[#This Row],[weight]]*(0.9155*Table2[[#This Row],[J34]]-C$9)^2</f>
        <v>0.77454429380164402</v>
      </c>
      <c r="O12">
        <f>Table3[[#This Row],[weight]]*(0.9155*Table2[[#This Row],[J45]]-D$9)^2</f>
        <v>1.6794832640556592</v>
      </c>
      <c r="P12">
        <f>Table3[[#This Row],[weight]]*(0.9155*Table2[[#This Row],[J56]]-E$9)^2</f>
        <v>0.14788051372699326</v>
      </c>
      <c r="Q12">
        <f>Table3[[#This Row],[weight]]*(0.9155*Table2[[#This Row],[J67]]-F$9)^2</f>
        <v>1.638909730679948E-2</v>
      </c>
      <c r="R12">
        <f>Table3[[#This Row],[weight]]*(0.9155*Table2[[#This Row],[J67'']]-G$9)^2</f>
        <v>0.65738835214107194</v>
      </c>
      <c r="S12">
        <f>chloroform!J17</f>
        <v>6.9642563450323117E-2</v>
      </c>
      <c r="T12" t="str">
        <f>chloroform!F17</f>
        <v>45TH</v>
      </c>
    </row>
    <row r="13" spans="1:20" x14ac:dyDescent="0.25">
      <c r="A13">
        <f t="shared" ref="A13:G13" si="1">SQRT(SUMIF($T$2:$T$46,$E$1,L$2:L$46)/(($G$1-1)*$B$1/$G$1))</f>
        <v>0.1128096864651818</v>
      </c>
      <c r="B13">
        <f t="shared" si="1"/>
        <v>0.24304974986187147</v>
      </c>
      <c r="C13">
        <f t="shared" si="1"/>
        <v>0.33199590886595653</v>
      </c>
      <c r="D13">
        <f t="shared" si="1"/>
        <v>0.20012290261706761</v>
      </c>
      <c r="E13">
        <f t="shared" si="1"/>
        <v>0.20910132373012794</v>
      </c>
      <c r="F13">
        <f t="shared" si="1"/>
        <v>0.63787921541429538</v>
      </c>
      <c r="G13">
        <f t="shared" si="1"/>
        <v>3.7970786408492416</v>
      </c>
      <c r="K13" t="str">
        <f>chloroform!K18</f>
        <v>1-19</v>
      </c>
      <c r="L13">
        <f>Table3[[#This Row],[weight]]*(0.9155*Table2[[#This Row],[J1,2]]-A$9)^2</f>
        <v>2.1577324454771737E-3</v>
      </c>
      <c r="M13">
        <f>Table3[[#This Row],[weight]]*(0.9155*Table2[[#This Row],[J2,3]]-B$9)^2</f>
        <v>0.1040993217902338</v>
      </c>
      <c r="N13">
        <f>Table3[[#This Row],[weight]]*(0.9155*Table2[[#This Row],[J34]]-C$9)^2</f>
        <v>8.5881173422506729E-2</v>
      </c>
      <c r="O13">
        <f>Table3[[#This Row],[weight]]*(0.9155*Table2[[#This Row],[J45]]-D$9)^2</f>
        <v>0.18339061434582465</v>
      </c>
      <c r="P13">
        <f>Table3[[#This Row],[weight]]*(0.9155*Table2[[#This Row],[J56]]-E$9)^2</f>
        <v>0.325040160435068</v>
      </c>
      <c r="Q13">
        <f>Table3[[#This Row],[weight]]*(0.9155*Table2[[#This Row],[J67]]-F$9)^2</f>
        <v>0.30059762480380864</v>
      </c>
      <c r="R13">
        <f>Table3[[#This Row],[weight]]*(0.9155*Table2[[#This Row],[J67'']]-G$9)^2</f>
        <v>1.299739878517766E-3</v>
      </c>
      <c r="S13">
        <f>chloroform!J18</f>
        <v>2.8545917385225878E-3</v>
      </c>
      <c r="T13" t="str">
        <f>chloroform!F18</f>
        <v>6H4</v>
      </c>
    </row>
    <row r="14" spans="1:20" x14ac:dyDescent="0.25">
      <c r="K14" t="str">
        <f>chloroform!K19</f>
        <v>1-20</v>
      </c>
      <c r="L14">
        <f>Table3[[#This Row],[weight]]*(0.9155*Table2[[#This Row],[J1,2]]-A$9)^2</f>
        <v>1.925835823064369E-4</v>
      </c>
      <c r="M14">
        <f>Table3[[#This Row],[weight]]*(0.9155*Table2[[#This Row],[J2,3]]-B$9)^2</f>
        <v>1.2698102021025592E-3</v>
      </c>
      <c r="N14">
        <f>Table3[[#This Row],[weight]]*(0.9155*Table2[[#This Row],[J34]]-C$9)^2</f>
        <v>1.126898029912167E-2</v>
      </c>
      <c r="O14">
        <f>Table3[[#This Row],[weight]]*(0.9155*Table2[[#This Row],[J45]]-D$9)^2</f>
        <v>4.1568779285949126E-3</v>
      </c>
      <c r="P14">
        <f>Table3[[#This Row],[weight]]*(0.9155*Table2[[#This Row],[J56]]-E$9)^2</f>
        <v>9.963292583325047E-4</v>
      </c>
      <c r="Q14">
        <f>Table3[[#This Row],[weight]]*(0.9155*Table2[[#This Row],[J67]]-F$9)^2</f>
        <v>7.1264287248742151E-3</v>
      </c>
      <c r="R14">
        <f>Table3[[#This Row],[weight]]*(0.9155*Table2[[#This Row],[J67'']]-G$9)^2</f>
        <v>0.5578805102483142</v>
      </c>
      <c r="S14">
        <f>chloroform!J19</f>
        <v>6.7511764566552959E-2</v>
      </c>
      <c r="T14" t="str">
        <f>chloroform!F19</f>
        <v>4H6</v>
      </c>
    </row>
    <row r="15" spans="1:20" x14ac:dyDescent="0.25">
      <c r="K15" t="str">
        <f>chloroform!K20</f>
        <v>1-21</v>
      </c>
      <c r="L15">
        <f>Table3[[#This Row],[weight]]*(0.9155*Table2[[#This Row],[J1,2]]-A$9)^2</f>
        <v>1.3645835053874839E-4</v>
      </c>
      <c r="M15">
        <f>Table3[[#This Row],[weight]]*(0.9155*Table2[[#This Row],[J2,3]]-B$9)^2</f>
        <v>1.3503770220599555E-3</v>
      </c>
      <c r="N15">
        <f>Table3[[#This Row],[weight]]*(0.9155*Table2[[#This Row],[J34]]-C$9)^2</f>
        <v>7.2299466502505509E-5</v>
      </c>
      <c r="O15">
        <f>Table3[[#This Row],[weight]]*(0.9155*Table2[[#This Row],[J45]]-D$9)^2</f>
        <v>4.2463468827382749E-5</v>
      </c>
      <c r="P15">
        <f>Table3[[#This Row],[weight]]*(0.9155*Table2[[#This Row],[J56]]-E$9)^2</f>
        <v>2.2629938228487675E-3</v>
      </c>
      <c r="Q15">
        <f>Table3[[#This Row],[weight]]*(0.9155*Table2[[#This Row],[J67]]-F$9)^2</f>
        <v>2.9856451537842659E-4</v>
      </c>
      <c r="R15">
        <f>Table3[[#This Row],[weight]]*(0.9155*Table2[[#This Row],[J67'']]-G$9)^2</f>
        <v>6.4496869061839612E-4</v>
      </c>
      <c r="S15">
        <f>chloroform!J20</f>
        <v>4.7383043906060167E-5</v>
      </c>
      <c r="T15" t="str">
        <f>chloroform!F20</f>
        <v>TH45</v>
      </c>
    </row>
    <row r="16" spans="1:20" x14ac:dyDescent="0.25">
      <c r="K16" t="str">
        <f>chloroform!K21</f>
        <v>1-22</v>
      </c>
      <c r="L16">
        <f>Table3[[#This Row],[weight]]*(0.9155*Table2[[#This Row],[J1,2]]-A$9)^2</f>
        <v>1.3568773131467264E-4</v>
      </c>
      <c r="M16">
        <f>Table3[[#This Row],[weight]]*(0.9155*Table2[[#This Row],[J2,3]]-B$9)^2</f>
        <v>2.8392315403840968E-4</v>
      </c>
      <c r="N16">
        <f>Table3[[#This Row],[weight]]*(0.9155*Table2[[#This Row],[J34]]-C$9)^2</f>
        <v>2.5412083371826127E-3</v>
      </c>
      <c r="O16">
        <f>Table3[[#This Row],[weight]]*(0.9155*Table2[[#This Row],[J45]]-D$9)^2</f>
        <v>1.0493893343835214E-2</v>
      </c>
      <c r="P16">
        <f>Table3[[#This Row],[weight]]*(0.9155*Table2[[#This Row],[J56]]-E$9)^2</f>
        <v>2.3861660018327964E-3</v>
      </c>
      <c r="Q16">
        <f>Table3[[#This Row],[weight]]*(0.9155*Table2[[#This Row],[J67]]-F$9)^2</f>
        <v>1.1809179257270129E-3</v>
      </c>
      <c r="R16">
        <f>Table3[[#This Row],[weight]]*(0.9155*Table2[[#This Row],[J67'']]-G$9)^2</f>
        <v>1.0696061576758996E-2</v>
      </c>
      <c r="S16">
        <f>chloroform!J21</f>
        <v>3.0913911731859928E-4</v>
      </c>
      <c r="T16" t="str">
        <f>chloroform!F21</f>
        <v>45TH</v>
      </c>
    </row>
    <row r="17" spans="7:20" x14ac:dyDescent="0.25">
      <c r="K17" t="str">
        <f>chloroform!K22</f>
        <v>1-23</v>
      </c>
      <c r="L17">
        <f>Table3[[#This Row],[weight]]*(0.9155*Table2[[#This Row],[J1,2]]-A$9)^2</f>
        <v>0</v>
      </c>
      <c r="M17">
        <f>Table3[[#This Row],[weight]]*(0.9155*Table2[[#This Row],[J2,3]]-B$9)^2</f>
        <v>0</v>
      </c>
      <c r="N17">
        <f>Table3[[#This Row],[weight]]*(0.9155*Table2[[#This Row],[J34]]-C$9)^2</f>
        <v>0</v>
      </c>
      <c r="O17">
        <f>Table3[[#This Row],[weight]]*(0.9155*Table2[[#This Row],[J45]]-D$9)^2</f>
        <v>0</v>
      </c>
      <c r="P17">
        <f>Table3[[#This Row],[weight]]*(0.9155*Table2[[#This Row],[J56]]-E$9)^2</f>
        <v>0</v>
      </c>
      <c r="Q17">
        <f>Table3[[#This Row],[weight]]*(0.9155*Table2[[#This Row],[J67]]-F$9)^2</f>
        <v>0</v>
      </c>
      <c r="R17">
        <f>Table3[[#This Row],[weight]]*(0.9155*Table2[[#This Row],[J67'']]-G$9)^2</f>
        <v>0</v>
      </c>
      <c r="S17">
        <f>chloroform!J22</f>
        <v>0</v>
      </c>
      <c r="T17" t="str">
        <f>chloroform!F22</f>
        <v>TH45</v>
      </c>
    </row>
    <row r="18" spans="7:20" x14ac:dyDescent="0.25">
      <c r="G18" t="s">
        <v>23</v>
      </c>
      <c r="K18" t="str">
        <f>chloroform!K23</f>
        <v>1-24</v>
      </c>
      <c r="L18">
        <f>Table3[[#This Row],[weight]]*(0.9155*Table2[[#This Row],[J1,2]]-A$9)^2</f>
        <v>2.0173532917753127E-4</v>
      </c>
      <c r="M18">
        <f>Table3[[#This Row],[weight]]*(0.9155*Table2[[#This Row],[J2,3]]-B$9)^2</f>
        <v>4.3873357096576557E-4</v>
      </c>
      <c r="N18">
        <f>Table3[[#This Row],[weight]]*(0.9155*Table2[[#This Row],[J34]]-C$9)^2</f>
        <v>3.5929864270241568E-3</v>
      </c>
      <c r="O18">
        <f>Table3[[#This Row],[weight]]*(0.9155*Table2[[#This Row],[J45]]-D$9)^2</f>
        <v>1.4516253904970694E-2</v>
      </c>
      <c r="P18">
        <f>Table3[[#This Row],[weight]]*(0.9155*Table2[[#This Row],[J56]]-E$9)^2</f>
        <v>1.9026392693570968E-3</v>
      </c>
      <c r="Q18">
        <f>Table3[[#This Row],[weight]]*(0.9155*Table2[[#This Row],[J67]]-F$9)^2</f>
        <v>3.5795479420803258E-2</v>
      </c>
      <c r="R18">
        <f>Table3[[#This Row],[weight]]*(0.9155*Table2[[#This Row],[J67'']]-G$9)^2</f>
        <v>2.8742656274461562E-3</v>
      </c>
      <c r="S18">
        <f>chloroform!J23</f>
        <v>4.9168885002817317E-4</v>
      </c>
      <c r="T18" t="str">
        <f>chloroform!F23</f>
        <v>45TH</v>
      </c>
    </row>
    <row r="19" spans="7:20" x14ac:dyDescent="0.25">
      <c r="G19" t="s">
        <v>24</v>
      </c>
      <c r="K19" t="str">
        <f>chloroform!K24</f>
        <v>1-26</v>
      </c>
      <c r="L19">
        <f>Table3[[#This Row],[weight]]*(0.9155*Table2[[#This Row],[J1,2]]-A$9)^2</f>
        <v>4.3203117717771468E-3</v>
      </c>
      <c r="M19">
        <f>Table3[[#This Row],[weight]]*(0.9155*Table2[[#This Row],[J2,3]]-B$9)^2</f>
        <v>2.1285562964480798E-3</v>
      </c>
      <c r="N19">
        <f>Table3[[#This Row],[weight]]*(0.9155*Table2[[#This Row],[J34]]-C$9)^2</f>
        <v>9.2246155212856368E-2</v>
      </c>
      <c r="O19">
        <f>Table3[[#This Row],[weight]]*(0.9155*Table2[[#This Row],[J45]]-D$9)^2</f>
        <v>0.31704573175110712</v>
      </c>
      <c r="P19">
        <f>Table3[[#This Row],[weight]]*(0.9155*Table2[[#This Row],[J56]]-E$9)^2</f>
        <v>5.6489279964934289E-2</v>
      </c>
      <c r="Q19">
        <f>Table3[[#This Row],[weight]]*(0.9155*Table2[[#This Row],[J67]]-F$9)^2</f>
        <v>1.1949749821374706E-3</v>
      </c>
      <c r="R19">
        <f>Table3[[#This Row],[weight]]*(0.9155*Table2[[#This Row],[J67'']]-G$9)^2</f>
        <v>5.5539255665479931E-2</v>
      </c>
      <c r="S19">
        <f>chloroform!J24</f>
        <v>6.2430231388068413E-3</v>
      </c>
      <c r="T19" t="str">
        <f>chloroform!F24</f>
        <v>45TH</v>
      </c>
    </row>
    <row r="20" spans="7:20" x14ac:dyDescent="0.25">
      <c r="G20" t="s">
        <v>25</v>
      </c>
      <c r="K20" t="str">
        <f>chloroform!K25</f>
        <v>1-27</v>
      </c>
      <c r="L20">
        <f>Table3[[#This Row],[weight]]*(0.9155*Table2[[#This Row],[J1,2]]-A$9)^2</f>
        <v>1.6094838755292267E-3</v>
      </c>
      <c r="M20">
        <f>Table3[[#This Row],[weight]]*(0.9155*Table2[[#This Row],[J2,3]]-B$9)^2</f>
        <v>5.6811070848162422E-5</v>
      </c>
      <c r="N20">
        <f>Table3[[#This Row],[weight]]*(0.9155*Table2[[#This Row],[J34]]-C$9)^2</f>
        <v>1.1661348392208655E-2</v>
      </c>
      <c r="O20">
        <f>Table3[[#This Row],[weight]]*(0.9155*Table2[[#This Row],[J45]]-D$9)^2</f>
        <v>8.1297677547922265E-3</v>
      </c>
      <c r="P20">
        <f>Table3[[#This Row],[weight]]*(0.9155*Table2[[#This Row],[J56]]-E$9)^2</f>
        <v>2.6482291847056008E-3</v>
      </c>
      <c r="Q20">
        <f>Table3[[#This Row],[weight]]*(0.9155*Table2[[#This Row],[J67]]-F$9)^2</f>
        <v>2.6660994883986192E-3</v>
      </c>
      <c r="R20">
        <f>Table3[[#This Row],[weight]]*(0.9155*Table2[[#This Row],[J67'']]-G$9)^2</f>
        <v>1.4289476572998647</v>
      </c>
      <c r="S20">
        <f>chloroform!J25</f>
        <v>5.4715696994462895E-2</v>
      </c>
      <c r="T20" t="str">
        <f>chloroform!F25</f>
        <v>4H6</v>
      </c>
    </row>
    <row r="21" spans="7:20" x14ac:dyDescent="0.25">
      <c r="G21" t="s">
        <v>26</v>
      </c>
      <c r="K21" t="str">
        <f>chloroform!K26</f>
        <v>1-30</v>
      </c>
      <c r="L21">
        <f>Table3[[#This Row],[weight]]*(0.9155*Table2[[#This Row],[J1,2]]-A$9)^2</f>
        <v>1.8833074608938492E-4</v>
      </c>
      <c r="M21">
        <f>Table3[[#This Row],[weight]]*(0.9155*Table2[[#This Row],[J2,3]]-B$9)^2</f>
        <v>2.4190354202611248E-2</v>
      </c>
      <c r="N21">
        <f>Table3[[#This Row],[weight]]*(0.9155*Table2[[#This Row],[J34]]-C$9)^2</f>
        <v>2.2102299352748416E-2</v>
      </c>
      <c r="O21">
        <f>Table3[[#This Row],[weight]]*(0.9155*Table2[[#This Row],[J45]]-D$9)^2</f>
        <v>4.5452587392997942E-2</v>
      </c>
      <c r="P21">
        <f>Table3[[#This Row],[weight]]*(0.9155*Table2[[#This Row],[J56]]-E$9)^2</f>
        <v>7.8205192965538808E-2</v>
      </c>
      <c r="Q21">
        <f>Table3[[#This Row],[weight]]*(0.9155*Table2[[#This Row],[J67]]-F$9)^2</f>
        <v>6.5723233944472617E-2</v>
      </c>
      <c r="R21">
        <f>Table3[[#This Row],[weight]]*(0.9155*Table2[[#This Row],[J67'']]-G$9)^2</f>
        <v>1.1832860841885047E-3</v>
      </c>
      <c r="S21">
        <f>chloroform!J26</f>
        <v>6.7806516787653249E-4</v>
      </c>
      <c r="T21" t="str">
        <f>chloroform!F26</f>
        <v>6H4</v>
      </c>
    </row>
    <row r="22" spans="7:20" x14ac:dyDescent="0.25">
      <c r="G22" t="s">
        <v>27</v>
      </c>
      <c r="K22" t="str">
        <f>chloroform!K27</f>
        <v>1-33</v>
      </c>
      <c r="L22">
        <f>Table3[[#This Row],[weight]]*(0.9155*Table2[[#This Row],[J1,2]]-A$9)^2</f>
        <v>6.0721859771367453E-4</v>
      </c>
      <c r="M22">
        <f>Table3[[#This Row],[weight]]*(0.9155*Table2[[#This Row],[J2,3]]-B$9)^2</f>
        <v>1.2990819994709551E-3</v>
      </c>
      <c r="N22">
        <f>Table3[[#This Row],[weight]]*(0.9155*Table2[[#This Row],[J34]]-C$9)^2</f>
        <v>1.212919097647362E-2</v>
      </c>
      <c r="O22">
        <f>Table3[[#This Row],[weight]]*(0.9155*Table2[[#This Row],[J45]]-D$9)^2</f>
        <v>4.5854926417445083E-2</v>
      </c>
      <c r="P22">
        <f>Table3[[#This Row],[weight]]*(0.9155*Table2[[#This Row],[J56]]-E$9)^2</f>
        <v>8.566464112920608E-3</v>
      </c>
      <c r="Q22">
        <f>Table3[[#This Row],[weight]]*(0.9155*Table2[[#This Row],[J67]]-F$9)^2</f>
        <v>3.2654953910496047E-4</v>
      </c>
      <c r="R22">
        <f>Table3[[#This Row],[weight]]*(0.9155*Table2[[#This Row],[J67'']]-G$9)^2</f>
        <v>4.6040242316876499E-2</v>
      </c>
      <c r="S22">
        <f>chloroform!J27</f>
        <v>1.3170973837027624E-3</v>
      </c>
      <c r="T22" t="str">
        <f>chloroform!F27</f>
        <v>45TH</v>
      </c>
    </row>
    <row r="23" spans="7:20" x14ac:dyDescent="0.25">
      <c r="G23" t="s">
        <v>28</v>
      </c>
      <c r="K23" t="str">
        <f>chloroform!K28</f>
        <v>1-34</v>
      </c>
      <c r="L23">
        <f>Table3[[#This Row],[weight]]*(0.9155*Table2[[#This Row],[J1,2]]-A$9)^2</f>
        <v>1.6934636035418777E-4</v>
      </c>
      <c r="M23">
        <f>Table3[[#This Row],[weight]]*(0.9155*Table2[[#This Row],[J2,3]]-B$9)^2</f>
        <v>1.8954409392218142E-2</v>
      </c>
      <c r="N23">
        <f>Table3[[#This Row],[weight]]*(0.9155*Table2[[#This Row],[J34]]-C$9)^2</f>
        <v>1.7814819092763133E-2</v>
      </c>
      <c r="O23">
        <f>Table3[[#This Row],[weight]]*(0.9155*Table2[[#This Row],[J45]]-D$9)^2</f>
        <v>4.2787042332792367E-2</v>
      </c>
      <c r="P23">
        <f>Table3[[#This Row],[weight]]*(0.9155*Table2[[#This Row],[J56]]-E$9)^2</f>
        <v>5.7726353266181356E-2</v>
      </c>
      <c r="Q23">
        <f>Table3[[#This Row],[weight]]*(0.9155*Table2[[#This Row],[J67]]-F$9)^2</f>
        <v>4.7742543556719909E-5</v>
      </c>
      <c r="R23">
        <f>Table3[[#This Row],[weight]]*(0.9155*Table2[[#This Row],[J67'']]-G$9)^2</f>
        <v>5.638180713137186E-4</v>
      </c>
      <c r="S23">
        <f>chloroform!J28</f>
        <v>5.489938901080875E-4</v>
      </c>
      <c r="T23" t="str">
        <f>chloroform!F28</f>
        <v>6H4</v>
      </c>
    </row>
    <row r="24" spans="7:20" x14ac:dyDescent="0.25">
      <c r="G24" t="s">
        <v>30</v>
      </c>
      <c r="K24" t="str">
        <f>chloroform!K29</f>
        <v>1-38</v>
      </c>
      <c r="L24">
        <f>Table3[[#This Row],[weight]]*(0.9155*Table2[[#This Row],[J1,2]]-A$9)^2</f>
        <v>2.2816042171626489E-2</v>
      </c>
      <c r="M24">
        <f>Table3[[#This Row],[weight]]*(0.9155*Table2[[#This Row],[J2,3]]-B$9)^2</f>
        <v>1.2056242645437015E-2</v>
      </c>
      <c r="N24">
        <f>Table3[[#This Row],[weight]]*(0.9155*Table2[[#This Row],[J34]]-C$9)^2</f>
        <v>0.45423533756009404</v>
      </c>
      <c r="O24">
        <f>Table3[[#This Row],[weight]]*(0.9155*Table2[[#This Row],[J45]]-D$9)^2</f>
        <v>1.0965998950871636</v>
      </c>
      <c r="P24">
        <f>Table3[[#This Row],[weight]]*(0.9155*Table2[[#This Row],[J56]]-E$9)^2</f>
        <v>0.13007712654389278</v>
      </c>
      <c r="Q24">
        <f>Table3[[#This Row],[weight]]*(0.9155*Table2[[#This Row],[J67]]-F$9)^2</f>
        <v>1.1033292991479454E-2</v>
      </c>
      <c r="R24">
        <f>Table3[[#This Row],[weight]]*(0.9155*Table2[[#This Row],[J67'']]-G$9)^2</f>
        <v>0.33742848775219303</v>
      </c>
      <c r="S24">
        <f>chloroform!J29</f>
        <v>3.4704749215741508E-2</v>
      </c>
      <c r="T24" t="str">
        <f>chloroform!F29</f>
        <v>45TH</v>
      </c>
    </row>
    <row r="25" spans="7:20" x14ac:dyDescent="0.25">
      <c r="K25" t="str">
        <f>chloroform!K30</f>
        <v>1-39</v>
      </c>
      <c r="L25">
        <f>Table3[[#This Row],[weight]]*(0.9155*Table2[[#This Row],[J1,2]]-A$9)^2</f>
        <v>8.9991855399300776E-5</v>
      </c>
      <c r="M25">
        <f>Table3[[#This Row],[weight]]*(0.9155*Table2[[#This Row],[J2,3]]-B$9)^2</f>
        <v>1.0686097423561639E-2</v>
      </c>
      <c r="N25">
        <f>Table3[[#This Row],[weight]]*(0.9155*Table2[[#This Row],[J34]]-C$9)^2</f>
        <v>1.6882513593186529E-3</v>
      </c>
      <c r="O25">
        <f>Table3[[#This Row],[weight]]*(0.9155*Table2[[#This Row],[J45]]-D$9)^2</f>
        <v>1.7553067297538407E-4</v>
      </c>
      <c r="P25">
        <f>Table3[[#This Row],[weight]]*(0.9155*Table2[[#This Row],[J56]]-E$9)^2</f>
        <v>1.6170045964108194E-2</v>
      </c>
      <c r="Q25">
        <f>Table3[[#This Row],[weight]]*(0.9155*Table2[[#This Row],[J67]]-F$9)^2</f>
        <v>2.7006299907327384E-3</v>
      </c>
      <c r="R25">
        <f>Table3[[#This Row],[weight]]*(0.9155*Table2[[#This Row],[J67'']]-G$9)^2</f>
        <v>2.4900233455280176</v>
      </c>
      <c r="S25">
        <f>chloroform!J30</f>
        <v>9.1054724218691138E-2</v>
      </c>
      <c r="T25" t="str">
        <f>chloroform!F30</f>
        <v>4H6</v>
      </c>
    </row>
    <row r="26" spans="7:20" x14ac:dyDescent="0.25">
      <c r="K26" t="str">
        <f>chloroform!K31</f>
        <v>1-41</v>
      </c>
      <c r="L26">
        <f>Table3[[#This Row],[weight]]*(0.9155*Table2[[#This Row],[J1,2]]-A$9)^2</f>
        <v>8.2965691287788463E-4</v>
      </c>
      <c r="M26">
        <f>Table3[[#This Row],[weight]]*(0.9155*Table2[[#This Row],[J2,3]]-B$9)^2</f>
        <v>4.7774638245865793E-5</v>
      </c>
      <c r="N26">
        <f>Table3[[#This Row],[weight]]*(0.9155*Table2[[#This Row],[J34]]-C$9)^2</f>
        <v>1.4216985596179348E-4</v>
      </c>
      <c r="O26">
        <f>Table3[[#This Row],[weight]]*(0.9155*Table2[[#This Row],[J45]]-D$9)^2</f>
        <v>1.2196530252518047E-4</v>
      </c>
      <c r="P26">
        <f>Table3[[#This Row],[weight]]*(0.9155*Table2[[#This Row],[J56]]-E$9)^2</f>
        <v>3.9376925362868829E-4</v>
      </c>
      <c r="Q26">
        <f>Table3[[#This Row],[weight]]*(0.9155*Table2[[#This Row],[J67]]-F$9)^2</f>
        <v>2.177449828012486E-3</v>
      </c>
      <c r="R26">
        <f>Table3[[#This Row],[weight]]*(0.9155*Table2[[#This Row],[J67'']]-G$9)^2</f>
        <v>1.3976736168420614</v>
      </c>
      <c r="S26">
        <f>chloroform!J31</f>
        <v>5.1723797878644208E-2</v>
      </c>
      <c r="T26" t="str">
        <f>chloroform!F31</f>
        <v>4H6</v>
      </c>
    </row>
    <row r="27" spans="7:20" x14ac:dyDescent="0.25">
      <c r="K27" t="str">
        <f>chloroform!K32</f>
        <v>1-45</v>
      </c>
      <c r="L27">
        <f>Table3[[#This Row],[weight]]*(0.9155*Table2[[#This Row],[J1,2]]-A$9)^2</f>
        <v>0</v>
      </c>
      <c r="M27">
        <f>Table3[[#This Row],[weight]]*(0.9155*Table2[[#This Row],[J2,3]]-B$9)^2</f>
        <v>0</v>
      </c>
      <c r="N27">
        <f>Table3[[#This Row],[weight]]*(0.9155*Table2[[#This Row],[J34]]-C$9)^2</f>
        <v>0</v>
      </c>
      <c r="O27">
        <f>Table3[[#This Row],[weight]]*(0.9155*Table2[[#This Row],[J45]]-D$9)^2</f>
        <v>0</v>
      </c>
      <c r="P27">
        <f>Table3[[#This Row],[weight]]*(0.9155*Table2[[#This Row],[J56]]-E$9)^2</f>
        <v>0</v>
      </c>
      <c r="Q27">
        <f>Table3[[#This Row],[weight]]*(0.9155*Table2[[#This Row],[J67]]-F$9)^2</f>
        <v>0</v>
      </c>
      <c r="R27">
        <f>Table3[[#This Row],[weight]]*(0.9155*Table2[[#This Row],[J67'']]-G$9)^2</f>
        <v>0</v>
      </c>
      <c r="S27">
        <f>chloroform!J32</f>
        <v>0</v>
      </c>
      <c r="T27" t="str">
        <f>chloroform!F32</f>
        <v>45TH</v>
      </c>
    </row>
    <row r="28" spans="7:20" x14ac:dyDescent="0.25">
      <c r="K28" t="str">
        <f>chloroform!K33</f>
        <v>1-48</v>
      </c>
      <c r="L28">
        <f>Table3[[#This Row],[weight]]*(0.9155*Table2[[#This Row],[J1,2]]-A$9)^2</f>
        <v>2.9026522831355761E-3</v>
      </c>
      <c r="M28">
        <f>Table3[[#This Row],[weight]]*(0.9155*Table2[[#This Row],[J2,3]]-B$9)^2</f>
        <v>5.9797422041562083E-2</v>
      </c>
      <c r="N28">
        <f>Table3[[#This Row],[weight]]*(0.9155*Table2[[#This Row],[J34]]-C$9)^2</f>
        <v>0.1997691473626973</v>
      </c>
      <c r="O28">
        <f>Table3[[#This Row],[weight]]*(0.9155*Table2[[#This Row],[J45]]-D$9)^2</f>
        <v>1.2922164595859313</v>
      </c>
      <c r="P28">
        <f>Table3[[#This Row],[weight]]*(0.9155*Table2[[#This Row],[J56]]-E$9)^2</f>
        <v>0.11098312781931535</v>
      </c>
      <c r="Q28">
        <f>Table3[[#This Row],[weight]]*(0.9155*Table2[[#This Row],[J67]]-F$9)^2</f>
        <v>1.9282687571245537E-3</v>
      </c>
      <c r="R28">
        <f>Table3[[#This Row],[weight]]*(0.9155*Table2[[#This Row],[J67'']]-G$9)^2</f>
        <v>0.37764938581069912</v>
      </c>
      <c r="S28">
        <f>chloroform!J33</f>
        <v>1.2220843534505128E-2</v>
      </c>
      <c r="T28" t="str">
        <f>chloroform!F33</f>
        <v>56TH</v>
      </c>
    </row>
    <row r="29" spans="7:20" x14ac:dyDescent="0.25">
      <c r="K29" t="str">
        <f>chloroform!K34</f>
        <v>1-57</v>
      </c>
      <c r="L29">
        <f>Table3[[#This Row],[weight]]*(0.9155*Table2[[#This Row],[J1,2]]-A$9)^2</f>
        <v>7.6327978420225279E-4</v>
      </c>
      <c r="M29">
        <f>Table3[[#This Row],[weight]]*(0.9155*Table2[[#This Row],[J2,3]]-B$9)^2</f>
        <v>3.0277387375585156E-2</v>
      </c>
      <c r="N29">
        <f>Table3[[#This Row],[weight]]*(0.9155*Table2[[#This Row],[J34]]-C$9)^2</f>
        <v>2.9155496858942309E-2</v>
      </c>
      <c r="O29">
        <f>Table3[[#This Row],[weight]]*(0.9155*Table2[[#This Row],[J45]]-D$9)^2</f>
        <v>2.9307340759082305E-2</v>
      </c>
      <c r="P29">
        <f>Table3[[#This Row],[weight]]*(0.9155*Table2[[#This Row],[J56]]-E$9)^2</f>
        <v>9.1512915470452816E-2</v>
      </c>
      <c r="Q29">
        <f>Table3[[#This Row],[weight]]*(0.9155*Table2[[#This Row],[J67]]-F$9)^2</f>
        <v>2.5240910594685642E-3</v>
      </c>
      <c r="R29">
        <f>Table3[[#This Row],[weight]]*(0.9155*Table2[[#This Row],[J67'']]-G$9)^2</f>
        <v>4.4223106477292273E-2</v>
      </c>
      <c r="S29">
        <f>chloroform!J34</f>
        <v>8.3608116631864952E-4</v>
      </c>
      <c r="T29" t="str">
        <f>chloroform!F34</f>
        <v>6H4</v>
      </c>
    </row>
    <row r="30" spans="7:20" x14ac:dyDescent="0.25">
      <c r="K30" t="str">
        <f>chloroform!K35</f>
        <v>1-59</v>
      </c>
      <c r="L30">
        <f>Table3[[#This Row],[weight]]*(0.9155*Table2[[#This Row],[J1,2]]-A$9)^2</f>
        <v>2.6729973292705052E-4</v>
      </c>
      <c r="M30">
        <f>Table3[[#This Row],[weight]]*(0.9155*Table2[[#This Row],[J2,3]]-B$9)^2</f>
        <v>2.1293036364004054E-3</v>
      </c>
      <c r="N30">
        <f>Table3[[#This Row],[weight]]*(0.9155*Table2[[#This Row],[J34]]-C$9)^2</f>
        <v>1.6018463190319826E-4</v>
      </c>
      <c r="O30">
        <f>Table3[[#This Row],[weight]]*(0.9155*Table2[[#This Row],[J45]]-D$9)^2</f>
        <v>1.7604792664575558E-5</v>
      </c>
      <c r="P30">
        <f>Table3[[#This Row],[weight]]*(0.9155*Table2[[#This Row],[J56]]-E$9)^2</f>
        <v>2.2914019043911308E-3</v>
      </c>
      <c r="Q30">
        <f>Table3[[#This Row],[weight]]*(0.9155*Table2[[#This Row],[J67]]-F$9)^2</f>
        <v>1.6549284856952879E-5</v>
      </c>
      <c r="R30">
        <f>Table3[[#This Row],[weight]]*(0.9155*Table2[[#This Row],[J67'']]-G$9)^2</f>
        <v>1.3727417326840291E-3</v>
      </c>
      <c r="S30">
        <f>chloroform!J35</f>
        <v>6.7936009605517467E-5</v>
      </c>
      <c r="T30" t="str">
        <f>chloroform!F35</f>
        <v>45TH</v>
      </c>
    </row>
    <row r="31" spans="7:20" x14ac:dyDescent="0.25">
      <c r="K31" t="str">
        <f>chloroform!K36</f>
        <v>1-72</v>
      </c>
      <c r="L31">
        <f>Table3[[#This Row],[weight]]*(0.9155*Table2[[#This Row],[J1,2]]-A$9)^2</f>
        <v>3.4747295353122037E-5</v>
      </c>
      <c r="M31">
        <f>Table3[[#This Row],[weight]]*(0.9155*Table2[[#This Row],[J2,3]]-B$9)^2</f>
        <v>2.2529951102859136E-6</v>
      </c>
      <c r="N31">
        <f>Table3[[#This Row],[weight]]*(0.9155*Table2[[#This Row],[J34]]-C$9)^2</f>
        <v>5.4652015173316086E-4</v>
      </c>
      <c r="O31">
        <f>Table3[[#This Row],[weight]]*(0.9155*Table2[[#This Row],[J45]]-D$9)^2</f>
        <v>9.1395523736130556E-5</v>
      </c>
      <c r="P31">
        <f>Table3[[#This Row],[weight]]*(0.9155*Table2[[#This Row],[J56]]-E$9)^2</f>
        <v>5.8917322267928982E-5</v>
      </c>
      <c r="Q31">
        <f>Table3[[#This Row],[weight]]*(0.9155*Table2[[#This Row],[J67]]-F$9)^2</f>
        <v>0.13799847531969989</v>
      </c>
      <c r="R31">
        <f>Table3[[#This Row],[weight]]*(0.9155*Table2[[#This Row],[J67'']]-G$9)^2</f>
        <v>5.5948301275120703E-2</v>
      </c>
      <c r="S31">
        <f>chloroform!J36</f>
        <v>3.1533739469376994E-3</v>
      </c>
      <c r="T31" t="str">
        <f>chloroform!F36</f>
        <v>4H6</v>
      </c>
    </row>
    <row r="32" spans="7:20" x14ac:dyDescent="0.25">
      <c r="K32" t="str">
        <f>chloroform!K37</f>
        <v>1-73</v>
      </c>
      <c r="L32">
        <f>Table3[[#This Row],[weight]]*(0.9155*Table2[[#This Row],[J1,2]]-A$9)^2</f>
        <v>0.13373601548205158</v>
      </c>
      <c r="M32">
        <f>Table3[[#This Row],[weight]]*(0.9155*Table2[[#This Row],[J2,3]]-B$9)^2</f>
        <v>1.3020615553673915</v>
      </c>
      <c r="N32">
        <f>Table3[[#This Row],[weight]]*(0.9155*Table2[[#This Row],[J34]]-C$9)^2</f>
        <v>0.25104788414270846</v>
      </c>
      <c r="O32">
        <f>Table3[[#This Row],[weight]]*(0.9155*Table2[[#This Row],[J45]]-D$9)^2</f>
        <v>5.6805487687216427</v>
      </c>
      <c r="P32">
        <f>Table3[[#This Row],[weight]]*(0.9155*Table2[[#This Row],[J56]]-E$9)^2</f>
        <v>0.17863455895296868</v>
      </c>
      <c r="Q32">
        <f>Table3[[#This Row],[weight]]*(0.9155*Table2[[#This Row],[J67]]-F$9)^2</f>
        <v>9.2065186611472883E-3</v>
      </c>
      <c r="R32">
        <f>Table3[[#This Row],[weight]]*(0.9155*Table2[[#This Row],[J67'']]-G$9)^2</f>
        <v>0.4974470521927713</v>
      </c>
      <c r="S32">
        <f>chloroform!J37</f>
        <v>5.4271936435693488E-2</v>
      </c>
      <c r="T32" t="str">
        <f>chloroform!F37</f>
        <v>5C12</v>
      </c>
    </row>
    <row r="33" spans="11:20" x14ac:dyDescent="0.25">
      <c r="K33" t="str">
        <f>chloroform!K38</f>
        <v>1-76</v>
      </c>
      <c r="L33">
        <f>Table3[[#This Row],[weight]]*(0.9155*Table2[[#This Row],[J1,2]]-A$9)^2</f>
        <v>4.2603195267461975E-4</v>
      </c>
      <c r="M33">
        <f>Table3[[#This Row],[weight]]*(0.9155*Table2[[#This Row],[J2,3]]-B$9)^2</f>
        <v>3.1442703668363181E-3</v>
      </c>
      <c r="N33">
        <f>Table3[[#This Row],[weight]]*(0.9155*Table2[[#This Row],[J34]]-C$9)^2</f>
        <v>1.8165720482767798E-4</v>
      </c>
      <c r="O33">
        <f>Table3[[#This Row],[weight]]*(0.9155*Table2[[#This Row],[J45]]-D$9)^2</f>
        <v>2.8783017761902231E-5</v>
      </c>
      <c r="P33">
        <f>Table3[[#This Row],[weight]]*(0.9155*Table2[[#This Row],[J56]]-E$9)^2</f>
        <v>3.5590537115125936E-3</v>
      </c>
      <c r="Q33">
        <f>Table3[[#This Row],[weight]]*(0.9155*Table2[[#This Row],[J67]]-F$9)^2</f>
        <v>1.3492790406163428E-6</v>
      </c>
      <c r="R33">
        <f>Table3[[#This Row],[weight]]*(0.9155*Table2[[#This Row],[J67'']]-G$9)^2</f>
        <v>3.1369389458069602E-3</v>
      </c>
      <c r="S33">
        <f>chloroform!J38</f>
        <v>9.9991504539998592E-5</v>
      </c>
      <c r="T33" t="str">
        <f>chloroform!F38</f>
        <v>TH45</v>
      </c>
    </row>
    <row r="34" spans="11:20" x14ac:dyDescent="0.25">
      <c r="K34" t="str">
        <f>chloroform!K39</f>
        <v>1-78</v>
      </c>
      <c r="L34">
        <f>Table3[[#This Row],[weight]]*(0.9155*Table2[[#This Row],[J1,2]]-A$9)^2</f>
        <v>1.5923391579316399E-2</v>
      </c>
      <c r="M34">
        <f>Table3[[#This Row],[weight]]*(0.9155*Table2[[#This Row],[J2,3]]-B$9)^2</f>
        <v>8.3677116071316782E-3</v>
      </c>
      <c r="N34">
        <f>Table3[[#This Row],[weight]]*(0.9155*Table2[[#This Row],[J34]]-C$9)^2</f>
        <v>0.34294527850313949</v>
      </c>
      <c r="O34">
        <f>Table3[[#This Row],[weight]]*(0.9155*Table2[[#This Row],[J45]]-D$9)^2</f>
        <v>0.78629519642532897</v>
      </c>
      <c r="P34">
        <f>Table3[[#This Row],[weight]]*(0.9155*Table2[[#This Row],[J56]]-E$9)^2</f>
        <v>0.10063319177703611</v>
      </c>
      <c r="Q34">
        <f>Table3[[#This Row],[weight]]*(0.9155*Table2[[#This Row],[J67]]-F$9)^2</f>
        <v>8.7479173824493352E-3</v>
      </c>
      <c r="R34">
        <f>Table3[[#This Row],[weight]]*(0.9155*Table2[[#This Row],[J67'']]-G$9)^2</f>
        <v>0.96181022835484842</v>
      </c>
      <c r="S34">
        <f>chloroform!J39</f>
        <v>2.541133509739623E-2</v>
      </c>
      <c r="T34" t="str">
        <f>chloroform!F39</f>
        <v>45TH</v>
      </c>
    </row>
    <row r="35" spans="11:20" x14ac:dyDescent="0.25">
      <c r="K35" t="str">
        <f>chloroform!K40</f>
        <v>1-86</v>
      </c>
      <c r="L35">
        <f>Table3[[#This Row],[weight]]*(0.9155*Table2[[#This Row],[J1,2]]-A$9)^2</f>
        <v>7.6003023203798756E-5</v>
      </c>
      <c r="M35">
        <f>Table3[[#This Row],[weight]]*(0.9155*Table2[[#This Row],[J2,3]]-B$9)^2</f>
        <v>3.4125586860505895E-6</v>
      </c>
      <c r="N35">
        <f>Table3[[#This Row],[weight]]*(0.9155*Table2[[#This Row],[J34]]-C$9)^2</f>
        <v>7.2569525435252466E-4</v>
      </c>
      <c r="O35">
        <f>Table3[[#This Row],[weight]]*(0.9155*Table2[[#This Row],[J45]]-D$9)^2</f>
        <v>1.3811861866913247E-3</v>
      </c>
      <c r="P35">
        <f>Table3[[#This Row],[weight]]*(0.9155*Table2[[#This Row],[J56]]-E$9)^2</f>
        <v>6.4925565116843538E-3</v>
      </c>
      <c r="Q35">
        <f>Table3[[#This Row],[weight]]*(0.9155*Table2[[#This Row],[J67]]-F$9)^2</f>
        <v>1.1478830739022658E-2</v>
      </c>
      <c r="R35">
        <f>Table3[[#This Row],[weight]]*(0.9155*Table2[[#This Row],[J67'']]-G$9)^2</f>
        <v>1.0143671234520287E-5</v>
      </c>
      <c r="S35">
        <f>chloroform!J40</f>
        <v>9.7648576252639774E-5</v>
      </c>
      <c r="T35" t="str">
        <f>chloroform!F40</f>
        <v>12C5</v>
      </c>
    </row>
    <row r="36" spans="11:20" x14ac:dyDescent="0.25">
      <c r="K36" t="str">
        <f>chloroform!K41</f>
        <v>1-94</v>
      </c>
      <c r="L36">
        <f>Table3[[#This Row],[weight]]*(0.9155*Table2[[#This Row],[J1,2]]-A$9)^2</f>
        <v>0</v>
      </c>
      <c r="M36">
        <f>Table3[[#This Row],[weight]]*(0.9155*Table2[[#This Row],[J2,3]]-B$9)^2</f>
        <v>0</v>
      </c>
      <c r="N36">
        <f>Table3[[#This Row],[weight]]*(0.9155*Table2[[#This Row],[J34]]-C$9)^2</f>
        <v>0</v>
      </c>
      <c r="O36">
        <f>Table3[[#This Row],[weight]]*(0.9155*Table2[[#This Row],[J45]]-D$9)^2</f>
        <v>0</v>
      </c>
      <c r="P36">
        <f>Table3[[#This Row],[weight]]*(0.9155*Table2[[#This Row],[J56]]-E$9)^2</f>
        <v>0</v>
      </c>
      <c r="Q36">
        <f>Table3[[#This Row],[weight]]*(0.9155*Table2[[#This Row],[J67]]-F$9)^2</f>
        <v>0</v>
      </c>
      <c r="R36">
        <f>Table3[[#This Row],[weight]]*(0.9155*Table2[[#This Row],[J67'']]-G$9)^2</f>
        <v>0</v>
      </c>
      <c r="S36">
        <f>chloroform!J41</f>
        <v>0</v>
      </c>
      <c r="T36" t="str">
        <f>chloroform!F41</f>
        <v>6H4</v>
      </c>
    </row>
    <row r="37" spans="11:20" x14ac:dyDescent="0.25">
      <c r="K37" t="str">
        <f>chloroform!K42</f>
        <v>1-101</v>
      </c>
      <c r="L37">
        <f>Table3[[#This Row],[weight]]*(0.9155*Table2[[#This Row],[J1,2]]-A$9)^2</f>
        <v>0</v>
      </c>
      <c r="M37">
        <f>Table3[[#This Row],[weight]]*(0.9155*Table2[[#This Row],[J2,3]]-B$9)^2</f>
        <v>0</v>
      </c>
      <c r="N37">
        <f>Table3[[#This Row],[weight]]*(0.9155*Table2[[#This Row],[J34]]-C$9)^2</f>
        <v>0</v>
      </c>
      <c r="O37">
        <f>Table3[[#This Row],[weight]]*(0.9155*Table2[[#This Row],[J45]]-D$9)^2</f>
        <v>0</v>
      </c>
      <c r="P37">
        <f>Table3[[#This Row],[weight]]*(0.9155*Table2[[#This Row],[J56]]-E$9)^2</f>
        <v>0</v>
      </c>
      <c r="Q37">
        <f>Table3[[#This Row],[weight]]*(0.9155*Table2[[#This Row],[J67]]-F$9)^2</f>
        <v>0</v>
      </c>
      <c r="R37">
        <f>Table3[[#This Row],[weight]]*(0.9155*Table2[[#This Row],[J67'']]-G$9)^2</f>
        <v>0</v>
      </c>
      <c r="S37">
        <f>chloroform!J42</f>
        <v>0</v>
      </c>
      <c r="T37" t="str">
        <f>chloroform!F42</f>
        <v>TH45</v>
      </c>
    </row>
    <row r="38" spans="11:20" x14ac:dyDescent="0.25">
      <c r="K38" t="str">
        <f>chloroform!K43</f>
        <v>1-103</v>
      </c>
      <c r="L38">
        <f>Table3[[#This Row],[weight]]*(0.9155*Table2[[#This Row],[J1,2]]-A$9)^2</f>
        <v>9.5314192061740334E-5</v>
      </c>
      <c r="M38">
        <f>Table3[[#This Row],[weight]]*(0.9155*Table2[[#This Row],[J2,3]]-B$9)^2</f>
        <v>0.59088959981235867</v>
      </c>
      <c r="N38">
        <f>Table3[[#This Row],[weight]]*(0.9155*Table2[[#This Row],[J34]]-C$9)^2</f>
        <v>0.37361352432651235</v>
      </c>
      <c r="O38">
        <f>Table3[[#This Row],[weight]]*(0.9155*Table2[[#This Row],[J45]]-D$9)^2</f>
        <v>1.8622511520582832</v>
      </c>
      <c r="P38">
        <f>Table3[[#This Row],[weight]]*(0.9155*Table2[[#This Row],[J56]]-E$9)^2</f>
        <v>1.9772034435775687E-2</v>
      </c>
      <c r="Q38">
        <f>Table3[[#This Row],[weight]]*(0.9155*Table2[[#This Row],[J67]]-F$9)^2</f>
        <v>1.2399215837616608E-2</v>
      </c>
      <c r="R38">
        <f>Table3[[#This Row],[weight]]*(0.9155*Table2[[#This Row],[J67'']]-G$9)^2</f>
        <v>0.61204425210040669</v>
      </c>
      <c r="S38">
        <f>chloroform!J43</f>
        <v>2.0578011611822208E-2</v>
      </c>
      <c r="T38" t="str">
        <f>chloroform!F43</f>
        <v>5C12</v>
      </c>
    </row>
    <row r="39" spans="11:20" x14ac:dyDescent="0.25">
      <c r="K39" t="str">
        <f>chloroform!K44</f>
        <v>1-104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45TH</v>
      </c>
    </row>
    <row r="40" spans="11:20" x14ac:dyDescent="0.25">
      <c r="K40" t="str">
        <f>chloroform!K45</f>
        <v>1-106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6H4</v>
      </c>
    </row>
    <row r="41" spans="11:20" x14ac:dyDescent="0.25">
      <c r="K41" t="str">
        <f>chloroform!K46</f>
        <v>1-107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 t="str">
        <f>chloroform!K47</f>
        <v>1-109</v>
      </c>
      <c r="L42">
        <f>Table3[[#This Row],[weight]]*(0.9155*Table2[[#This Row],[J1,2]]-A$9)^2</f>
        <v>5.2926646015979267E-3</v>
      </c>
      <c r="M42">
        <f>Table3[[#This Row],[weight]]*(0.9155*Table2[[#This Row],[J2,3]]-B$9)^2</f>
        <v>1.438225484134288E-2</v>
      </c>
      <c r="N42">
        <f>Table3[[#This Row],[weight]]*(0.9155*Table2[[#This Row],[J34]]-C$9)^2</f>
        <v>0.12864425462998941</v>
      </c>
      <c r="O42">
        <f>Table3[[#This Row],[weight]]*(0.9155*Table2[[#This Row],[J45]]-D$9)^2</f>
        <v>0.31782874494888252</v>
      </c>
      <c r="P42">
        <f>Table3[[#This Row],[weight]]*(0.9155*Table2[[#This Row],[J56]]-E$9)^2</f>
        <v>3.7132762943355359E-2</v>
      </c>
      <c r="Q42">
        <f>Table3[[#This Row],[weight]]*(0.9155*Table2[[#This Row],[J67]]-F$9)^2</f>
        <v>1.359848898281129E-2</v>
      </c>
      <c r="R42">
        <f>Table3[[#This Row],[weight]]*(0.9155*Table2[[#This Row],[J67'']]-G$9)^2</f>
        <v>0.4076117029329186</v>
      </c>
      <c r="S42">
        <f>chloroform!J47</f>
        <v>1.0743636969289242E-2</v>
      </c>
      <c r="T42" t="str">
        <f>chloroform!F47</f>
        <v>45TH</v>
      </c>
    </row>
    <row r="43" spans="11:20" x14ac:dyDescent="0.25">
      <c r="K43" t="str">
        <f>chloroform!K48</f>
        <v>1-123</v>
      </c>
      <c r="L43">
        <f>Table3[[#This Row],[weight]]*(0.9155*Table2[[#This Row],[J1,2]]-A$9)^2</f>
        <v>4.2955713399945812E-5</v>
      </c>
      <c r="M43">
        <f>Table3[[#This Row],[weight]]*(0.9155*Table2[[#This Row],[J2,3]]-B$9)^2</f>
        <v>3.3407441418625179E-2</v>
      </c>
      <c r="N43">
        <f>Table3[[#This Row],[weight]]*(0.9155*Table2[[#This Row],[J34]]-C$9)^2</f>
        <v>1.9629498737687469E-2</v>
      </c>
      <c r="O43">
        <f>Table3[[#This Row],[weight]]*(0.9155*Table2[[#This Row],[J45]]-D$9)^2</f>
        <v>0.10768106245202386</v>
      </c>
      <c r="P43">
        <f>Table3[[#This Row],[weight]]*(0.9155*Table2[[#This Row],[J56]]-E$9)^2</f>
        <v>2.5506157868712223E-3</v>
      </c>
      <c r="Q43">
        <f>Table3[[#This Row],[weight]]*(0.9155*Table2[[#This Row],[J67]]-F$9)^2</f>
        <v>1.3247506482500385E-4</v>
      </c>
      <c r="R43">
        <f>Table3[[#This Row],[weight]]*(0.9155*Table2[[#This Row],[J67'']]-G$9)^2</f>
        <v>4.3895366403058659E-3</v>
      </c>
      <c r="S43">
        <f>chloroform!J48</f>
        <v>1.1921771469275491E-3</v>
      </c>
      <c r="T43" t="str">
        <f>chloroform!F48</f>
        <v>5C12</v>
      </c>
    </row>
    <row r="44" spans="11:20" x14ac:dyDescent="0.25">
      <c r="K44" t="str">
        <f>chloroform!K49</f>
        <v>1-125</v>
      </c>
      <c r="L44">
        <f>Table3[[#This Row],[weight]]*(0.9155*Table2[[#This Row],[J1,2]]-A$9)^2</f>
        <v>0</v>
      </c>
      <c r="M44">
        <f>Table3[[#This Row],[weight]]*(0.9155*Table2[[#This Row],[J2,3]]-B$9)^2</f>
        <v>0</v>
      </c>
      <c r="N44">
        <f>Table3[[#This Row],[weight]]*(0.9155*Table2[[#This Row],[J34]]-C$9)^2</f>
        <v>0</v>
      </c>
      <c r="O44">
        <f>Table3[[#This Row],[weight]]*(0.9155*Table2[[#This Row],[J45]]-D$9)^2</f>
        <v>0</v>
      </c>
      <c r="P44">
        <f>Table3[[#This Row],[weight]]*(0.9155*Table2[[#This Row],[J56]]-E$9)^2</f>
        <v>0</v>
      </c>
      <c r="Q44">
        <f>Table3[[#This Row],[weight]]*(0.9155*Table2[[#This Row],[J67]]-F$9)^2</f>
        <v>0</v>
      </c>
      <c r="R44">
        <f>Table3[[#This Row],[weight]]*(0.9155*Table2[[#This Row],[J67'']]-G$9)^2</f>
        <v>0</v>
      </c>
      <c r="S44">
        <f>chloroform!J49</f>
        <v>0</v>
      </c>
      <c r="T44" t="str">
        <f>chloroform!F49</f>
        <v>125B</v>
      </c>
    </row>
    <row r="45" spans="11:20" x14ac:dyDescent="0.25">
      <c r="K45" t="str">
        <f>chloroform!K50</f>
        <v>1-128</v>
      </c>
      <c r="L45">
        <f>Table3[[#This Row],[weight]]*(0.9155*Table2[[#This Row],[J1,2]]-A$9)^2</f>
        <v>2.3976212729220339E-4</v>
      </c>
      <c r="M45">
        <f>Table3[[#This Row],[weight]]*(0.9155*Table2[[#This Row],[J2,3]]-B$9)^2</f>
        <v>1.0001340277330862E-5</v>
      </c>
      <c r="N45">
        <f>Table3[[#This Row],[weight]]*(0.9155*Table2[[#This Row],[J34]]-C$9)^2</f>
        <v>2.793308905651997E-3</v>
      </c>
      <c r="O45">
        <f>Table3[[#This Row],[weight]]*(0.9155*Table2[[#This Row],[J45]]-D$9)^2</f>
        <v>4.7693340494198589E-3</v>
      </c>
      <c r="P45">
        <f>Table3[[#This Row],[weight]]*(0.9155*Table2[[#This Row],[J56]]-E$9)^2</f>
        <v>2.2343338429387263E-2</v>
      </c>
      <c r="Q45">
        <f>Table3[[#This Row],[weight]]*(0.9155*Table2[[#This Row],[J67]]-F$9)^2</f>
        <v>8.1385150854543164E-7</v>
      </c>
      <c r="R45">
        <f>Table3[[#This Row],[weight]]*(0.9155*Table2[[#This Row],[J67'']]-G$9)^2</f>
        <v>8.8284934293593725E-3</v>
      </c>
      <c r="S45">
        <f>chloroform!J50</f>
        <v>3.4418937692157247E-4</v>
      </c>
      <c r="T45" t="str">
        <f>chloroform!F50</f>
        <v>12C5</v>
      </c>
    </row>
    <row r="46" spans="11:20" x14ac:dyDescent="0.25">
      <c r="K46" t="str">
        <f>chloroform!K51</f>
        <v>1-135</v>
      </c>
      <c r="L46">
        <f>Table3[[#This Row],[weight]]*(0.9155*Table2[[#This Row],[J1,2]]-A$9)^2</f>
        <v>3.4701377880873746E-4</v>
      </c>
      <c r="M46">
        <f>Table3[[#This Row],[weight]]*(0.9155*Table2[[#This Row],[J2,3]]-B$9)^2</f>
        <v>2.4976606215118158E-2</v>
      </c>
      <c r="N46">
        <f>Table3[[#This Row],[weight]]*(0.9155*Table2[[#This Row],[J34]]-C$9)^2</f>
        <v>5.9257773373981477E-2</v>
      </c>
      <c r="O46">
        <f>Table3[[#This Row],[weight]]*(0.9155*Table2[[#This Row],[J45]]-D$9)^2</f>
        <v>0.36455225273253389</v>
      </c>
      <c r="P46">
        <f>Table3[[#This Row],[weight]]*(0.9155*Table2[[#This Row],[J56]]-E$9)^2</f>
        <v>3.7643005145829002E-2</v>
      </c>
      <c r="Q46">
        <f>Table3[[#This Row],[weight]]*(0.9155*Table2[[#This Row],[J67]]-F$9)^2</f>
        <v>4.3859791202998548E-4</v>
      </c>
      <c r="R46">
        <f>Table3[[#This Row],[weight]]*(0.9155*Table2[[#This Row],[J67'']]-G$9)^2</f>
        <v>7.0023134113323074E-2</v>
      </c>
      <c r="S46">
        <f>chloroform!J51</f>
        <v>3.3350913648038036E-3</v>
      </c>
      <c r="T46" t="str">
        <f>chloroform!F51</f>
        <v>56TH</v>
      </c>
    </row>
    <row r="47" spans="11:20" x14ac:dyDescent="0.25">
      <c r="K47" t="str">
        <f>chloroform!K52</f>
        <v>1-136</v>
      </c>
      <c r="L47">
        <f>Table3[[#This Row],[weight]]*(0.9155*Table2[[#This Row],[J1,2]]-A$9)^2</f>
        <v>1.5075464220494885E-3</v>
      </c>
      <c r="M47">
        <f>Table3[[#This Row],[weight]]*(0.9155*Table2[[#This Row],[J2,3]]-B$9)^2</f>
        <v>2.7198013085365264E-2</v>
      </c>
      <c r="N47">
        <f>Table3[[#This Row],[weight]]*(0.9155*Table2[[#This Row],[J34]]-C$9)^2</f>
        <v>6.8839623202505296E-3</v>
      </c>
      <c r="O47">
        <f>Table3[[#This Row],[weight]]*(0.9155*Table2[[#This Row],[J45]]-D$9)^2</f>
        <v>0.10321624703431137</v>
      </c>
      <c r="P47">
        <f>Table3[[#This Row],[weight]]*(0.9155*Table2[[#This Row],[J56]]-E$9)^2</f>
        <v>4.4506606438523694E-3</v>
      </c>
      <c r="Q47">
        <f>Table3[[#This Row],[weight]]*(0.9155*Table2[[#This Row],[J67]]-F$9)^2</f>
        <v>7.6455929696652792E-4</v>
      </c>
      <c r="R47">
        <f>Table3[[#This Row],[weight]]*(0.9155*Table2[[#This Row],[J67'']]-G$9)^2</f>
        <v>3.1850284808225979E-2</v>
      </c>
      <c r="S47">
        <f>chloroform!J52</f>
        <v>9.9626482403280484E-4</v>
      </c>
      <c r="T47" t="str">
        <f>chloroform!F52</f>
        <v>5C12</v>
      </c>
    </row>
    <row r="48" spans="11:20" x14ac:dyDescent="0.25">
      <c r="K48" t="str">
        <f>chloroform!K53</f>
        <v>1-142</v>
      </c>
      <c r="L48">
        <f>Table3[[#This Row],[weight]]*(0.9155*Table2[[#This Row],[J1,2]]-A$9)^2</f>
        <v>1.2817399706039633E-4</v>
      </c>
      <c r="M48">
        <f>Table3[[#This Row],[weight]]*(0.9155*Table2[[#This Row],[J2,3]]-B$9)^2</f>
        <v>0.1936166846012361</v>
      </c>
      <c r="N48">
        <f>Table3[[#This Row],[weight]]*(0.9155*Table2[[#This Row],[J34]]-C$9)^2</f>
        <v>0.12013191313353887</v>
      </c>
      <c r="O48">
        <f>Table3[[#This Row],[weight]]*(0.9155*Table2[[#This Row],[J45]]-D$9)^2</f>
        <v>0.61559572786672268</v>
      </c>
      <c r="P48">
        <f>Table3[[#This Row],[weight]]*(0.9155*Table2[[#This Row],[J56]]-E$9)^2</f>
        <v>8.1419831777977073E-3</v>
      </c>
      <c r="Q48">
        <f>Table3[[#This Row],[weight]]*(0.9155*Table2[[#This Row],[J67]]-F$9)^2</f>
        <v>0.44586925680425027</v>
      </c>
      <c r="R48">
        <f>Table3[[#This Row],[weight]]*(0.9155*Table2[[#This Row],[J67'']]-G$9)^2</f>
        <v>4.6410258749751056E-2</v>
      </c>
      <c r="S48">
        <f>chloroform!J53</f>
        <v>6.4767610225899943E-3</v>
      </c>
      <c r="T48" t="str">
        <f>chloroform!F53</f>
        <v>5C12</v>
      </c>
    </row>
    <row r="49" spans="11:20" x14ac:dyDescent="0.25">
      <c r="K49" t="str">
        <f>chloroform!K54</f>
        <v>1-143</v>
      </c>
      <c r="L49">
        <f>Table3[[#This Row],[weight]]*(0.9155*Table2[[#This Row],[J1,2]]-A$9)^2</f>
        <v>1.8316707202834382E-4</v>
      </c>
      <c r="M49">
        <f>Table3[[#This Row],[weight]]*(0.9155*Table2[[#This Row],[J2,3]]-B$9)^2</f>
        <v>8.9878155261411471E-5</v>
      </c>
      <c r="N49">
        <f>Table3[[#This Row],[weight]]*(0.9155*Table2[[#This Row],[J34]]-C$9)^2</f>
        <v>3.2130766993795357E-3</v>
      </c>
      <c r="O49">
        <f>Table3[[#This Row],[weight]]*(0.9155*Table2[[#This Row],[J45]]-D$9)^2</f>
        <v>1.0192811835883064E-2</v>
      </c>
      <c r="P49">
        <f>Table3[[#This Row],[weight]]*(0.9155*Table2[[#This Row],[J56]]-E$9)^2</f>
        <v>1.4281956562018714E-3</v>
      </c>
      <c r="Q49">
        <f>Table3[[#This Row],[weight]]*(0.9155*Table2[[#This Row],[J67]]-F$9)^2</f>
        <v>9.1817605135498387E-3</v>
      </c>
      <c r="R49">
        <f>Table3[[#This Row],[weight]]*(0.9155*Table2[[#This Row],[J67'']]-G$9)^2</f>
        <v>1.2009060643144007E-3</v>
      </c>
      <c r="S49">
        <f>chloroform!J54</f>
        <v>1.2898379500030682E-4</v>
      </c>
      <c r="T49" t="str">
        <f>chloroform!F54</f>
        <v>45TH</v>
      </c>
    </row>
    <row r="50" spans="11:20" x14ac:dyDescent="0.25">
      <c r="K50" t="str">
        <f>chloroform!K55</f>
        <v>1-144</v>
      </c>
      <c r="L50">
        <f>Table3[[#This Row],[weight]]*(0.9155*Table2[[#This Row],[J1,2]]-A$9)^2</f>
        <v>1.3431807352610862E-4</v>
      </c>
      <c r="M50">
        <f>Table3[[#This Row],[weight]]*(0.9155*Table2[[#This Row],[J2,3]]-B$9)^2</f>
        <v>5.2786782352623473E-5</v>
      </c>
      <c r="N50">
        <f>Table3[[#This Row],[weight]]*(0.9155*Table2[[#This Row],[J34]]-C$9)^2</f>
        <v>1.1200755964231738E-3</v>
      </c>
      <c r="O50">
        <f>Table3[[#This Row],[weight]]*(0.9155*Table2[[#This Row],[J45]]-D$9)^2</f>
        <v>1.545291861852868E-3</v>
      </c>
      <c r="P50">
        <f>Table3[[#This Row],[weight]]*(0.9155*Table2[[#This Row],[J56]]-E$9)^2</f>
        <v>6.9841589052808259E-3</v>
      </c>
      <c r="Q50">
        <f>Table3[[#This Row],[weight]]*(0.9155*Table2[[#This Row],[J67]]-F$9)^2</f>
        <v>1.313526732486819E-2</v>
      </c>
      <c r="R50">
        <f>Table3[[#This Row],[weight]]*(0.9155*Table2[[#This Row],[J67'']]-G$9)^2</f>
        <v>2.6911218310583482E-8</v>
      </c>
      <c r="S50">
        <f>chloroform!J55</f>
        <v>1.1043031343540842E-4</v>
      </c>
      <c r="T50" t="str">
        <f>chloroform!F55</f>
        <v>12C5</v>
      </c>
    </row>
    <row r="51" spans="11:20" x14ac:dyDescent="0.25">
      <c r="K51" t="str">
        <f>chloroform!K56</f>
        <v>1-145</v>
      </c>
      <c r="L51">
        <f>Table3[[#This Row],[weight]]*(0.9155*Table2[[#This Row],[J1,2]]-A$9)^2</f>
        <v>3.9994285710361386E-4</v>
      </c>
      <c r="M51">
        <f>Table3[[#This Row],[weight]]*(0.9155*Table2[[#This Row],[J2,3]]-B$9)^2</f>
        <v>1.1701125756658309E-4</v>
      </c>
      <c r="N51">
        <f>Table3[[#This Row],[weight]]*(0.9155*Table2[[#This Row],[J34]]-C$9)^2</f>
        <v>2.2554346488177783E-3</v>
      </c>
      <c r="O51">
        <f>Table3[[#This Row],[weight]]*(0.9155*Table2[[#This Row],[J45]]-D$9)^2</f>
        <v>4.7376368655349917E-3</v>
      </c>
      <c r="P51">
        <f>Table3[[#This Row],[weight]]*(0.9155*Table2[[#This Row],[J56]]-E$9)^2</f>
        <v>1.9132486190168604E-2</v>
      </c>
      <c r="Q51">
        <f>Table3[[#This Row],[weight]]*(0.9155*Table2[[#This Row],[J67]]-F$9)^2</f>
        <v>3.5094350444078243E-2</v>
      </c>
      <c r="R51">
        <f>Table3[[#This Row],[weight]]*(0.9155*Table2[[#This Row],[J67'']]-G$9)^2</f>
        <v>8.2850575096348406E-6</v>
      </c>
      <c r="S51">
        <f>chloroform!J56</f>
        <v>2.8556974071908823E-4</v>
      </c>
      <c r="T51" t="str">
        <f>chloroform!F56</f>
        <v>5C12</v>
      </c>
    </row>
    <row r="52" spans="11:20" x14ac:dyDescent="0.25">
      <c r="K52" t="str">
        <f>chloroform!K57</f>
        <v>1-166</v>
      </c>
      <c r="L52">
        <f>Table3[[#This Row],[weight]]*(0.9155*Table2[[#This Row],[J1,2]]-A$9)^2</f>
        <v>2.8463254339205109E-3</v>
      </c>
      <c r="M52">
        <f>Table3[[#This Row],[weight]]*(0.9155*Table2[[#This Row],[J2,3]]-B$9)^2</f>
        <v>3.0568314953587677E-2</v>
      </c>
      <c r="N52">
        <f>Table3[[#This Row],[weight]]*(0.9155*Table2[[#This Row],[J34]]-C$9)^2</f>
        <v>5.9147998177514803E-3</v>
      </c>
      <c r="O52">
        <f>Table3[[#This Row],[weight]]*(0.9155*Table2[[#This Row],[J45]]-D$9)^2</f>
        <v>0.146927666710053</v>
      </c>
      <c r="P52">
        <f>Table3[[#This Row],[weight]]*(0.9155*Table2[[#This Row],[J56]]-E$9)^2</f>
        <v>9.3583733435778169E-3</v>
      </c>
      <c r="Q52">
        <f>Table3[[#This Row],[weight]]*(0.9155*Table2[[#This Row],[J67]]-F$9)^2</f>
        <v>5.730374895959677E-4</v>
      </c>
      <c r="R52">
        <f>Table3[[#This Row],[weight]]*(0.9155*Table2[[#This Row],[J67'']]-G$9)^2</f>
        <v>5.4745761137012169E-2</v>
      </c>
      <c r="S52">
        <f>chloroform!J57</f>
        <v>1.3643967202022281E-3</v>
      </c>
      <c r="T52" t="str">
        <f>chloroform!F57</f>
        <v>5C12</v>
      </c>
    </row>
    <row r="53" spans="11:20" x14ac:dyDescent="0.25">
      <c r="K53" t="str">
        <f>chloroform!K58</f>
        <v>1-173</v>
      </c>
      <c r="L53">
        <f>Table3[[#This Row],[weight]]*(0.9155*Table2[[#This Row],[J1,2]]-A$9)^2</f>
        <v>3.3845531053356185E-4</v>
      </c>
      <c r="M53">
        <f>Table3[[#This Row],[weight]]*(0.9155*Table2[[#This Row],[J2,3]]-B$9)^2</f>
        <v>1.0423044174412921E-4</v>
      </c>
      <c r="N53">
        <f>Table3[[#This Row],[weight]]*(0.9155*Table2[[#This Row],[J34]]-C$9)^2</f>
        <v>2.7980955337431695E-3</v>
      </c>
      <c r="O53">
        <f>Table3[[#This Row],[weight]]*(0.9155*Table2[[#This Row],[J45]]-D$9)^2</f>
        <v>4.709273656457234E-3</v>
      </c>
      <c r="P53">
        <f>Table3[[#This Row],[weight]]*(0.9155*Table2[[#This Row],[J56]]-E$9)^2</f>
        <v>1.7351789233257142E-2</v>
      </c>
      <c r="Q53">
        <f>Table3[[#This Row],[weight]]*(0.9155*Table2[[#This Row],[J67]]-F$9)^2</f>
        <v>1.5067811989874066E-5</v>
      </c>
      <c r="R53">
        <f>Table3[[#This Row],[weight]]*(0.9155*Table2[[#This Row],[J67'']]-G$9)^2</f>
        <v>8.9756451850469057E-3</v>
      </c>
      <c r="S53">
        <f>chloroform!J58</f>
        <v>2.8969063399003788E-4</v>
      </c>
      <c r="T53" t="str">
        <f>chloroform!F58</f>
        <v>12C5</v>
      </c>
    </row>
    <row r="54" spans="11:20" x14ac:dyDescent="0.25">
      <c r="K54" t="str">
        <f>chloroform!K59</f>
        <v>1-191</v>
      </c>
      <c r="L54">
        <f>Table3[[#This Row],[weight]]*(0.9155*Table2[[#This Row],[J1,2]]-A$9)^2</f>
        <v>7.1146687591543706E-5</v>
      </c>
      <c r="M54">
        <f>Table3[[#This Row],[weight]]*(0.9155*Table2[[#This Row],[J2,3]]-B$9)^2</f>
        <v>3.1333720590265315E-6</v>
      </c>
      <c r="N54">
        <f>Table3[[#This Row],[weight]]*(0.9155*Table2[[#This Row],[J34]]-C$9)^2</f>
        <v>6.9493101019180311E-4</v>
      </c>
      <c r="O54">
        <f>Table3[[#This Row],[weight]]*(0.9155*Table2[[#This Row],[J45]]-D$9)^2</f>
        <v>1.3301943090192607E-3</v>
      </c>
      <c r="P54">
        <f>Table3[[#This Row],[weight]]*(0.9155*Table2[[#This Row],[J56]]-E$9)^2</f>
        <v>6.462657704595841E-3</v>
      </c>
      <c r="Q54">
        <f>Table3[[#This Row],[weight]]*(0.9155*Table2[[#This Row],[J67]]-F$9)^2</f>
        <v>1.143143308107691E-2</v>
      </c>
      <c r="R54">
        <f>Table3[[#This Row],[weight]]*(0.9155*Table2[[#This Row],[J67'']]-G$9)^2</f>
        <v>7.4982360407052828E-6</v>
      </c>
      <c r="S54">
        <f>chloroform!J59</f>
        <v>9.6138181511408734E-5</v>
      </c>
      <c r="T54" t="str">
        <f>chloroform!F59</f>
        <v>12C5</v>
      </c>
    </row>
    <row r="55" spans="11:20" x14ac:dyDescent="0.25">
      <c r="K55" t="str">
        <f>chloroform!K60</f>
        <v>1-193</v>
      </c>
      <c r="L55">
        <f>Table3[[#This Row],[weight]]*(0.9155*Table2[[#This Row],[J1,2]]-A$9)^2</f>
        <v>1.0197820274565727E-3</v>
      </c>
      <c r="M55">
        <f>Table3[[#This Row],[weight]]*(0.9155*Table2[[#This Row],[J2,3]]-B$9)^2</f>
        <v>4.8419189569878752E-4</v>
      </c>
      <c r="N55">
        <f>Table3[[#This Row],[weight]]*(0.9155*Table2[[#This Row],[J34]]-C$9)^2</f>
        <v>7.5396392764566543E-3</v>
      </c>
      <c r="O55">
        <f>Table3[[#This Row],[weight]]*(0.9155*Table2[[#This Row],[J45]]-D$9)^2</f>
        <v>1.228148495061307E-2</v>
      </c>
      <c r="P55">
        <f>Table3[[#This Row],[weight]]*(0.9155*Table2[[#This Row],[J56]]-E$9)^2</f>
        <v>4.8121801596731337E-2</v>
      </c>
      <c r="Q55">
        <f>Table3[[#This Row],[weight]]*(0.9155*Table2[[#This Row],[J67]]-F$9)^2</f>
        <v>8.6550985718254585E-7</v>
      </c>
      <c r="R55">
        <f>Table3[[#This Row],[weight]]*(0.9155*Table2[[#This Row],[J67'']]-G$9)^2</f>
        <v>2.0996878468499951E-2</v>
      </c>
      <c r="S55">
        <f>chloroform!J60</f>
        <v>7.9174443894333344E-4</v>
      </c>
      <c r="T55" t="str">
        <f>chloroform!F60</f>
        <v>12C5</v>
      </c>
    </row>
    <row r="56" spans="11:20" x14ac:dyDescent="0.25">
      <c r="K56" t="str">
        <f>chloroform!K61</f>
        <v>1-197</v>
      </c>
      <c r="L56">
        <f>Table3[[#This Row],[weight]]*(0.9155*Table2[[#This Row],[J1,2]]-A$9)^2</f>
        <v>0</v>
      </c>
      <c r="M56">
        <f>Table3[[#This Row],[weight]]*(0.9155*Table2[[#This Row],[J2,3]]-B$9)^2</f>
        <v>0</v>
      </c>
      <c r="N56">
        <f>Table3[[#This Row],[weight]]*(0.9155*Table2[[#This Row],[J34]]-C$9)^2</f>
        <v>0</v>
      </c>
      <c r="O56">
        <f>Table3[[#This Row],[weight]]*(0.9155*Table2[[#This Row],[J45]]-D$9)^2</f>
        <v>0</v>
      </c>
      <c r="P56">
        <f>Table3[[#This Row],[weight]]*(0.9155*Table2[[#This Row],[J56]]-E$9)^2</f>
        <v>0</v>
      </c>
      <c r="Q56">
        <f>Table3[[#This Row],[weight]]*(0.9155*Table2[[#This Row],[J67]]-F$9)^2</f>
        <v>0</v>
      </c>
      <c r="R56">
        <f>Table3[[#This Row],[weight]]*(0.9155*Table2[[#This Row],[J67'']]-G$9)^2</f>
        <v>0</v>
      </c>
      <c r="S56">
        <f>chloroform!J61</f>
        <v>0</v>
      </c>
      <c r="T56" t="str">
        <f>chloroform!F61</f>
        <v>4H6</v>
      </c>
    </row>
    <row r="57" spans="11:20" x14ac:dyDescent="0.25">
      <c r="K57" t="str">
        <f>chloroform!K62</f>
        <v>1-208</v>
      </c>
      <c r="L57">
        <f>Table3[[#This Row],[weight]]*(0.9155*Table2[[#This Row],[J1,2]]-A$9)^2</f>
        <v>7.397018141914907E-5</v>
      </c>
      <c r="M57">
        <f>Table3[[#This Row],[weight]]*(0.9155*Table2[[#This Row],[J2,3]]-B$9)^2</f>
        <v>1.0908498151865577E-3</v>
      </c>
      <c r="N57">
        <f>Table3[[#This Row],[weight]]*(0.9155*Table2[[#This Row],[J34]]-C$9)^2</f>
        <v>3.980104006834135E-4</v>
      </c>
      <c r="O57">
        <f>Table3[[#This Row],[weight]]*(0.9155*Table2[[#This Row],[J45]]-D$9)^2</f>
        <v>4.3171775271066094E-3</v>
      </c>
      <c r="P57">
        <f>Table3[[#This Row],[weight]]*(0.9155*Table2[[#This Row],[J56]]-E$9)^2</f>
        <v>2.1895004914058348E-4</v>
      </c>
      <c r="Q57">
        <f>Table3[[#This Row],[weight]]*(0.9155*Table2[[#This Row],[J67]]-F$9)^2</f>
        <v>2.1777459784830125E-6</v>
      </c>
      <c r="R57">
        <f>Table3[[#This Row],[weight]]*(0.9155*Table2[[#This Row],[J67'']]-G$9)^2</f>
        <v>1.2338007566062067E-3</v>
      </c>
      <c r="S57">
        <f>chloroform!J62</f>
        <v>4.031027260786241E-5</v>
      </c>
      <c r="T57" t="str">
        <f>chloroform!F62</f>
        <v>5C12</v>
      </c>
    </row>
    <row r="58" spans="11:20" x14ac:dyDescent="0.25">
      <c r="K58" t="str">
        <f>chloroform!K63</f>
        <v>1-212</v>
      </c>
      <c r="L58">
        <f>Table3[[#This Row],[weight]]*(0.9155*Table2[[#This Row],[J1,2]]-A$9)^2</f>
        <v>1.6256814920421594E-4</v>
      </c>
      <c r="M58">
        <f>Table3[[#This Row],[weight]]*(0.9155*Table2[[#This Row],[J2,3]]-B$9)^2</f>
        <v>6.9351200142122189E-5</v>
      </c>
      <c r="N58">
        <f>Table3[[#This Row],[weight]]*(0.9155*Table2[[#This Row],[J34]]-C$9)^2</f>
        <v>1.9918946097796232E-3</v>
      </c>
      <c r="O58">
        <f>Table3[[#This Row],[weight]]*(0.9155*Table2[[#This Row],[J45]]-D$9)^2</f>
        <v>2.1909960060105056E-3</v>
      </c>
      <c r="P58">
        <f>Table3[[#This Row],[weight]]*(0.9155*Table2[[#This Row],[J56]]-E$9)^2</f>
        <v>9.1505182704037964E-3</v>
      </c>
      <c r="Q58">
        <f>Table3[[#This Row],[weight]]*(0.9155*Table2[[#This Row],[J67]]-F$9)^2</f>
        <v>1.7607197273616584E-5</v>
      </c>
      <c r="R58">
        <f>Table3[[#This Row],[weight]]*(0.9155*Table2[[#This Row],[J67'']]-G$9)^2</f>
        <v>4.7511359965777605E-3</v>
      </c>
      <c r="S58">
        <f>chloroform!J63</f>
        <v>1.5952729737975731E-4</v>
      </c>
      <c r="T58" t="str">
        <f>chloroform!F63</f>
        <v>12C5</v>
      </c>
    </row>
    <row r="59" spans="11:20" x14ac:dyDescent="0.25">
      <c r="K59" t="str">
        <f>chloroform!K64</f>
        <v>1-215</v>
      </c>
      <c r="L59">
        <f>Table3[[#This Row],[weight]]*(0.9155*Table2[[#This Row],[J1,2]]-A$9)^2</f>
        <v>1.2343085424703904E-3</v>
      </c>
      <c r="M59">
        <f>Table3[[#This Row],[weight]]*(0.9155*Table2[[#This Row],[J2,3]]-B$9)^2</f>
        <v>3.0190037102118184E-4</v>
      </c>
      <c r="N59">
        <f>Table3[[#This Row],[weight]]*(0.9155*Table2[[#This Row],[J34]]-C$9)^2</f>
        <v>8.3208703469932511E-3</v>
      </c>
      <c r="O59">
        <f>Table3[[#This Row],[weight]]*(0.9155*Table2[[#This Row],[J45]]-D$9)^2</f>
        <v>1.5940312935271581E-2</v>
      </c>
      <c r="P59">
        <f>Table3[[#This Row],[weight]]*(0.9155*Table2[[#This Row],[J56]]-E$9)^2</f>
        <v>6.2093718794777618E-2</v>
      </c>
      <c r="Q59">
        <f>Table3[[#This Row],[weight]]*(0.9155*Table2[[#This Row],[J67]]-F$9)^2</f>
        <v>7.1942095948422044E-6</v>
      </c>
      <c r="R59">
        <f>Table3[[#This Row],[weight]]*(0.9155*Table2[[#This Row],[J67'']]-G$9)^2</f>
        <v>2.6291548183641739E-2</v>
      </c>
      <c r="S59">
        <f>chloroform!J64</f>
        <v>9.8998590065562005E-4</v>
      </c>
      <c r="T59" t="str">
        <f>chloroform!F64</f>
        <v>12C5</v>
      </c>
    </row>
    <row r="60" spans="11:20" x14ac:dyDescent="0.25">
      <c r="K60" t="str">
        <f>chloroform!K65</f>
        <v>1-219</v>
      </c>
      <c r="L60">
        <f>Table3[[#This Row],[weight]]*(0.9155*Table2[[#This Row],[J1,2]]-A$9)^2</f>
        <v>1.8663210107737859E-4</v>
      </c>
      <c r="M60">
        <f>Table3[[#This Row],[weight]]*(0.9155*Table2[[#This Row],[J2,3]]-B$9)^2</f>
        <v>1.1025376163679204E-4</v>
      </c>
      <c r="N60">
        <f>Table3[[#This Row],[weight]]*(0.9155*Table2[[#This Row],[J34]]-C$9)^2</f>
        <v>7.4025716359632011E-4</v>
      </c>
      <c r="O60">
        <f>Table3[[#This Row],[weight]]*(0.9155*Table2[[#This Row],[J45]]-D$9)^2</f>
        <v>1.7009579983859593E-3</v>
      </c>
      <c r="P60">
        <f>Table3[[#This Row],[weight]]*(0.9155*Table2[[#This Row],[J56]]-E$9)^2</f>
        <v>3.4834563037885926E-3</v>
      </c>
      <c r="Q60">
        <f>Table3[[#This Row],[weight]]*(0.9155*Table2[[#This Row],[J67]]-F$9)^2</f>
        <v>2.1134874538446328E-5</v>
      </c>
      <c r="R60">
        <f>Table3[[#This Row],[weight]]*(0.9155*Table2[[#This Row],[J67'']]-G$9)^2</f>
        <v>1.81352669386097E-3</v>
      </c>
      <c r="S60">
        <f>chloroform!J65</f>
        <v>6.4945168979610465E-5</v>
      </c>
      <c r="T60" t="str">
        <f>chloroform!F65</f>
        <v>12C5</v>
      </c>
    </row>
    <row r="61" spans="11:20" x14ac:dyDescent="0.25">
      <c r="K61" t="str">
        <f>chloroform!K66</f>
        <v>1-220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chloroform!J66</f>
        <v>0</v>
      </c>
      <c r="T61" t="str">
        <f>chloroform!F66</f>
        <v>12C5</v>
      </c>
    </row>
    <row r="62" spans="11:20" x14ac:dyDescent="0.25">
      <c r="K62" t="str">
        <f>chloroform!K67</f>
        <v>1-241</v>
      </c>
      <c r="L62">
        <f>Table3[[#This Row],[weight]]*(0.9155*Table2[[#This Row],[J1,2]]-A$9)^2</f>
        <v>1.0872369849739586E-3</v>
      </c>
      <c r="M62">
        <f>Table3[[#This Row],[weight]]*(0.9155*Table2[[#This Row],[J2,3]]-B$9)^2</f>
        <v>5.0046171898192673E-4</v>
      </c>
      <c r="N62">
        <f>Table3[[#This Row],[weight]]*(0.9155*Table2[[#This Row],[J34]]-C$9)^2</f>
        <v>7.6966341926364874E-3</v>
      </c>
      <c r="O62">
        <f>Table3[[#This Row],[weight]]*(0.9155*Table2[[#This Row],[J45]]-D$9)^2</f>
        <v>1.2860133654924529E-2</v>
      </c>
      <c r="P62">
        <f>Table3[[#This Row],[weight]]*(0.9155*Table2[[#This Row],[J56]]-E$9)^2</f>
        <v>4.6811364687293744E-2</v>
      </c>
      <c r="Q62">
        <f>Table3[[#This Row],[weight]]*(0.9155*Table2[[#This Row],[J67]]-F$9)^2</f>
        <v>6.2623315934390547E-5</v>
      </c>
      <c r="R62">
        <f>Table3[[#This Row],[weight]]*(0.9155*Table2[[#This Row],[J67'']]-G$9)^2</f>
        <v>2.4431311368626328E-2</v>
      </c>
      <c r="S62">
        <f>chloroform!J67</f>
        <v>7.9216907870402367E-4</v>
      </c>
      <c r="T62" t="str">
        <f>chloroform!F67</f>
        <v>12C5</v>
      </c>
    </row>
    <row r="63" spans="11:20" x14ac:dyDescent="0.25">
      <c r="K63" t="str">
        <f>chloroform!K68</f>
        <v>1-272</v>
      </c>
      <c r="L63">
        <f>Table3[[#This Row],[weight]]*(0.9155*Table2[[#This Row],[J1,2]]-A$9)^2</f>
        <v>9.9973413038541317E-5</v>
      </c>
      <c r="M63">
        <f>Table3[[#This Row],[weight]]*(0.9155*Table2[[#This Row],[J2,3]]-B$9)^2</f>
        <v>2.253668219634217E-3</v>
      </c>
      <c r="N63">
        <f>Table3[[#This Row],[weight]]*(0.9155*Table2[[#This Row],[J34]]-C$9)^2</f>
        <v>3.5085223928944149E-3</v>
      </c>
      <c r="O63">
        <f>Table3[[#This Row],[weight]]*(0.9155*Table2[[#This Row],[J45]]-D$9)^2</f>
        <v>8.7451861933515226E-3</v>
      </c>
      <c r="P63">
        <f>Table3[[#This Row],[weight]]*(0.9155*Table2[[#This Row],[J56]]-E$9)^2</f>
        <v>6.7076218338494196E-5</v>
      </c>
      <c r="Q63">
        <f>Table3[[#This Row],[weight]]*(0.9155*Table2[[#This Row],[J67]]-F$9)^2</f>
        <v>8.5601507625255547E-5</v>
      </c>
      <c r="R63">
        <f>Table3[[#This Row],[weight]]*(0.9155*Table2[[#This Row],[J67'']]-G$9)^2</f>
        <v>1.3379952651593372E-3</v>
      </c>
      <c r="S63">
        <f>chloroform!J68</f>
        <v>1.1084755555817298E-4</v>
      </c>
      <c r="T63" t="str">
        <f>chloroform!F68</f>
        <v>5C12</v>
      </c>
    </row>
    <row r="64" spans="11:20" x14ac:dyDescent="0.25">
      <c r="K64" t="str">
        <f>chloroform!K69</f>
        <v>1-276</v>
      </c>
      <c r="L64">
        <f>Table3[[#This Row],[weight]]*(0.9155*Table2[[#This Row],[J1,2]]-A$9)^2</f>
        <v>1.053307587386172E-7</v>
      </c>
      <c r="M64">
        <f>Table3[[#This Row],[weight]]*(0.9155*Table2[[#This Row],[J2,3]]-B$9)^2</f>
        <v>7.7539325129484489E-8</v>
      </c>
      <c r="N64">
        <f>Table3[[#This Row],[weight]]*(0.9155*Table2[[#This Row],[J34]]-C$9)^2</f>
        <v>4.9471774307550663E-7</v>
      </c>
      <c r="O64">
        <f>Table3[[#This Row],[weight]]*(0.9155*Table2[[#This Row],[J45]]-D$9)^2</f>
        <v>6.4886536753319505E-6</v>
      </c>
      <c r="P64">
        <f>Table3[[#This Row],[weight]]*(0.9155*Table2[[#This Row],[J56]]-E$9)^2</f>
        <v>4.3309292341213508E-5</v>
      </c>
      <c r="Q64">
        <f>Table3[[#This Row],[weight]]*(0.9155*Table2[[#This Row],[J67]]-F$9)^2</f>
        <v>1.2509796233083974E-5</v>
      </c>
      <c r="R64">
        <f>Table3[[#This Row],[weight]]*(0.9155*Table2[[#This Row],[J67'']]-G$9)^2</f>
        <v>4.2469662312808208E-4</v>
      </c>
      <c r="S64">
        <f>chloroform!J69</f>
        <v>3.822372900299207E-5</v>
      </c>
      <c r="T64" t="str">
        <f>chloroform!F69</f>
        <v>4H6</v>
      </c>
    </row>
    <row r="65" spans="11:20" x14ac:dyDescent="0.25">
      <c r="K65" t="str">
        <f>chloroform!K70</f>
        <v>1-278</v>
      </c>
      <c r="L65">
        <f>Table3[[#This Row],[weight]]*(0.9155*Table2[[#This Row],[J1,2]]-A$9)^2</f>
        <v>0</v>
      </c>
      <c r="M65">
        <f>Table3[[#This Row],[weight]]*(0.9155*Table2[[#This Row],[J2,3]]-B$9)^2</f>
        <v>0</v>
      </c>
      <c r="N65">
        <f>Table3[[#This Row],[weight]]*(0.9155*Table2[[#This Row],[J34]]-C$9)^2</f>
        <v>0</v>
      </c>
      <c r="O65">
        <f>Table3[[#This Row],[weight]]*(0.9155*Table2[[#This Row],[J45]]-D$9)^2</f>
        <v>0</v>
      </c>
      <c r="P65">
        <f>Table3[[#This Row],[weight]]*(0.9155*Table2[[#This Row],[J56]]-E$9)^2</f>
        <v>0</v>
      </c>
      <c r="Q65">
        <f>Table3[[#This Row],[weight]]*(0.9155*Table2[[#This Row],[J67]]-F$9)^2</f>
        <v>0</v>
      </c>
      <c r="R65">
        <f>Table3[[#This Row],[weight]]*(0.9155*Table2[[#This Row],[J67'']]-G$9)^2</f>
        <v>0</v>
      </c>
      <c r="S65">
        <f>chloroform!J70</f>
        <v>0</v>
      </c>
      <c r="T65" t="str">
        <f>chloroform!F70</f>
        <v>5C12</v>
      </c>
    </row>
    <row r="66" spans="11:20" x14ac:dyDescent="0.25">
      <c r="K66" t="str">
        <f>chloroform!K71</f>
        <v>1-283</v>
      </c>
      <c r="L66">
        <f>Table3[[#This Row],[weight]]*(0.9155*Table2[[#This Row],[J1,2]]-A$9)^2</f>
        <v>5.1005746219875046E-5</v>
      </c>
      <c r="M66">
        <f>Table3[[#This Row],[weight]]*(0.9155*Table2[[#This Row],[J2,3]]-B$9)^2</f>
        <v>1.4866143494967489E-3</v>
      </c>
      <c r="N66">
        <f>Table3[[#This Row],[weight]]*(0.9155*Table2[[#This Row],[J34]]-C$9)^2</f>
        <v>1.3414937831847944E-3</v>
      </c>
      <c r="O66">
        <f>Table3[[#This Row],[weight]]*(0.9155*Table2[[#This Row],[J45]]-D$9)^2</f>
        <v>5.0468941086639213E-3</v>
      </c>
      <c r="P66">
        <f>Table3[[#This Row],[weight]]*(0.9155*Table2[[#This Row],[J56]]-E$9)^2</f>
        <v>7.9532276812999331E-5</v>
      </c>
      <c r="Q66">
        <f>Table3[[#This Row],[weight]]*(0.9155*Table2[[#This Row],[J67]]-F$9)^2</f>
        <v>5.2561943535163504E-3</v>
      </c>
      <c r="R66">
        <f>Table3[[#This Row],[weight]]*(0.9155*Table2[[#This Row],[J67'']]-G$9)^2</f>
        <v>5.4234823626807152E-4</v>
      </c>
      <c r="S66">
        <f>chloroform!J71</f>
        <v>6.6818504297804467E-5</v>
      </c>
      <c r="T66" t="str">
        <f>chloroform!F71</f>
        <v>5C12</v>
      </c>
    </row>
    <row r="67" spans="11:20" x14ac:dyDescent="0.25">
      <c r="K67" t="str">
        <f>chloroform!K72</f>
        <v>1-290</v>
      </c>
      <c r="L67">
        <f>Table3[[#This Row],[weight]]*(0.9155*Table2[[#This Row],[J1,2]]-A$9)^2</f>
        <v>0</v>
      </c>
      <c r="M67">
        <f>Table3[[#This Row],[weight]]*(0.9155*Table2[[#This Row],[J2,3]]-B$9)^2</f>
        <v>0</v>
      </c>
      <c r="N67">
        <f>Table3[[#This Row],[weight]]*(0.9155*Table2[[#This Row],[J34]]-C$9)^2</f>
        <v>0</v>
      </c>
      <c r="O67">
        <f>Table3[[#This Row],[weight]]*(0.9155*Table2[[#This Row],[J45]]-D$9)^2</f>
        <v>0</v>
      </c>
      <c r="P67">
        <f>Table3[[#This Row],[weight]]*(0.9155*Table2[[#This Row],[J56]]-E$9)^2</f>
        <v>0</v>
      </c>
      <c r="Q67">
        <f>Table3[[#This Row],[weight]]*(0.9155*Table2[[#This Row],[J67]]-F$9)^2</f>
        <v>0</v>
      </c>
      <c r="R67">
        <f>Table3[[#This Row],[weight]]*(0.9155*Table2[[#This Row],[J67'']]-G$9)^2</f>
        <v>0</v>
      </c>
      <c r="S67">
        <f>chloroform!J72</f>
        <v>0</v>
      </c>
      <c r="T67" t="str">
        <f>chloroform!F72</f>
        <v>4H6</v>
      </c>
    </row>
    <row r="68" spans="11:20" x14ac:dyDescent="0.25">
      <c r="K68" t="str">
        <f>chloroform!K73</f>
        <v>1-333</v>
      </c>
      <c r="L68">
        <f>Table3[[#This Row],[weight]]*(0.9155*Table2[[#This Row],[J1,2]]-A$9)^2</f>
        <v>0</v>
      </c>
      <c r="M68">
        <f>Table3[[#This Row],[weight]]*(0.9155*Table2[[#This Row],[J2,3]]-B$9)^2</f>
        <v>0</v>
      </c>
      <c r="N68">
        <f>Table3[[#This Row],[weight]]*(0.9155*Table2[[#This Row],[J34]]-C$9)^2</f>
        <v>0</v>
      </c>
      <c r="O68">
        <f>Table3[[#This Row],[weight]]*(0.9155*Table2[[#This Row],[J45]]-D$9)^2</f>
        <v>0</v>
      </c>
      <c r="P68">
        <f>Table3[[#This Row],[weight]]*(0.9155*Table2[[#This Row],[J56]]-E$9)^2</f>
        <v>0</v>
      </c>
      <c r="Q68">
        <f>Table3[[#This Row],[weight]]*(0.9155*Table2[[#This Row],[J67]]-F$9)^2</f>
        <v>0</v>
      </c>
      <c r="R68">
        <f>Table3[[#This Row],[weight]]*(0.9155*Table2[[#This Row],[J67'']]-G$9)^2</f>
        <v>0</v>
      </c>
      <c r="S68" s="4">
        <f>chloroform!J73</f>
        <v>0</v>
      </c>
      <c r="T68" t="str">
        <f>chloroform!F73</f>
        <v>56TH</v>
      </c>
    </row>
    <row r="69" spans="11:20" x14ac:dyDescent="0.25">
      <c r="K69" t="str">
        <f>chloroform!K74</f>
        <v>1-373</v>
      </c>
      <c r="L69">
        <f>Table3[[#This Row],[weight]]*(0.9155*Table2[[#This Row],[J1,2]]-A$9)^2</f>
        <v>0</v>
      </c>
      <c r="M69">
        <f>Table3[[#This Row],[weight]]*(0.9155*Table2[[#This Row],[J2,3]]-B$9)^2</f>
        <v>0</v>
      </c>
      <c r="N69">
        <f>Table3[[#This Row],[weight]]*(0.9155*Table2[[#This Row],[J34]]-C$9)^2</f>
        <v>0</v>
      </c>
      <c r="O69">
        <f>Table3[[#This Row],[weight]]*(0.9155*Table2[[#This Row],[J45]]-D$9)^2</f>
        <v>0</v>
      </c>
      <c r="P69">
        <f>Table3[[#This Row],[weight]]*(0.9155*Table2[[#This Row],[J56]]-E$9)^2</f>
        <v>0</v>
      </c>
      <c r="Q69">
        <f>Table3[[#This Row],[weight]]*(0.9155*Table2[[#This Row],[J67]]-F$9)^2</f>
        <v>0</v>
      </c>
      <c r="R69">
        <f>Table3[[#This Row],[weight]]*(0.9155*Table2[[#This Row],[J67'']]-G$9)^2</f>
        <v>0</v>
      </c>
      <c r="S69" s="4">
        <f>chloroform!J74</f>
        <v>0</v>
      </c>
      <c r="T69" t="str">
        <f>chloroform!F74</f>
        <v>4H6</v>
      </c>
    </row>
    <row r="70" spans="11:20" x14ac:dyDescent="0.25">
      <c r="K70" t="str">
        <f>chloroform!K75</f>
        <v>1-396</v>
      </c>
      <c r="L70">
        <f>Table3[[#This Row],[weight]]*(0.9155*Table2[[#This Row],[J1,2]]-A$9)^2</f>
        <v>0</v>
      </c>
      <c r="M70">
        <f>Table3[[#This Row],[weight]]*(0.9155*Table2[[#This Row],[J2,3]]-B$9)^2</f>
        <v>0</v>
      </c>
      <c r="N70">
        <f>Table3[[#This Row],[weight]]*(0.9155*Table2[[#This Row],[J34]]-C$9)^2</f>
        <v>0</v>
      </c>
      <c r="O70">
        <f>Table3[[#This Row],[weight]]*(0.9155*Table2[[#This Row],[J45]]-D$9)^2</f>
        <v>0</v>
      </c>
      <c r="P70">
        <f>Table3[[#This Row],[weight]]*(0.9155*Table2[[#This Row],[J56]]-E$9)^2</f>
        <v>0</v>
      </c>
      <c r="Q70">
        <f>Table3[[#This Row],[weight]]*(0.9155*Table2[[#This Row],[J67]]-F$9)^2</f>
        <v>0</v>
      </c>
      <c r="R70">
        <f>Table3[[#This Row],[weight]]*(0.9155*Table2[[#This Row],[J67'']]-G$9)^2</f>
        <v>0</v>
      </c>
      <c r="S70" s="4">
        <f>chloroform!J75</f>
        <v>0</v>
      </c>
      <c r="T70" t="str">
        <f>chloroform!F75</f>
        <v>4H6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9B92A-13D4-4ABE-A335-DD3FA08D2472}">
  <dimension ref="A1:T70"/>
  <sheetViews>
    <sheetView workbookViewId="0">
      <selection activeCell="H27" sqref="H27"/>
    </sheetView>
  </sheetViews>
  <sheetFormatPr defaultRowHeight="15" x14ac:dyDescent="0.25"/>
  <cols>
    <col min="11" max="11" width="10.5703125" customWidth="1"/>
    <col min="12" max="12" width="12" bestFit="1" customWidth="1"/>
    <col min="13" max="19" width="9.28515625" bestFit="1" customWidth="1"/>
    <col min="20" max="20" width="14" customWidth="1"/>
  </cols>
  <sheetData>
    <row r="1" spans="1:20" x14ac:dyDescent="0.25">
      <c r="A1" t="s">
        <v>33</v>
      </c>
      <c r="B1">
        <f>SUMIF(Table1[Classification],E1,Table1[weight])</f>
        <v>0.17300513189130079</v>
      </c>
      <c r="D1" t="s">
        <v>11</v>
      </c>
      <c r="E1" t="s">
        <v>58</v>
      </c>
      <c r="G1">
        <f>COUNTIF(Table3[classification],E1)</f>
        <v>15</v>
      </c>
      <c r="K1" t="s">
        <v>32</v>
      </c>
      <c r="L1" t="s">
        <v>23</v>
      </c>
      <c r="M1" t="s">
        <v>24</v>
      </c>
      <c r="N1" t="s">
        <v>25</v>
      </c>
      <c r="O1" t="s">
        <v>26</v>
      </c>
      <c r="P1" t="s">
        <v>27</v>
      </c>
      <c r="Q1" t="s">
        <v>28</v>
      </c>
      <c r="R1" t="s">
        <v>30</v>
      </c>
      <c r="S1" t="s">
        <v>15</v>
      </c>
      <c r="T1" t="s">
        <v>31</v>
      </c>
    </row>
    <row r="2" spans="1:20" x14ac:dyDescent="0.25">
      <c r="K2" t="str">
        <f>chloroform!K7</f>
        <v>1-2</v>
      </c>
      <c r="L2">
        <f>Table3[[#This Row],[weight]]*(0.9155*Table2[[#This Row],[J1,2]]-A$9)^2</f>
        <v>1.8862604807595534E-2</v>
      </c>
      <c r="M2">
        <f>Table3[[#This Row],[weight]]*(0.9155*Table2[[#This Row],[J2,3]]-B$9)^2</f>
        <v>7.9466933524493417E-3</v>
      </c>
      <c r="N2">
        <f>Table3[[#This Row],[weight]]*(0.9155*Table2[[#This Row],[J34]]-C$9)^2</f>
        <v>0.31412354887195937</v>
      </c>
      <c r="O2">
        <f>Table3[[#This Row],[weight]]*(0.9155*Table2[[#This Row],[J45]]-D$9)^2</f>
        <v>0.50972387895033699</v>
      </c>
      <c r="P2">
        <f>Table3[[#This Row],[weight]]*(0.9155*Table2[[#This Row],[J56]]-E$9)^2</f>
        <v>8.2739545481678084E-2</v>
      </c>
      <c r="Q2">
        <f>Table3[[#This Row],[weight]]*(0.9155*Table2[[#This Row],[J67]]-F$9)^2</f>
        <v>1.067908687870844E-2</v>
      </c>
      <c r="R2">
        <f>Table3[[#This Row],[weight]]*(0.9155*Table2[[#This Row],[J67'']]-G$9)^2</f>
        <v>0.44959491505942767</v>
      </c>
      <c r="S2">
        <f>chloroform!J7</f>
        <v>2.0443132994926894E-2</v>
      </c>
      <c r="T2" t="str">
        <f>chloroform!F7</f>
        <v>4H6</v>
      </c>
    </row>
    <row r="3" spans="1:20" x14ac:dyDescent="0.25">
      <c r="K3" t="str">
        <f>chloroform!K8</f>
        <v>1-3</v>
      </c>
      <c r="L3">
        <f>Table3[[#This Row],[weight]]*(0.9155*Table2[[#This Row],[J1,2]]-A$9)^2</f>
        <v>1.8022224417058311E-2</v>
      </c>
      <c r="M3">
        <f>Table3[[#This Row],[weight]]*(0.9155*Table2[[#This Row],[J2,3]]-B$9)^2</f>
        <v>2.6074611166238406E-2</v>
      </c>
      <c r="N3">
        <f>Table3[[#This Row],[weight]]*(0.9155*Table2[[#This Row],[J34]]-C$9)^2</f>
        <v>0.31016108606428389</v>
      </c>
      <c r="O3">
        <f>Table3[[#This Row],[weight]]*(0.9155*Table2[[#This Row],[J45]]-D$9)^2</f>
        <v>0.75011826450029184</v>
      </c>
      <c r="P3">
        <f>Table3[[#This Row],[weight]]*(0.9155*Table2[[#This Row],[J56]]-E$9)^2</f>
        <v>6.1993027236561922E-2</v>
      </c>
      <c r="Q3">
        <f>Table3[[#This Row],[weight]]*(0.9155*Table2[[#This Row],[J67]]-F$9)^2</f>
        <v>2.1592770281843653E-2</v>
      </c>
      <c r="R3">
        <f>Table3[[#This Row],[weight]]*(0.9155*Table2[[#This Row],[J67'']]-G$9)^2</f>
        <v>0.55305829937315409</v>
      </c>
      <c r="S3">
        <f>chloroform!J8</f>
        <v>2.6474327595882797E-2</v>
      </c>
      <c r="T3" t="str">
        <f>chloroform!F8</f>
        <v>4H6</v>
      </c>
    </row>
    <row r="4" spans="1:20" x14ac:dyDescent="0.25">
      <c r="A4" t="s">
        <v>23</v>
      </c>
      <c r="B4" t="s">
        <v>24</v>
      </c>
      <c r="C4" t="s">
        <v>25</v>
      </c>
      <c r="D4" t="s">
        <v>26</v>
      </c>
      <c r="E4" t="s">
        <v>27</v>
      </c>
      <c r="F4" t="s">
        <v>28</v>
      </c>
      <c r="G4" t="s">
        <v>30</v>
      </c>
      <c r="K4" t="str">
        <f>chloroform!K9</f>
        <v>1-4</v>
      </c>
      <c r="L4">
        <f>Table3[[#This Row],[weight]]*(0.9155*Table2[[#This Row],[J1,2]]-A$9)^2</f>
        <v>5.2127103829085128E-2</v>
      </c>
      <c r="M4">
        <f>Table3[[#This Row],[weight]]*(0.9155*Table2[[#This Row],[J2,3]]-B$9)^2</f>
        <v>8.462671932832188E-3</v>
      </c>
      <c r="N4">
        <f>Table3[[#This Row],[weight]]*(0.9155*Table2[[#This Row],[J34]]-C$9)^2</f>
        <v>1.1670734015737743</v>
      </c>
      <c r="O4">
        <f>Table3[[#This Row],[weight]]*(0.9155*Table2[[#This Row],[J45]]-D$9)^2</f>
        <v>2.4250476577767226</v>
      </c>
      <c r="P4">
        <f>Table3[[#This Row],[weight]]*(0.9155*Table2[[#This Row],[J56]]-E$9)^2</f>
        <v>0.23328095731092344</v>
      </c>
      <c r="Q4">
        <f>Table3[[#This Row],[weight]]*(0.9155*Table2[[#This Row],[J67]]-F$9)^2</f>
        <v>0.11712912899651561</v>
      </c>
      <c r="R4">
        <f>Table3[[#This Row],[weight]]*(0.9155*Table2[[#This Row],[J67'']]-G$9)^2</f>
        <v>0.25704198737229267</v>
      </c>
      <c r="S4">
        <f>chloroform!J9</f>
        <v>8.2886759934681004E-2</v>
      </c>
      <c r="T4" t="str">
        <f>chloroform!F9</f>
        <v>4H6</v>
      </c>
    </row>
    <row r="5" spans="1:20" x14ac:dyDescent="0.25">
      <c r="A5">
        <f>SUMIF(Table1[Classification],E1,Table2[J1,23])/$B$1</f>
        <v>7.9888592690301801</v>
      </c>
      <c r="B5">
        <f>SUMIF(Table1[Classification],E1,Table2[J2,34])/$B$1</f>
        <v>8.4848741553347296</v>
      </c>
      <c r="C5">
        <f>SUMIF(Table1[Classification],E1,Table2[J345])/$B$1</f>
        <v>2.0235121656853159</v>
      </c>
      <c r="D5">
        <f>SUMIF(Table1[Classification],E1,Table2[J456])/$B$1</f>
        <v>5.8365456723056974</v>
      </c>
      <c r="E5">
        <f>SUMIF(Table1[Classification],E1,Table2[J567])/$B$1</f>
        <v>9.0767451043585741</v>
      </c>
      <c r="F5">
        <f>SUMIF(Table1[Classification],E1,Table2[J678])/$B$1</f>
        <v>2.0712902079511522</v>
      </c>
      <c r="G5">
        <f>SUMIF(Table1[Classification],E1,Table2[J67''9])/$B$1</f>
        <v>4.7519388957044573</v>
      </c>
      <c r="K5" t="str">
        <f>chloroform!K10</f>
        <v>1-6</v>
      </c>
      <c r="L5">
        <f>Table3[[#This Row],[weight]]*(0.9155*Table2[[#This Row],[J1,2]]-A$9)^2</f>
        <v>5.6468930741148532E-2</v>
      </c>
      <c r="M5">
        <f>Table3[[#This Row],[weight]]*(0.9155*Table2[[#This Row],[J2,3]]-B$9)^2</f>
        <v>5.4837565885133215E-2</v>
      </c>
      <c r="N5">
        <f>Table3[[#This Row],[weight]]*(0.9155*Table2[[#This Row],[J34]]-C$9)^2</f>
        <v>1.3445690453863368</v>
      </c>
      <c r="O5">
        <f>Table3[[#This Row],[weight]]*(0.9155*Table2[[#This Row],[J45]]-D$9)^2</f>
        <v>4.1982401360523269</v>
      </c>
      <c r="P5">
        <f>Table3[[#This Row],[weight]]*(0.9155*Table2[[#This Row],[J56]]-E$9)^2</f>
        <v>0.41086285797007888</v>
      </c>
      <c r="Q5">
        <f>Table3[[#This Row],[weight]]*(0.9155*Table2[[#This Row],[J67]]-F$9)^2</f>
        <v>0.13085936270854837</v>
      </c>
      <c r="R5">
        <f>Table3[[#This Row],[weight]]*(0.9155*Table2[[#This Row],[J67'']]-G$9)^2</f>
        <v>0.63936505906133878</v>
      </c>
      <c r="S5">
        <f>chloroform!J10</f>
        <v>0.13701802520058434</v>
      </c>
      <c r="T5" t="str">
        <f>chloroform!F10</f>
        <v>4H6</v>
      </c>
    </row>
    <row r="6" spans="1:20" x14ac:dyDescent="0.25">
      <c r="K6" t="str">
        <f>chloroform!K11</f>
        <v>1-7</v>
      </c>
      <c r="L6">
        <f>Table3[[#This Row],[weight]]*(0.9155*Table2[[#This Row],[J1,2]]-A$9)^2</f>
        <v>4.6322219444678291E-5</v>
      </c>
      <c r="M6">
        <f>Table3[[#This Row],[weight]]*(0.9155*Table2[[#This Row],[J2,3]]-B$9)^2</f>
        <v>7.0694150375993979E-4</v>
      </c>
      <c r="N6">
        <f>Table3[[#This Row],[weight]]*(0.9155*Table2[[#This Row],[J34]]-C$9)^2</f>
        <v>2.0041886281924959E-3</v>
      </c>
      <c r="O6">
        <f>Table3[[#This Row],[weight]]*(0.9155*Table2[[#This Row],[J45]]-D$9)^2</f>
        <v>1.6052612869489719E-4</v>
      </c>
      <c r="P6">
        <f>Table3[[#This Row],[weight]]*(0.9155*Table2[[#This Row],[J56]]-E$9)^2</f>
        <v>2.1847936745067087E-3</v>
      </c>
      <c r="Q6">
        <f>Table3[[#This Row],[weight]]*(0.9155*Table2[[#This Row],[J67]]-F$9)^2</f>
        <v>1.1991531699978818E-3</v>
      </c>
      <c r="R6">
        <f>Table3[[#This Row],[weight]]*(0.9155*Table2[[#This Row],[J67'']]-G$9)^2</f>
        <v>3.2542926787440488E-2</v>
      </c>
      <c r="S6">
        <f>chloroform!J11</f>
        <v>4.8979761756914458E-3</v>
      </c>
      <c r="T6" t="str">
        <f>chloroform!F11</f>
        <v>45TH</v>
      </c>
    </row>
    <row r="7" spans="1:20" x14ac:dyDescent="0.25">
      <c r="A7" t="s">
        <v>48</v>
      </c>
      <c r="K7" t="str">
        <f>chloroform!K12</f>
        <v>1-8</v>
      </c>
      <c r="L7">
        <f>Table3[[#This Row],[weight]]*(0.9155*Table2[[#This Row],[J1,2]]-A$9)^2</f>
        <v>2.6211168179366244E-2</v>
      </c>
      <c r="M7">
        <f>Table3[[#This Row],[weight]]*(0.9155*Table2[[#This Row],[J2,3]]-B$9)^2</f>
        <v>1.4174575136348155E-3</v>
      </c>
      <c r="N7">
        <f>Table3[[#This Row],[weight]]*(0.9155*Table2[[#This Row],[J34]]-C$9)^2</f>
        <v>0.63547558647712488</v>
      </c>
      <c r="O7">
        <f>Table3[[#This Row],[weight]]*(0.9155*Table2[[#This Row],[J45]]-D$9)^2</f>
        <v>2.0190616458372013</v>
      </c>
      <c r="P7">
        <f>Table3[[#This Row],[weight]]*(0.9155*Table2[[#This Row],[J56]]-E$9)^2</f>
        <v>0.18969204896394073</v>
      </c>
      <c r="Q7">
        <f>Table3[[#This Row],[weight]]*(0.9155*Table2[[#This Row],[J67]]-F$9)^2</f>
        <v>4.4871585085132379E-2</v>
      </c>
      <c r="R7">
        <f>Table3[[#This Row],[weight]]*(0.9155*Table2[[#This Row],[J67'']]-G$9)^2</f>
        <v>0.37515798370097803</v>
      </c>
      <c r="S7">
        <f>chloroform!J12</f>
        <v>6.8591809039828824E-2</v>
      </c>
      <c r="T7" t="str">
        <f>chloroform!F12</f>
        <v>4H6</v>
      </c>
    </row>
    <row r="8" spans="1:20" x14ac:dyDescent="0.25">
      <c r="A8" t="s">
        <v>23</v>
      </c>
      <c r="B8" t="s">
        <v>24</v>
      </c>
      <c r="C8" t="s">
        <v>25</v>
      </c>
      <c r="D8" t="s">
        <v>26</v>
      </c>
      <c r="E8" t="s">
        <v>27</v>
      </c>
      <c r="F8" t="s">
        <v>28</v>
      </c>
      <c r="G8" t="s">
        <v>30</v>
      </c>
      <c r="K8" t="str">
        <f>chloroform!K13</f>
        <v>1-9</v>
      </c>
      <c r="L8">
        <f>Table3[[#This Row],[weight]]*(0.9155*Table2[[#This Row],[J1,2]]-A$9)^2</f>
        <v>3.0184812158972268E-2</v>
      </c>
      <c r="M8">
        <f>Table3[[#This Row],[weight]]*(0.9155*Table2[[#This Row],[J2,3]]-B$9)^2</f>
        <v>1.1046024516720604E-2</v>
      </c>
      <c r="N8">
        <f>Table3[[#This Row],[weight]]*(0.9155*Table2[[#This Row],[J34]]-C$9)^2</f>
        <v>0.56172765716445805</v>
      </c>
      <c r="O8">
        <f>Table3[[#This Row],[weight]]*(0.9155*Table2[[#This Row],[J45]]-D$9)^2</f>
        <v>0.93332527393449805</v>
      </c>
      <c r="P8">
        <f>Table3[[#This Row],[weight]]*(0.9155*Table2[[#This Row],[J56]]-E$9)^2</f>
        <v>0.10370953595955883</v>
      </c>
      <c r="Q8">
        <f>Table3[[#This Row],[weight]]*(0.9155*Table2[[#This Row],[J67]]-F$9)^2</f>
        <v>3.445034933816636E-3</v>
      </c>
      <c r="R8">
        <f>Table3[[#This Row],[weight]]*(0.9155*Table2[[#This Row],[J67'']]-G$9)^2</f>
        <v>0.48238122521364868</v>
      </c>
      <c r="S8">
        <f>chloroform!J13</f>
        <v>3.6728546106106548E-2</v>
      </c>
      <c r="T8" t="str">
        <f>chloroform!F13</f>
        <v>4H6</v>
      </c>
    </row>
    <row r="9" spans="1:20" x14ac:dyDescent="0.25">
      <c r="A9">
        <f t="shared" ref="A9:G9" si="0">A5</f>
        <v>7.9888592690301801</v>
      </c>
      <c r="B9">
        <f t="shared" si="0"/>
        <v>8.4848741553347296</v>
      </c>
      <c r="C9">
        <f t="shared" si="0"/>
        <v>2.0235121656853159</v>
      </c>
      <c r="D9">
        <f t="shared" si="0"/>
        <v>5.8365456723056974</v>
      </c>
      <c r="E9">
        <f t="shared" si="0"/>
        <v>9.0767451043585741</v>
      </c>
      <c r="F9">
        <f t="shared" si="0"/>
        <v>2.0712902079511522</v>
      </c>
      <c r="G9">
        <f t="shared" si="0"/>
        <v>4.7519388957044573</v>
      </c>
      <c r="K9" t="str">
        <f>chloroform!K14</f>
        <v>1-14</v>
      </c>
      <c r="L9">
        <f>Table3[[#This Row],[weight]]*(0.9155*Table2[[#This Row],[J1,2]]-A$9)^2</f>
        <v>0</v>
      </c>
      <c r="M9">
        <f>Table3[[#This Row],[weight]]*(0.9155*Table2[[#This Row],[J2,3]]-B$9)^2</f>
        <v>0</v>
      </c>
      <c r="N9">
        <f>Table3[[#This Row],[weight]]*(0.9155*Table2[[#This Row],[J34]]-C$9)^2</f>
        <v>0</v>
      </c>
      <c r="O9">
        <f>Table3[[#This Row],[weight]]*(0.9155*Table2[[#This Row],[J45]]-D$9)^2</f>
        <v>0</v>
      </c>
      <c r="P9">
        <f>Table3[[#This Row],[weight]]*(0.9155*Table2[[#This Row],[J56]]-E$9)^2</f>
        <v>0</v>
      </c>
      <c r="Q9">
        <f>Table3[[#This Row],[weight]]*(0.9155*Table2[[#This Row],[J67]]-F$9)^2</f>
        <v>0</v>
      </c>
      <c r="R9">
        <f>Table3[[#This Row],[weight]]*(0.9155*Table2[[#This Row],[J67'']]-G$9)^2</f>
        <v>0</v>
      </c>
      <c r="S9">
        <f>chloroform!J14</f>
        <v>0</v>
      </c>
      <c r="T9" t="str">
        <f>chloroform!F14</f>
        <v>45TH</v>
      </c>
    </row>
    <row r="10" spans="1:20" x14ac:dyDescent="0.25">
      <c r="K10" t="str">
        <f>chloroform!K15</f>
        <v>1-15</v>
      </c>
      <c r="L10">
        <f>Table3[[#This Row],[weight]]*(0.9155*Table2[[#This Row],[J1,2]]-A$9)^2</f>
        <v>5.3026513135478566E-6</v>
      </c>
      <c r="M10">
        <f>Table3[[#This Row],[weight]]*(0.9155*Table2[[#This Row],[J2,3]]-B$9)^2</f>
        <v>2.2615070296952465E-4</v>
      </c>
      <c r="N10">
        <f>Table3[[#This Row],[weight]]*(0.9155*Table2[[#This Row],[J34]]-C$9)^2</f>
        <v>6.5662568800851992E-6</v>
      </c>
      <c r="O10">
        <f>Table3[[#This Row],[weight]]*(0.9155*Table2[[#This Row],[J45]]-D$9)^2</f>
        <v>5.2331783417020483E-5</v>
      </c>
      <c r="P10">
        <f>Table3[[#This Row],[weight]]*(0.9155*Table2[[#This Row],[J56]]-E$9)^2</f>
        <v>1.7757953733300474E-3</v>
      </c>
      <c r="Q10">
        <f>Table3[[#This Row],[weight]]*(0.9155*Table2[[#This Row],[J67]]-F$9)^2</f>
        <v>8.5663451012789379E-3</v>
      </c>
      <c r="R10">
        <f>Table3[[#This Row],[weight]]*(0.9155*Table2[[#This Row],[J67'']]-G$9)^2</f>
        <v>0.66691969197173573</v>
      </c>
      <c r="S10">
        <f>chloroform!J15</f>
        <v>1.9047002688397006E-2</v>
      </c>
      <c r="T10" t="str">
        <f>chloroform!F15</f>
        <v>45TH</v>
      </c>
    </row>
    <row r="11" spans="1:20" x14ac:dyDescent="0.25">
      <c r="A11" t="s">
        <v>49</v>
      </c>
      <c r="K11" t="str">
        <f>chloroform!K16</f>
        <v>1-16</v>
      </c>
      <c r="L11">
        <f>Table3[[#This Row],[weight]]*(0.9155*Table2[[#This Row],[J1,2]]-A$9)^2</f>
        <v>4.3264259674878083E-2</v>
      </c>
      <c r="M11">
        <f>Table3[[#This Row],[weight]]*(0.9155*Table2[[#This Row],[J2,3]]-B$9)^2</f>
        <v>4.8125158595372933E-2</v>
      </c>
      <c r="N11">
        <f>Table3[[#This Row],[weight]]*(0.9155*Table2[[#This Row],[J34]]-C$9)^2</f>
        <v>0.8136624942449362</v>
      </c>
      <c r="O11">
        <f>Table3[[#This Row],[weight]]*(0.9155*Table2[[#This Row],[J45]]-D$9)^2</f>
        <v>2.3240248579086038</v>
      </c>
      <c r="P11">
        <f>Table3[[#This Row],[weight]]*(0.9155*Table2[[#This Row],[J56]]-E$9)^2</f>
        <v>0.26160588750427316</v>
      </c>
      <c r="Q11">
        <f>Table3[[#This Row],[weight]]*(0.9155*Table2[[#This Row],[J67]]-F$9)^2</f>
        <v>1.2550616763489515E-3</v>
      </c>
      <c r="R11">
        <f>Table3[[#This Row],[weight]]*(0.9155*Table2[[#This Row],[J67'']]-G$9)^2</f>
        <v>0.93948452551904915</v>
      </c>
      <c r="S11">
        <f>chloroform!J16</f>
        <v>7.6914081690591052E-2</v>
      </c>
      <c r="T11" t="str">
        <f>chloroform!F16</f>
        <v>4H6</v>
      </c>
    </row>
    <row r="12" spans="1:20" x14ac:dyDescent="0.25">
      <c r="A12" t="s">
        <v>23</v>
      </c>
      <c r="B12" t="s">
        <v>24</v>
      </c>
      <c r="C12" t="s">
        <v>25</v>
      </c>
      <c r="D12" t="s">
        <v>26</v>
      </c>
      <c r="E12" t="s">
        <v>27</v>
      </c>
      <c r="F12" t="s">
        <v>28</v>
      </c>
      <c r="G12" t="s">
        <v>30</v>
      </c>
      <c r="K12" t="str">
        <f>chloroform!K17</f>
        <v>1-17</v>
      </c>
      <c r="L12">
        <f>Table3[[#This Row],[weight]]*(0.9155*Table2[[#This Row],[J1,2]]-A$9)^2</f>
        <v>1.8383900730942509E-7</v>
      </c>
      <c r="M12">
        <f>Table3[[#This Row],[weight]]*(0.9155*Table2[[#This Row],[J2,3]]-B$9)^2</f>
        <v>3.9269224176609519E-4</v>
      </c>
      <c r="N12">
        <f>Table3[[#This Row],[weight]]*(0.9155*Table2[[#This Row],[J34]]-C$9)^2</f>
        <v>1.1558394991784942E-3</v>
      </c>
      <c r="O12">
        <f>Table3[[#This Row],[weight]]*(0.9155*Table2[[#This Row],[J45]]-D$9)^2</f>
        <v>1.2311150869179268E-2</v>
      </c>
      <c r="P12">
        <f>Table3[[#This Row],[weight]]*(0.9155*Table2[[#This Row],[J56]]-E$9)^2</f>
        <v>9.7870565632854345E-3</v>
      </c>
      <c r="Q12">
        <f>Table3[[#This Row],[weight]]*(0.9155*Table2[[#This Row],[J67]]-F$9)^2</f>
        <v>2.3928075180783288E-3</v>
      </c>
      <c r="R12">
        <f>Table3[[#This Row],[weight]]*(0.9155*Table2[[#This Row],[J67'']]-G$9)^2</f>
        <v>0.6293263718847848</v>
      </c>
      <c r="S12">
        <f>chloroform!J17</f>
        <v>6.9642563450323117E-2</v>
      </c>
      <c r="T12" t="str">
        <f>chloroform!F17</f>
        <v>45TH</v>
      </c>
    </row>
    <row r="13" spans="1:20" x14ac:dyDescent="0.25">
      <c r="A13">
        <f t="shared" ref="A13:G13" si="1">SQRT(SUMIF($T$2:$T$46,$E$1,L$2:L$46)/(($G$1-1)*$B$1/$G$1))</f>
        <v>4.2755086767363913E-2</v>
      </c>
      <c r="B13">
        <f t="shared" si="1"/>
        <v>0.21721700043049957</v>
      </c>
      <c r="C13">
        <f t="shared" si="1"/>
        <v>0.22736650504638639</v>
      </c>
      <c r="D13">
        <f t="shared" si="1"/>
        <v>0.49228433760129481</v>
      </c>
      <c r="E13">
        <f t="shared" si="1"/>
        <v>0.39690236704588799</v>
      </c>
      <c r="F13">
        <f t="shared" si="1"/>
        <v>0.53560520505385134</v>
      </c>
      <c r="G13">
        <f t="shared" si="1"/>
        <v>4.4282455028848995</v>
      </c>
      <c r="K13" t="str">
        <f>chloroform!K18</f>
        <v>1-19</v>
      </c>
      <c r="L13">
        <f>Table3[[#This Row],[weight]]*(0.9155*Table2[[#This Row],[J1,2]]-A$9)^2</f>
        <v>2.2407030316960829E-5</v>
      </c>
      <c r="M13">
        <f>Table3[[#This Row],[weight]]*(0.9155*Table2[[#This Row],[J2,3]]-B$9)^2</f>
        <v>0.12572439062174526</v>
      </c>
      <c r="N13">
        <f>Table3[[#This Row],[weight]]*(0.9155*Table2[[#This Row],[J34]]-C$9)^2</f>
        <v>0.22859634023567091</v>
      </c>
      <c r="O13">
        <f>Table3[[#This Row],[weight]]*(0.9155*Table2[[#This Row],[J45]]-D$9)^2</f>
        <v>2.0564264388088505E-2</v>
      </c>
      <c r="P13">
        <f>Table3[[#This Row],[weight]]*(0.9155*Table2[[#This Row],[J56]]-E$9)^2</f>
        <v>0.22300894124280113</v>
      </c>
      <c r="Q13">
        <f>Table3[[#This Row],[weight]]*(0.9155*Table2[[#This Row],[J67]]-F$9)^2</f>
        <v>0.2626006043723883</v>
      </c>
      <c r="R13">
        <f>Table3[[#This Row],[weight]]*(0.9155*Table2[[#This Row],[J67'']]-G$9)^2</f>
        <v>1.5676605990631678E-3</v>
      </c>
      <c r="S13">
        <f>chloroform!J18</f>
        <v>2.8545917385225878E-3</v>
      </c>
      <c r="T13" t="str">
        <f>chloroform!F18</f>
        <v>6H4</v>
      </c>
    </row>
    <row r="14" spans="1:20" x14ac:dyDescent="0.25">
      <c r="K14" t="str">
        <f>chloroform!K19</f>
        <v>1-20</v>
      </c>
      <c r="L14">
        <f>Table3[[#This Row],[weight]]*(0.9155*Table2[[#This Row],[J1,2]]-A$9)^2</f>
        <v>4.698375276165534E-2</v>
      </c>
      <c r="M14">
        <f>Table3[[#This Row],[weight]]*(0.9155*Table2[[#This Row],[J2,3]]-B$9)^2</f>
        <v>1.4317597291637207E-2</v>
      </c>
      <c r="N14">
        <f>Table3[[#This Row],[weight]]*(0.9155*Table2[[#This Row],[J34]]-C$9)^2</f>
        <v>1.0123232444950596</v>
      </c>
      <c r="O14">
        <f>Table3[[#This Row],[weight]]*(0.9155*Table2[[#This Row],[J45]]-D$9)^2</f>
        <v>1.7443551689839081</v>
      </c>
      <c r="P14">
        <f>Table3[[#This Row],[weight]]*(0.9155*Table2[[#This Row],[J56]]-E$9)^2</f>
        <v>0.1975477218597351</v>
      </c>
      <c r="Q14">
        <f>Table3[[#This Row],[weight]]*(0.9155*Table2[[#This Row],[J67]]-F$9)^2</f>
        <v>8.062288442825364E-3</v>
      </c>
      <c r="R14">
        <f>Table3[[#This Row],[weight]]*(0.9155*Table2[[#This Row],[J67'']]-G$9)^2</f>
        <v>0.53244711599142003</v>
      </c>
      <c r="S14">
        <f>chloroform!J19</f>
        <v>6.7511764566552959E-2</v>
      </c>
      <c r="T14" t="str">
        <f>chloroform!F19</f>
        <v>4H6</v>
      </c>
    </row>
    <row r="15" spans="1:20" x14ac:dyDescent="0.25">
      <c r="K15" t="str">
        <f>chloroform!K20</f>
        <v>1-21</v>
      </c>
      <c r="L15">
        <f>Table3[[#This Row],[weight]]*(0.9155*Table2[[#This Row],[J1,2]]-A$9)^2</f>
        <v>3.9775191810379562E-5</v>
      </c>
      <c r="M15">
        <f>Table3[[#This Row],[weight]]*(0.9155*Table2[[#This Row],[J2,3]]-B$9)^2</f>
        <v>1.6696622007765399E-3</v>
      </c>
      <c r="N15">
        <f>Table3[[#This Row],[weight]]*(0.9155*Table2[[#This Row],[J34]]-C$9)^2</f>
        <v>1.0462480167517565E-3</v>
      </c>
      <c r="O15">
        <f>Table3[[#This Row],[weight]]*(0.9155*Table2[[#This Row],[J45]]-D$9)^2</f>
        <v>9.1091010725779609E-4</v>
      </c>
      <c r="P15">
        <f>Table3[[#This Row],[weight]]*(0.9155*Table2[[#This Row],[J56]]-E$9)^2</f>
        <v>1.2221872722711412E-3</v>
      </c>
      <c r="Q15">
        <f>Table3[[#This Row],[weight]]*(0.9155*Table2[[#This Row],[J67]]-F$9)^2</f>
        <v>1.603722234798975E-4</v>
      </c>
      <c r="R15">
        <f>Table3[[#This Row],[weight]]*(0.9155*Table2[[#This Row],[J67'']]-G$9)^2</f>
        <v>6.2199968721990406E-4</v>
      </c>
      <c r="S15">
        <f>chloroform!J20</f>
        <v>4.7383043906060167E-5</v>
      </c>
      <c r="T15" t="str">
        <f>chloroform!F20</f>
        <v>TH45</v>
      </c>
    </row>
    <row r="16" spans="1:20" x14ac:dyDescent="0.25">
      <c r="K16" t="str">
        <f>chloroform!K21</f>
        <v>1-22</v>
      </c>
      <c r="L16">
        <f>Table3[[#This Row],[weight]]*(0.9155*Table2[[#This Row],[J1,2]]-A$9)^2</f>
        <v>4.3267899120831715E-6</v>
      </c>
      <c r="M16">
        <f>Table3[[#This Row],[weight]]*(0.9155*Table2[[#This Row],[J2,3]]-B$9)^2</f>
        <v>4.0217453441159273E-5</v>
      </c>
      <c r="N16">
        <f>Table3[[#This Row],[weight]]*(0.9155*Table2[[#This Row],[J34]]-C$9)^2</f>
        <v>1.1005038228092841E-4</v>
      </c>
      <c r="O16">
        <f>Table3[[#This Row],[weight]]*(0.9155*Table2[[#This Row],[J45]]-D$9)^2</f>
        <v>7.5762827839326573E-5</v>
      </c>
      <c r="P16">
        <f>Table3[[#This Row],[weight]]*(0.9155*Table2[[#This Row],[J56]]-E$9)^2</f>
        <v>2.7676445135048643E-4</v>
      </c>
      <c r="Q16">
        <f>Table3[[#This Row],[weight]]*(0.9155*Table2[[#This Row],[J67]]-F$9)^2</f>
        <v>5.096777883203562E-4</v>
      </c>
      <c r="R16">
        <f>Table3[[#This Row],[weight]]*(0.9155*Table2[[#This Row],[J67'']]-G$9)^2</f>
        <v>1.0938504711399835E-2</v>
      </c>
      <c r="S16">
        <f>chloroform!J21</f>
        <v>3.0913911731859928E-4</v>
      </c>
      <c r="T16" t="str">
        <f>chloroform!F21</f>
        <v>45TH</v>
      </c>
    </row>
    <row r="17" spans="11:20" x14ac:dyDescent="0.25">
      <c r="K17" t="str">
        <f>chloroform!K22</f>
        <v>1-23</v>
      </c>
      <c r="L17">
        <f>Table3[[#This Row],[weight]]*(0.9155*Table2[[#This Row],[J1,2]]-A$9)^2</f>
        <v>0</v>
      </c>
      <c r="M17">
        <f>Table3[[#This Row],[weight]]*(0.9155*Table2[[#This Row],[J2,3]]-B$9)^2</f>
        <v>0</v>
      </c>
      <c r="N17">
        <f>Table3[[#This Row],[weight]]*(0.9155*Table2[[#This Row],[J34]]-C$9)^2</f>
        <v>0</v>
      </c>
      <c r="O17">
        <f>Table3[[#This Row],[weight]]*(0.9155*Table2[[#This Row],[J45]]-D$9)^2</f>
        <v>0</v>
      </c>
      <c r="P17">
        <f>Table3[[#This Row],[weight]]*(0.9155*Table2[[#This Row],[J56]]-E$9)^2</f>
        <v>0</v>
      </c>
      <c r="Q17">
        <f>Table3[[#This Row],[weight]]*(0.9155*Table2[[#This Row],[J67]]-F$9)^2</f>
        <v>0</v>
      </c>
      <c r="R17">
        <f>Table3[[#This Row],[weight]]*(0.9155*Table2[[#This Row],[J67'']]-G$9)^2</f>
        <v>0</v>
      </c>
      <c r="S17">
        <f>chloroform!J22</f>
        <v>0</v>
      </c>
      <c r="T17" t="str">
        <f>chloroform!F22</f>
        <v>TH45</v>
      </c>
    </row>
    <row r="18" spans="11:20" x14ac:dyDescent="0.25">
      <c r="K18" t="str">
        <f>chloroform!K23</f>
        <v>1-24</v>
      </c>
      <c r="L18">
        <f>Table3[[#This Row],[weight]]*(0.9155*Table2[[#This Row],[J1,2]]-A$9)^2</f>
        <v>9.6753806589235781E-6</v>
      </c>
      <c r="M18">
        <f>Table3[[#This Row],[weight]]*(0.9155*Table2[[#This Row],[J2,3]]-B$9)^2</f>
        <v>5.918818470391597E-5</v>
      </c>
      <c r="N18">
        <f>Table3[[#This Row],[weight]]*(0.9155*Table2[[#This Row],[J34]]-C$9)^2</f>
        <v>2.8439073726342569E-4</v>
      </c>
      <c r="O18">
        <f>Table3[[#This Row],[weight]]*(0.9155*Table2[[#This Row],[J45]]-D$9)^2</f>
        <v>5.1459508739852564E-6</v>
      </c>
      <c r="P18">
        <f>Table3[[#This Row],[weight]]*(0.9155*Table2[[#This Row],[J56]]-E$9)^2</f>
        <v>8.9685454347937758E-6</v>
      </c>
      <c r="Q18">
        <f>Table3[[#This Row],[weight]]*(0.9155*Table2[[#This Row],[J67]]-F$9)^2</f>
        <v>3.039091044091102E-2</v>
      </c>
      <c r="R18">
        <f>Table3[[#This Row],[weight]]*(0.9155*Table2[[#This Row],[J67'']]-G$9)^2</f>
        <v>2.7188143209757182E-3</v>
      </c>
      <c r="S18">
        <f>chloroform!J23</f>
        <v>4.9168885002817317E-4</v>
      </c>
      <c r="T18" t="str">
        <f>chloroform!F23</f>
        <v>45TH</v>
      </c>
    </row>
    <row r="19" spans="11:20" x14ac:dyDescent="0.25">
      <c r="K19" t="str">
        <f>chloroform!K24</f>
        <v>1-26</v>
      </c>
      <c r="L19">
        <f>Table3[[#This Row],[weight]]*(0.9155*Table2[[#This Row],[J1,2]]-A$9)^2</f>
        <v>1.6277436537446142E-5</v>
      </c>
      <c r="M19">
        <f>Table3[[#This Row],[weight]]*(0.9155*Table2[[#This Row],[J2,3]]-B$9)^2</f>
        <v>1.1807774823932237E-6</v>
      </c>
      <c r="N19">
        <f>Table3[[#This Row],[weight]]*(0.9155*Table2[[#This Row],[J34]]-C$9)^2</f>
        <v>9.0239267214360002E-4</v>
      </c>
      <c r="O19">
        <f>Table3[[#This Row],[weight]]*(0.9155*Table2[[#This Row],[J45]]-D$9)^2</f>
        <v>2.0116573569590054E-2</v>
      </c>
      <c r="P19">
        <f>Table3[[#This Row],[weight]]*(0.9155*Table2[[#This Row],[J56]]-E$9)^2</f>
        <v>8.6336590314358454E-3</v>
      </c>
      <c r="Q19">
        <f>Table3[[#This Row],[weight]]*(0.9155*Table2[[#This Row],[J67]]-F$9)^2</f>
        <v>3.3882918083463358E-4</v>
      </c>
      <c r="R19">
        <f>Table3[[#This Row],[weight]]*(0.9155*Table2[[#This Row],[J67'']]-G$9)^2</f>
        <v>5.3097934342529934E-2</v>
      </c>
      <c r="S19">
        <f>chloroform!J24</f>
        <v>6.2430231388068413E-3</v>
      </c>
      <c r="T19" t="str">
        <f>chloroform!F24</f>
        <v>45TH</v>
      </c>
    </row>
    <row r="20" spans="11:20" x14ac:dyDescent="0.25">
      <c r="K20" t="str">
        <f>chloroform!K25</f>
        <v>1-27</v>
      </c>
      <c r="L20">
        <f>Table3[[#This Row],[weight]]*(0.9155*Table2[[#This Row],[J1,2]]-A$9)^2</f>
        <v>4.9623051152634871E-2</v>
      </c>
      <c r="M20">
        <f>Table3[[#This Row],[weight]]*(0.9155*Table2[[#This Row],[J2,3]]-B$9)^2</f>
        <v>2.1708674334166008E-2</v>
      </c>
      <c r="N20">
        <f>Table3[[#This Row],[weight]]*(0.9155*Table2[[#This Row],[J34]]-C$9)^2</f>
        <v>0.84310426131779537</v>
      </c>
      <c r="O20">
        <f>Table3[[#This Row],[weight]]*(0.9155*Table2[[#This Row],[J45]]-D$9)^2</f>
        <v>1.3383778613088315</v>
      </c>
      <c r="P20">
        <f>Table3[[#This Row],[weight]]*(0.9155*Table2[[#This Row],[J56]]-E$9)^2</f>
        <v>0.23040797343916</v>
      </c>
      <c r="Q20">
        <f>Table3[[#This Row],[weight]]*(0.9155*Table2[[#This Row],[J67]]-F$9)^2</f>
        <v>4.3458299410673841E-2</v>
      </c>
      <c r="R20">
        <f>Table3[[#This Row],[weight]]*(0.9155*Table2[[#This Row],[J67'']]-G$9)^2</f>
        <v>1.4662599933356915</v>
      </c>
      <c r="S20">
        <f>chloroform!J25</f>
        <v>5.4715696994462895E-2</v>
      </c>
      <c r="T20" t="str">
        <f>chloroform!F25</f>
        <v>4H6</v>
      </c>
    </row>
    <row r="21" spans="11:20" x14ac:dyDescent="0.25">
      <c r="K21" t="str">
        <f>chloroform!K26</f>
        <v>1-30</v>
      </c>
      <c r="L21">
        <f>Table3[[#This Row],[weight]]*(0.9155*Table2[[#This Row],[J1,2]]-A$9)^2</f>
        <v>4.3677108575758697E-5</v>
      </c>
      <c r="M21">
        <f>Table3[[#This Row],[weight]]*(0.9155*Table2[[#This Row],[J2,3]]-B$9)^2</f>
        <v>2.9273637423246082E-2</v>
      </c>
      <c r="N21">
        <f>Table3[[#This Row],[weight]]*(0.9155*Table2[[#This Row],[J34]]-C$9)^2</f>
        <v>5.7055724592508551E-2</v>
      </c>
      <c r="O21">
        <f>Table3[[#This Row],[weight]]*(0.9155*Table2[[#This Row],[J45]]-D$9)^2</f>
        <v>5.5312897934591335E-3</v>
      </c>
      <c r="P21">
        <f>Table3[[#This Row],[weight]]*(0.9155*Table2[[#This Row],[J56]]-E$9)^2</f>
        <v>5.3798623292315433E-2</v>
      </c>
      <c r="Q21">
        <f>Table3[[#This Row],[weight]]*(0.9155*Table2[[#This Row],[J67]]-F$9)^2</f>
        <v>5.7076363652668584E-2</v>
      </c>
      <c r="R21">
        <f>Table3[[#This Row],[weight]]*(0.9155*Table2[[#This Row],[J67'']]-G$9)^2</f>
        <v>1.0675082366578871E-3</v>
      </c>
      <c r="S21">
        <f>chloroform!J26</f>
        <v>6.7806516787653249E-4</v>
      </c>
      <c r="T21" t="str">
        <f>chloroform!F26</f>
        <v>6H4</v>
      </c>
    </row>
    <row r="22" spans="11:20" x14ac:dyDescent="0.25">
      <c r="K22" t="str">
        <f>chloroform!K27</f>
        <v>1-33</v>
      </c>
      <c r="L22">
        <f>Table3[[#This Row],[weight]]*(0.9155*Table2[[#This Row],[J1,2]]-A$9)^2</f>
        <v>1.3656575645124213E-5</v>
      </c>
      <c r="M22">
        <f>Table3[[#This Row],[weight]]*(0.9155*Table2[[#This Row],[J2,3]]-B$9)^2</f>
        <v>2.0599553719344597E-4</v>
      </c>
      <c r="N22">
        <f>Table3[[#This Row],[weight]]*(0.9155*Table2[[#This Row],[J34]]-C$9)^2</f>
        <v>2.4252688180352011E-4</v>
      </c>
      <c r="O22">
        <f>Table3[[#This Row],[weight]]*(0.9155*Table2[[#This Row],[J45]]-D$9)^2</f>
        <v>4.2673632689106287E-4</v>
      </c>
      <c r="P22">
        <f>Table3[[#This Row],[weight]]*(0.9155*Table2[[#This Row],[J56]]-E$9)^2</f>
        <v>6.7943058967634569E-4</v>
      </c>
      <c r="Q22">
        <f>Table3[[#This Row],[weight]]*(0.9155*Table2[[#This Row],[J67]]-F$9)^2</f>
        <v>3.9211515115129257E-5</v>
      </c>
      <c r="R22">
        <f>Table3[[#This Row],[weight]]*(0.9155*Table2[[#This Row],[J67'']]-G$9)^2</f>
        <v>4.7078454858461016E-2</v>
      </c>
      <c r="S22">
        <f>chloroform!J27</f>
        <v>1.3170973837027624E-3</v>
      </c>
      <c r="T22" t="str">
        <f>chloroform!F27</f>
        <v>45TH</v>
      </c>
    </row>
    <row r="23" spans="11:20" x14ac:dyDescent="0.25">
      <c r="K23" t="str">
        <f>chloroform!K28</f>
        <v>1-34</v>
      </c>
      <c r="L23">
        <f>Table3[[#This Row],[weight]]*(0.9155*Table2[[#This Row],[J1,2]]-A$9)^2</f>
        <v>2.7896491453593341E-5</v>
      </c>
      <c r="M23">
        <f>Table3[[#This Row],[weight]]*(0.9155*Table2[[#This Row],[J2,3]]-B$9)^2</f>
        <v>2.3006395807599767E-2</v>
      </c>
      <c r="N23">
        <f>Table3[[#This Row],[weight]]*(0.9155*Table2[[#This Row],[J34]]-C$9)^2</f>
        <v>4.6066033696059397E-2</v>
      </c>
      <c r="O23">
        <f>Table3[[#This Row],[weight]]*(0.9155*Table2[[#This Row],[J45]]-D$9)^2</f>
        <v>6.7135622495205936E-3</v>
      </c>
      <c r="P23">
        <f>Table3[[#This Row],[weight]]*(0.9155*Table2[[#This Row],[J56]]-E$9)^2</f>
        <v>3.8941686399025364E-2</v>
      </c>
      <c r="Q23">
        <f>Table3[[#This Row],[weight]]*(0.9155*Table2[[#This Row],[J67]]-F$9)^2</f>
        <v>5.1162492758096583E-4</v>
      </c>
      <c r="R23">
        <f>Table3[[#This Row],[weight]]*(0.9155*Table2[[#This Row],[J67'']]-G$9)^2</f>
        <v>4.9246837629776088E-4</v>
      </c>
      <c r="S23">
        <f>chloroform!J28</f>
        <v>5.489938901080875E-4</v>
      </c>
      <c r="T23" t="str">
        <f>chloroform!F28</f>
        <v>6H4</v>
      </c>
    </row>
    <row r="24" spans="11:20" x14ac:dyDescent="0.25">
      <c r="K24" t="str">
        <f>chloroform!K29</f>
        <v>1-38</v>
      </c>
      <c r="L24">
        <f>Table3[[#This Row],[weight]]*(0.9155*Table2[[#This Row],[J1,2]]-A$9)^2</f>
        <v>3.1245167613539079E-5</v>
      </c>
      <c r="M24">
        <f>Table3[[#This Row],[weight]]*(0.9155*Table2[[#This Row],[J2,3]]-B$9)^2</f>
        <v>2.3676241473748413E-6</v>
      </c>
      <c r="N24">
        <f>Table3[[#This Row],[weight]]*(0.9155*Table2[[#This Row],[J34]]-C$9)^2</f>
        <v>8.23711766088366E-4</v>
      </c>
      <c r="O24">
        <f>Table3[[#This Row],[weight]]*(0.9155*Table2[[#This Row],[J45]]-D$9)^2</f>
        <v>2.9182734434618678E-3</v>
      </c>
      <c r="P24">
        <f>Table3[[#This Row],[weight]]*(0.9155*Table2[[#This Row],[J56]]-E$9)^2</f>
        <v>3.7485858237749106E-4</v>
      </c>
      <c r="Q24">
        <f>Table3[[#This Row],[weight]]*(0.9155*Table2[[#This Row],[J67]]-F$9)^2</f>
        <v>3.9457083874889251E-4</v>
      </c>
      <c r="R24">
        <f>Table3[[#This Row],[weight]]*(0.9155*Table2[[#This Row],[J67'']]-G$9)^2</f>
        <v>0.32323383441027609</v>
      </c>
      <c r="S24">
        <f>chloroform!J29</f>
        <v>3.4704749215741508E-2</v>
      </c>
      <c r="T24" t="str">
        <f>chloroform!F29</f>
        <v>45TH</v>
      </c>
    </row>
    <row r="25" spans="11:20" x14ac:dyDescent="0.25">
      <c r="K25" t="str">
        <f>chloroform!K30</f>
        <v>1-39</v>
      </c>
      <c r="L25">
        <f>Table3[[#This Row],[weight]]*(0.9155*Table2[[#This Row],[J1,2]]-A$9)^2</f>
        <v>6.0074065423584053E-2</v>
      </c>
      <c r="M25">
        <f>Table3[[#This Row],[weight]]*(0.9155*Table2[[#This Row],[J2,3]]-B$9)^2</f>
        <v>8.0496813213673871E-2</v>
      </c>
      <c r="N25">
        <f>Table3[[#This Row],[weight]]*(0.9155*Table2[[#This Row],[J34]]-C$9)^2</f>
        <v>1.0082329499510054</v>
      </c>
      <c r="O25">
        <f>Table3[[#This Row],[weight]]*(0.9155*Table2[[#This Row],[J45]]-D$9)^2</f>
        <v>2.6307587370781231</v>
      </c>
      <c r="P25">
        <f>Table3[[#This Row],[weight]]*(0.9155*Table2[[#This Row],[J56]]-E$9)^2</f>
        <v>0.46239274936161223</v>
      </c>
      <c r="Q25">
        <f>Table3[[#This Row],[weight]]*(0.9155*Table2[[#This Row],[J67]]-F$9)^2</f>
        <v>6.466024525029393E-2</v>
      </c>
      <c r="R25">
        <f>Table3[[#This Row],[weight]]*(0.9155*Table2[[#This Row],[J67'']]-G$9)^2</f>
        <v>2.5535531567000853</v>
      </c>
      <c r="S25">
        <f>chloroform!J30</f>
        <v>9.1054724218691138E-2</v>
      </c>
      <c r="T25" t="str">
        <f>chloroform!F30</f>
        <v>4H6</v>
      </c>
    </row>
    <row r="26" spans="11:20" x14ac:dyDescent="0.25">
      <c r="K26" t="str">
        <f>chloroform!K31</f>
        <v>1-41</v>
      </c>
      <c r="L26">
        <f>Table3[[#This Row],[weight]]*(0.9155*Table2[[#This Row],[J1,2]]-A$9)^2</f>
        <v>4.2594337393793862E-2</v>
      </c>
      <c r="M26">
        <f>Table3[[#This Row],[weight]]*(0.9155*Table2[[#This Row],[J2,3]]-B$9)^2</f>
        <v>2.0402491689828099E-2</v>
      </c>
      <c r="N26">
        <f>Table3[[#This Row],[weight]]*(0.9155*Table2[[#This Row],[J34]]-C$9)^2</f>
        <v>0.63948769638146552</v>
      </c>
      <c r="O26">
        <f>Table3[[#This Row],[weight]]*(0.9155*Table2[[#This Row],[J45]]-D$9)^2</f>
        <v>1.4434344595424102</v>
      </c>
      <c r="P26">
        <f>Table3[[#This Row],[weight]]*(0.9155*Table2[[#This Row],[J56]]-E$9)^2</f>
        <v>0.19054064253682546</v>
      </c>
      <c r="Q26">
        <f>Table3[[#This Row],[weight]]*(0.9155*Table2[[#This Row],[J67]]-F$9)^2</f>
        <v>3.9659637509993788E-2</v>
      </c>
      <c r="R26">
        <f>Table3[[#This Row],[weight]]*(0.9155*Table2[[#This Row],[J67'']]-G$9)^2</f>
        <v>1.433548382991195</v>
      </c>
      <c r="S26">
        <f>chloroform!J31</f>
        <v>5.1723797878644208E-2</v>
      </c>
      <c r="T26" t="str">
        <f>chloroform!F31</f>
        <v>4H6</v>
      </c>
    </row>
    <row r="27" spans="11:20" x14ac:dyDescent="0.25">
      <c r="K27" t="str">
        <f>chloroform!K32</f>
        <v>1-45</v>
      </c>
      <c r="L27">
        <f>Table3[[#This Row],[weight]]*(0.9155*Table2[[#This Row],[J1,2]]-A$9)^2</f>
        <v>0</v>
      </c>
      <c r="M27">
        <f>Table3[[#This Row],[weight]]*(0.9155*Table2[[#This Row],[J2,3]]-B$9)^2</f>
        <v>0</v>
      </c>
      <c r="N27">
        <f>Table3[[#This Row],[weight]]*(0.9155*Table2[[#This Row],[J34]]-C$9)^2</f>
        <v>0</v>
      </c>
      <c r="O27">
        <f>Table3[[#This Row],[weight]]*(0.9155*Table2[[#This Row],[J45]]-D$9)^2</f>
        <v>0</v>
      </c>
      <c r="P27">
        <f>Table3[[#This Row],[weight]]*(0.9155*Table2[[#This Row],[J56]]-E$9)^2</f>
        <v>0</v>
      </c>
      <c r="Q27">
        <f>Table3[[#This Row],[weight]]*(0.9155*Table2[[#This Row],[J67]]-F$9)^2</f>
        <v>0</v>
      </c>
      <c r="R27">
        <f>Table3[[#This Row],[weight]]*(0.9155*Table2[[#This Row],[J67'']]-G$9)^2</f>
        <v>0</v>
      </c>
      <c r="S27">
        <f>chloroform!J32</f>
        <v>0</v>
      </c>
      <c r="T27" t="str">
        <f>chloroform!F32</f>
        <v>45TH</v>
      </c>
    </row>
    <row r="28" spans="11:20" x14ac:dyDescent="0.25">
      <c r="K28" t="str">
        <f>chloroform!K33</f>
        <v>1-48</v>
      </c>
      <c r="L28">
        <f>Table3[[#This Row],[weight]]*(0.9155*Table2[[#This Row],[J1,2]]-A$9)^2</f>
        <v>1.9654351364109878E-2</v>
      </c>
      <c r="M28">
        <f>Table3[[#This Row],[weight]]*(0.9155*Table2[[#This Row],[J2,3]]-B$9)^2</f>
        <v>9.6475688984232255E-2</v>
      </c>
      <c r="N28">
        <f>Table3[[#This Row],[weight]]*(0.9155*Table2[[#This Row],[J34]]-C$9)^2</f>
        <v>0.6886773991617372</v>
      </c>
      <c r="O28">
        <f>Table3[[#This Row],[weight]]*(0.9155*Table2[[#This Row],[J45]]-D$9)^2</f>
        <v>0.29964769664718977</v>
      </c>
      <c r="P28">
        <f>Table3[[#This Row],[weight]]*(0.9155*Table2[[#This Row],[J56]]-E$9)^2</f>
        <v>1.7058815140908536E-2</v>
      </c>
      <c r="Q28">
        <f>Table3[[#This Row],[weight]]*(0.9155*Table2[[#This Row],[J67]]-F$9)^2</f>
        <v>9.1246418822706391E-4</v>
      </c>
      <c r="R28">
        <f>Table3[[#This Row],[weight]]*(0.9155*Table2[[#This Row],[J67'']]-G$9)^2</f>
        <v>0.38670999490211122</v>
      </c>
      <c r="S28">
        <f>chloroform!J33</f>
        <v>1.2220843534505128E-2</v>
      </c>
      <c r="T28" t="str">
        <f>chloroform!F33</f>
        <v>56TH</v>
      </c>
    </row>
    <row r="29" spans="11:20" x14ac:dyDescent="0.25">
      <c r="K29" t="str">
        <f>chloroform!K34</f>
        <v>1-57</v>
      </c>
      <c r="L29">
        <f>Table3[[#This Row],[weight]]*(0.9155*Table2[[#This Row],[J1,2]]-A$9)^2</f>
        <v>2.5503903836304085E-5</v>
      </c>
      <c r="M29">
        <f>Table3[[#This Row],[weight]]*(0.9155*Table2[[#This Row],[J2,3]]-B$9)^2</f>
        <v>3.659010861462561E-2</v>
      </c>
      <c r="N29">
        <f>Table3[[#This Row],[weight]]*(0.9155*Table2[[#This Row],[J34]]-C$9)^2</f>
        <v>7.3389194636573021E-2</v>
      </c>
      <c r="O29">
        <f>Table3[[#This Row],[weight]]*(0.9155*Table2[[#This Row],[J45]]-D$9)^2</f>
        <v>2.9039777769217939E-4</v>
      </c>
      <c r="P29">
        <f>Table3[[#This Row],[weight]]*(0.9155*Table2[[#This Row],[J56]]-E$9)^2</f>
        <v>6.22684607376119E-2</v>
      </c>
      <c r="Q29">
        <f>Table3[[#This Row],[weight]]*(0.9155*Table2[[#This Row],[J67]]-F$9)^2</f>
        <v>9.5194734621566949E-4</v>
      </c>
      <c r="R29">
        <f>Table3[[#This Row],[weight]]*(0.9155*Table2[[#This Row],[J67'']]-G$9)^2</f>
        <v>4.5032955836597569E-2</v>
      </c>
      <c r="S29">
        <f>chloroform!J34</f>
        <v>8.3608116631864952E-4</v>
      </c>
      <c r="T29" t="str">
        <f>chloroform!F34</f>
        <v>6H4</v>
      </c>
    </row>
    <row r="30" spans="11:20" x14ac:dyDescent="0.25">
      <c r="K30" t="str">
        <f>chloroform!K35</f>
        <v>1-59</v>
      </c>
      <c r="L30">
        <f>Table3[[#This Row],[weight]]*(0.9155*Table2[[#This Row],[J1,2]]-A$9)^2</f>
        <v>9.8278498925088062E-5</v>
      </c>
      <c r="M30">
        <f>Table3[[#This Row],[weight]]*(0.9155*Table2[[#This Row],[J2,3]]-B$9)^2</f>
        <v>2.6081961929694279E-3</v>
      </c>
      <c r="N30">
        <f>Table3[[#This Row],[weight]]*(0.9155*Table2[[#This Row],[J34]]-C$9)^2</f>
        <v>1.6979167972770196E-3</v>
      </c>
      <c r="O30">
        <f>Table3[[#This Row],[weight]]*(0.9155*Table2[[#This Row],[J45]]-D$9)^2</f>
        <v>1.5797391049523319E-3</v>
      </c>
      <c r="P30">
        <f>Table3[[#This Row],[weight]]*(0.9155*Table2[[#This Row],[J56]]-E$9)^2</f>
        <v>1.073744203768496E-3</v>
      </c>
      <c r="Q30">
        <f>Table3[[#This Row],[weight]]*(0.9155*Table2[[#This Row],[J67]]-F$9)^2</f>
        <v>9.2050926192351412E-5</v>
      </c>
      <c r="R30">
        <f>Table3[[#This Row],[weight]]*(0.9155*Table2[[#This Row],[J67'']]-G$9)^2</f>
        <v>1.4135281543024279E-3</v>
      </c>
      <c r="S30">
        <f>chloroform!J35</f>
        <v>6.7936009605517467E-5</v>
      </c>
      <c r="T30" t="str">
        <f>chloroform!F35</f>
        <v>45TH</v>
      </c>
    </row>
    <row r="31" spans="11:20" x14ac:dyDescent="0.25">
      <c r="K31" t="str">
        <f>chloroform!K36</f>
        <v>1-72</v>
      </c>
      <c r="L31">
        <f>Table3[[#This Row],[weight]]*(0.9155*Table2[[#This Row],[J1,2]]-A$9)^2</f>
        <v>1.4403566142014628E-3</v>
      </c>
      <c r="M31">
        <f>Table3[[#This Row],[weight]]*(0.9155*Table2[[#This Row],[J2,3]]-B$9)^2</f>
        <v>1.2293879733209904E-3</v>
      </c>
      <c r="N31">
        <f>Table3[[#This Row],[weight]]*(0.9155*Table2[[#This Row],[J34]]-C$9)^2</f>
        <v>2.928508358401246E-2</v>
      </c>
      <c r="O31">
        <f>Table3[[#This Row],[weight]]*(0.9155*Table2[[#This Row],[J45]]-D$9)^2</f>
        <v>9.5440651485081199E-2</v>
      </c>
      <c r="P31">
        <f>Table3[[#This Row],[weight]]*(0.9155*Table2[[#This Row],[J56]]-E$9)^2</f>
        <v>1.2222557420978273E-2</v>
      </c>
      <c r="Q31">
        <f>Table3[[#This Row],[weight]]*(0.9155*Table2[[#This Row],[J67]]-F$9)^2</f>
        <v>0.11144331763565082</v>
      </c>
      <c r="R31">
        <f>Table3[[#This Row],[weight]]*(0.9155*Table2[[#This Row],[J67'']]-G$9)^2</f>
        <v>5.4201148531232174E-2</v>
      </c>
      <c r="S31">
        <f>chloroform!J36</f>
        <v>3.1533739469376994E-3</v>
      </c>
      <c r="T31" t="str">
        <f>chloroform!F36</f>
        <v>4H6</v>
      </c>
    </row>
    <row r="32" spans="11:20" x14ac:dyDescent="0.25">
      <c r="K32" t="str">
        <f>chloroform!K37</f>
        <v>1-73</v>
      </c>
      <c r="L32">
        <f>Table3[[#This Row],[weight]]*(0.9155*Table2[[#This Row],[J1,2]]-A$9)^2</f>
        <v>3.3781543362851885E-2</v>
      </c>
      <c r="M32">
        <f>Table3[[#This Row],[weight]]*(0.9155*Table2[[#This Row],[J2,3]]-B$9)^2</f>
        <v>1.6391997798599147</v>
      </c>
      <c r="N32">
        <f>Table3[[#This Row],[weight]]*(0.9155*Table2[[#This Row],[J34]]-C$9)^2</f>
        <v>1.7107957411923691</v>
      </c>
      <c r="O32">
        <f>Table3[[#This Row],[weight]]*(0.9155*Table2[[#This Row],[J45]]-D$9)^2</f>
        <v>1.3028154149409348</v>
      </c>
      <c r="P32">
        <f>Table3[[#This Row],[weight]]*(0.9155*Table2[[#This Row],[J56]]-E$9)^2</f>
        <v>1.7257200513634113E-5</v>
      </c>
      <c r="Q32">
        <f>Table3[[#This Row],[weight]]*(0.9155*Table2[[#This Row],[J67]]-F$9)^2</f>
        <v>3.6293851433989951E-3</v>
      </c>
      <c r="R32">
        <f>Table3[[#This Row],[weight]]*(0.9155*Table2[[#This Row],[J67'']]-G$9)^2</f>
        <v>0.47590134058645428</v>
      </c>
      <c r="S32">
        <f>chloroform!J37</f>
        <v>5.4271936435693488E-2</v>
      </c>
      <c r="T32" t="str">
        <f>chloroform!F37</f>
        <v>5C12</v>
      </c>
    </row>
    <row r="33" spans="11:20" x14ac:dyDescent="0.25">
      <c r="K33" t="str">
        <f>chloroform!K38</f>
        <v>1-76</v>
      </c>
      <c r="L33">
        <f>Table3[[#This Row],[weight]]*(0.9155*Table2[[#This Row],[J1,2]]-A$9)^2</f>
        <v>1.6467824514879761E-4</v>
      </c>
      <c r="M33">
        <f>Table3[[#This Row],[weight]]*(0.9155*Table2[[#This Row],[J2,3]]-B$9)^2</f>
        <v>3.850221817718174E-3</v>
      </c>
      <c r="N33">
        <f>Table3[[#This Row],[weight]]*(0.9155*Table2[[#This Row],[J34]]-C$9)^2</f>
        <v>2.3149631986076943E-3</v>
      </c>
      <c r="O33">
        <f>Table3[[#This Row],[weight]]*(0.9155*Table2[[#This Row],[J45]]-D$9)^2</f>
        <v>2.2987259034136431E-3</v>
      </c>
      <c r="P33">
        <f>Table3[[#This Row],[weight]]*(0.9155*Table2[[#This Row],[J56]]-E$9)^2</f>
        <v>1.7088178435684018E-3</v>
      </c>
      <c r="Q33">
        <f>Table3[[#This Row],[weight]]*(0.9155*Table2[[#This Row],[J67]]-F$9)^2</f>
        <v>3.0722982367530782E-5</v>
      </c>
      <c r="R33">
        <f>Table3[[#This Row],[weight]]*(0.9155*Table2[[#This Row],[J67'']]-G$9)^2</f>
        <v>3.2116315566929213E-3</v>
      </c>
      <c r="S33">
        <f>chloroform!J38</f>
        <v>9.9991504539998592E-5</v>
      </c>
      <c r="T33" t="str">
        <f>chloroform!F38</f>
        <v>TH45</v>
      </c>
    </row>
    <row r="34" spans="11:20" x14ac:dyDescent="0.25">
      <c r="K34" t="str">
        <f>chloroform!K39</f>
        <v>1-78</v>
      </c>
      <c r="L34">
        <f>Table3[[#This Row],[weight]]*(0.9155*Table2[[#This Row],[J1,2]]-A$9)^2</f>
        <v>2.9528632022408787E-6</v>
      </c>
      <c r="M34">
        <f>Table3[[#This Row],[weight]]*(0.9155*Table2[[#This Row],[J2,3]]-B$9)^2</f>
        <v>1.442201849672816E-5</v>
      </c>
      <c r="N34">
        <f>Table3[[#This Row],[weight]]*(0.9155*Table2[[#This Row],[J34]]-C$9)^2</f>
        <v>1.1196439643512525E-3</v>
      </c>
      <c r="O34">
        <f>Table3[[#This Row],[weight]]*(0.9155*Table2[[#This Row],[J45]]-D$9)^2</f>
        <v>1.3605370655481851E-3</v>
      </c>
      <c r="P34">
        <f>Table3[[#This Row],[weight]]*(0.9155*Table2[[#This Row],[J56]]-E$9)^2</f>
        <v>6.3391980777618615E-4</v>
      </c>
      <c r="Q34">
        <f>Table3[[#This Row],[weight]]*(0.9155*Table2[[#This Row],[J67]]-F$9)^2</f>
        <v>1.7819288821070594E-4</v>
      </c>
      <c r="R34">
        <f>Table3[[#This Row],[weight]]*(0.9155*Table2[[#This Row],[J67'']]-G$9)^2</f>
        <v>0.98264902130454435</v>
      </c>
      <c r="S34">
        <f>chloroform!J39</f>
        <v>2.541133509739623E-2</v>
      </c>
      <c r="T34" t="str">
        <f>chloroform!F39</f>
        <v>45TH</v>
      </c>
    </row>
    <row r="35" spans="11:20" x14ac:dyDescent="0.25">
      <c r="K35" t="str">
        <f>chloroform!K40</f>
        <v>1-86</v>
      </c>
      <c r="L35">
        <f>Table3[[#This Row],[weight]]*(0.9155*Table2[[#This Row],[J1,2]]-A$9)^2</f>
        <v>1.0043005926257963E-6</v>
      </c>
      <c r="M35">
        <f>Table3[[#This Row],[weight]]*(0.9155*Table2[[#This Row],[J2,3]]-B$9)^2</f>
        <v>6.0112746327947078E-5</v>
      </c>
      <c r="N35">
        <f>Table3[[#This Row],[weight]]*(0.9155*Table2[[#This Row],[J34]]-C$9)^2</f>
        <v>5.3131237169589276E-5</v>
      </c>
      <c r="O35">
        <f>Table3[[#This Row],[weight]]*(0.9155*Table2[[#This Row],[J45]]-D$9)^2</f>
        <v>2.4079077568252627E-4</v>
      </c>
      <c r="P35">
        <f>Table3[[#This Row],[weight]]*(0.9155*Table2[[#This Row],[J56]]-E$9)^2</f>
        <v>3.9027943582440223E-3</v>
      </c>
      <c r="Q35">
        <f>Table3[[#This Row],[weight]]*(0.9155*Table2[[#This Row],[J67]]-F$9)^2</f>
        <v>1.0103044304677908E-2</v>
      </c>
      <c r="R35">
        <f>Table3[[#This Row],[weight]]*(0.9155*Table2[[#This Row],[J67'']]-G$9)^2</f>
        <v>1.4745422212131593E-5</v>
      </c>
      <c r="S35">
        <f>chloroform!J40</f>
        <v>9.7648576252639774E-5</v>
      </c>
      <c r="T35" t="str">
        <f>chloroform!F40</f>
        <v>12C5</v>
      </c>
    </row>
    <row r="36" spans="11:20" x14ac:dyDescent="0.25">
      <c r="K36" t="str">
        <f>chloroform!K41</f>
        <v>1-94</v>
      </c>
      <c r="L36">
        <f>Table3[[#This Row],[weight]]*(0.9155*Table2[[#This Row],[J1,2]]-A$9)^2</f>
        <v>0</v>
      </c>
      <c r="M36">
        <f>Table3[[#This Row],[weight]]*(0.9155*Table2[[#This Row],[J2,3]]-B$9)^2</f>
        <v>0</v>
      </c>
      <c r="N36">
        <f>Table3[[#This Row],[weight]]*(0.9155*Table2[[#This Row],[J34]]-C$9)^2</f>
        <v>0</v>
      </c>
      <c r="O36">
        <f>Table3[[#This Row],[weight]]*(0.9155*Table2[[#This Row],[J45]]-D$9)^2</f>
        <v>0</v>
      </c>
      <c r="P36">
        <f>Table3[[#This Row],[weight]]*(0.9155*Table2[[#This Row],[J56]]-E$9)^2</f>
        <v>0</v>
      </c>
      <c r="Q36">
        <f>Table3[[#This Row],[weight]]*(0.9155*Table2[[#This Row],[J67]]-F$9)^2</f>
        <v>0</v>
      </c>
      <c r="R36">
        <f>Table3[[#This Row],[weight]]*(0.9155*Table2[[#This Row],[J67'']]-G$9)^2</f>
        <v>0</v>
      </c>
      <c r="S36">
        <f>chloroform!J41</f>
        <v>0</v>
      </c>
      <c r="T36" t="str">
        <f>chloroform!F41</f>
        <v>6H4</v>
      </c>
    </row>
    <row r="37" spans="11:20" x14ac:dyDescent="0.25">
      <c r="K37" t="str">
        <f>chloroform!K42</f>
        <v>1-101</v>
      </c>
      <c r="L37">
        <f>Table3[[#This Row],[weight]]*(0.9155*Table2[[#This Row],[J1,2]]-A$9)^2</f>
        <v>0</v>
      </c>
      <c r="M37">
        <f>Table3[[#This Row],[weight]]*(0.9155*Table2[[#This Row],[J2,3]]-B$9)^2</f>
        <v>0</v>
      </c>
      <c r="N37">
        <f>Table3[[#This Row],[weight]]*(0.9155*Table2[[#This Row],[J34]]-C$9)^2</f>
        <v>0</v>
      </c>
      <c r="O37">
        <f>Table3[[#This Row],[weight]]*(0.9155*Table2[[#This Row],[J45]]-D$9)^2</f>
        <v>0</v>
      </c>
      <c r="P37">
        <f>Table3[[#This Row],[weight]]*(0.9155*Table2[[#This Row],[J56]]-E$9)^2</f>
        <v>0</v>
      </c>
      <c r="Q37">
        <f>Table3[[#This Row],[weight]]*(0.9155*Table2[[#This Row],[J67]]-F$9)^2</f>
        <v>0</v>
      </c>
      <c r="R37">
        <f>Table3[[#This Row],[weight]]*(0.9155*Table2[[#This Row],[J67'']]-G$9)^2</f>
        <v>0</v>
      </c>
      <c r="S37">
        <f>chloroform!J42</f>
        <v>0</v>
      </c>
      <c r="T37" t="str">
        <f>chloroform!F42</f>
        <v>TH45</v>
      </c>
    </row>
    <row r="38" spans="11:20" x14ac:dyDescent="0.25">
      <c r="K38" t="str">
        <f>chloroform!K43</f>
        <v>1-103</v>
      </c>
      <c r="L38">
        <f>Table3[[#This Row],[weight]]*(0.9155*Table2[[#This Row],[J1,2]]-A$9)^2</f>
        <v>1.4828275917145601E-2</v>
      </c>
      <c r="M38">
        <f>Table3[[#This Row],[weight]]*(0.9155*Table2[[#This Row],[J2,3]]-B$9)^2</f>
        <v>0.7300475743736945</v>
      </c>
      <c r="N38">
        <f>Table3[[#This Row],[weight]]*(0.9155*Table2[[#This Row],[J34]]-C$9)^2</f>
        <v>1.2279204476813117</v>
      </c>
      <c r="O38">
        <f>Table3[[#This Row],[weight]]*(0.9155*Table2[[#This Row],[J45]]-D$9)^2</f>
        <v>0.35985195395903846</v>
      </c>
      <c r="P38">
        <f>Table3[[#This Row],[weight]]*(0.9155*Table2[[#This Row],[J56]]-E$9)^2</f>
        <v>1.4932485652637504E-2</v>
      </c>
      <c r="Q38">
        <f>Table3[[#This Row],[weight]]*(0.9155*Table2[[#This Row],[J67]]-F$9)^2</f>
        <v>2.3020698493204781E-4</v>
      </c>
      <c r="R38">
        <f>Table3[[#This Row],[weight]]*(0.9155*Table2[[#This Row],[J67'']]-G$9)^2</f>
        <v>0.62701368047184325</v>
      </c>
      <c r="S38">
        <f>chloroform!J43</f>
        <v>2.0578011611822208E-2</v>
      </c>
      <c r="T38" t="str">
        <f>chloroform!F43</f>
        <v>5C12</v>
      </c>
    </row>
    <row r="39" spans="11:20" x14ac:dyDescent="0.25">
      <c r="K39" t="str">
        <f>chloroform!K44</f>
        <v>1-104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45TH</v>
      </c>
    </row>
    <row r="40" spans="11:20" x14ac:dyDescent="0.25">
      <c r="K40" t="str">
        <f>chloroform!K45</f>
        <v>1-106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6H4</v>
      </c>
    </row>
    <row r="41" spans="11:20" x14ac:dyDescent="0.25">
      <c r="K41" t="str">
        <f>chloroform!K46</f>
        <v>1-107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 t="str">
        <f>chloroform!K47</f>
        <v>1-109</v>
      </c>
      <c r="L42">
        <f>Table3[[#This Row],[weight]]*(0.9155*Table2[[#This Row],[J1,2]]-A$9)^2</f>
        <v>6.694798745473878E-5</v>
      </c>
      <c r="M42">
        <f>Table3[[#This Row],[weight]]*(0.9155*Table2[[#This Row],[J2,3]]-B$9)^2</f>
        <v>3.3613918675430626E-3</v>
      </c>
      <c r="N42">
        <f>Table3[[#This Row],[weight]]*(0.9155*Table2[[#This Row],[J34]]-C$9)^2</f>
        <v>1.2454987367955262E-7</v>
      </c>
      <c r="O42">
        <f>Table3[[#This Row],[weight]]*(0.9155*Table2[[#This Row],[J45]]-D$9)^2</f>
        <v>1.2484042199616593E-4</v>
      </c>
      <c r="P42">
        <f>Table3[[#This Row],[weight]]*(0.9155*Table2[[#This Row],[J56]]-E$9)^2</f>
        <v>7.8481343824635412E-6</v>
      </c>
      <c r="Q42">
        <f>Table3[[#This Row],[weight]]*(0.9155*Table2[[#This Row],[J67]]-F$9)^2</f>
        <v>2.2200413675762636E-3</v>
      </c>
      <c r="R42">
        <f>Table3[[#This Row],[weight]]*(0.9155*Table2[[#This Row],[J67'']]-G$9)^2</f>
        <v>0.41643255096301218</v>
      </c>
      <c r="S42">
        <f>chloroform!J47</f>
        <v>1.0743636969289242E-2</v>
      </c>
      <c r="T42" t="str">
        <f>chloroform!F47</f>
        <v>45TH</v>
      </c>
    </row>
    <row r="43" spans="11:20" x14ac:dyDescent="0.25">
      <c r="K43" t="str">
        <f>chloroform!K48</f>
        <v>1-123</v>
      </c>
      <c r="L43">
        <f>Table3[[#This Row],[weight]]*(0.9155*Table2[[#This Row],[J1,2]]-A$9)^2</f>
        <v>1.1231915382534075E-3</v>
      </c>
      <c r="M43">
        <f>Table3[[#This Row],[weight]]*(0.9155*Table2[[#This Row],[J2,3]]-B$9)^2</f>
        <v>4.1376863237681992E-2</v>
      </c>
      <c r="N43">
        <f>Table3[[#This Row],[weight]]*(0.9155*Table2[[#This Row],[J34]]-C$9)^2</f>
        <v>6.7444828351870351E-2</v>
      </c>
      <c r="O43">
        <f>Table3[[#This Row],[weight]]*(0.9155*Table2[[#This Row],[J45]]-D$9)^2</f>
        <v>2.0756665887924301E-2</v>
      </c>
      <c r="P43">
        <f>Table3[[#This Row],[weight]]*(0.9155*Table2[[#This Row],[J56]]-E$9)^2</f>
        <v>1.6266596984949638E-4</v>
      </c>
      <c r="Q43">
        <f>Table3[[#This Row],[weight]]*(0.9155*Table2[[#This Row],[J67]]-F$9)^2</f>
        <v>1.2012960944008766E-3</v>
      </c>
      <c r="R43">
        <f>Table3[[#This Row],[weight]]*(0.9155*Table2[[#This Row],[J67'']]-G$9)^2</f>
        <v>4.0914839767531089E-3</v>
      </c>
      <c r="S43">
        <f>chloroform!J48</f>
        <v>1.1921771469275491E-3</v>
      </c>
      <c r="T43" t="str">
        <f>chloroform!F48</f>
        <v>5C12</v>
      </c>
    </row>
    <row r="44" spans="11:20" x14ac:dyDescent="0.25">
      <c r="K44" t="str">
        <f>chloroform!K49</f>
        <v>1-125</v>
      </c>
      <c r="L44">
        <f>Table3[[#This Row],[weight]]*(0.9155*Table2[[#This Row],[J1,2]]-A$9)^2</f>
        <v>0</v>
      </c>
      <c r="M44">
        <f>Table3[[#This Row],[weight]]*(0.9155*Table2[[#This Row],[J2,3]]-B$9)^2</f>
        <v>0</v>
      </c>
      <c r="N44">
        <f>Table3[[#This Row],[weight]]*(0.9155*Table2[[#This Row],[J34]]-C$9)^2</f>
        <v>0</v>
      </c>
      <c r="O44">
        <f>Table3[[#This Row],[weight]]*(0.9155*Table2[[#This Row],[J45]]-D$9)^2</f>
        <v>0</v>
      </c>
      <c r="P44">
        <f>Table3[[#This Row],[weight]]*(0.9155*Table2[[#This Row],[J56]]-E$9)^2</f>
        <v>0</v>
      </c>
      <c r="Q44">
        <f>Table3[[#This Row],[weight]]*(0.9155*Table2[[#This Row],[J67]]-F$9)^2</f>
        <v>0</v>
      </c>
      <c r="R44">
        <f>Table3[[#This Row],[weight]]*(0.9155*Table2[[#This Row],[J67'']]-G$9)^2</f>
        <v>0</v>
      </c>
      <c r="S44">
        <f>chloroform!J49</f>
        <v>0</v>
      </c>
      <c r="T44" t="str">
        <f>chloroform!F49</f>
        <v>125B</v>
      </c>
    </row>
    <row r="45" spans="11:20" x14ac:dyDescent="0.25">
      <c r="K45" t="str">
        <f>chloroform!K50</f>
        <v>1-128</v>
      </c>
      <c r="L45">
        <f>Table3[[#This Row],[weight]]*(0.9155*Table2[[#This Row],[J1,2]]-A$9)^2</f>
        <v>9.9654035558674594E-7</v>
      </c>
      <c r="M45">
        <f>Table3[[#This Row],[weight]]*(0.9155*Table2[[#This Row],[J2,3]]-B$9)^2</f>
        <v>2.030770625462295E-4</v>
      </c>
      <c r="N45">
        <f>Table3[[#This Row],[weight]]*(0.9155*Table2[[#This Row],[J34]]-C$9)^2</f>
        <v>1.3016360005578708E-4</v>
      </c>
      <c r="O45">
        <f>Table3[[#This Row],[weight]]*(0.9155*Table2[[#This Row],[J45]]-D$9)^2</f>
        <v>8.9080692296803843E-4</v>
      </c>
      <c r="P45">
        <f>Table3[[#This Row],[weight]]*(0.9155*Table2[[#This Row],[J56]]-E$9)^2</f>
        <v>1.3337393228330434E-2</v>
      </c>
      <c r="Q45">
        <f>Table3[[#This Row],[weight]]*(0.9155*Table2[[#This Row],[J67]]-F$9)^2</f>
        <v>1.7798035275326901E-4</v>
      </c>
      <c r="R45">
        <f>Table3[[#This Row],[weight]]*(0.9155*Table2[[#This Row],[J67'']]-G$9)^2</f>
        <v>9.0611180274298223E-3</v>
      </c>
      <c r="S45">
        <f>chloroform!J50</f>
        <v>3.4418937692157247E-4</v>
      </c>
      <c r="T45" t="str">
        <f>chloroform!F50</f>
        <v>12C5</v>
      </c>
    </row>
    <row r="46" spans="11:20" x14ac:dyDescent="0.25">
      <c r="K46" t="str">
        <f>chloroform!K51</f>
        <v>1-135</v>
      </c>
      <c r="L46">
        <f>Table3[[#This Row],[weight]]*(0.9155*Table2[[#This Row],[J1,2]]-A$9)^2</f>
        <v>4.060326131372069E-3</v>
      </c>
      <c r="M46">
        <f>Table3[[#This Row],[weight]]*(0.9155*Table2[[#This Row],[J2,3]]-B$9)^2</f>
        <v>3.707742513367935E-2</v>
      </c>
      <c r="N46">
        <f>Table3[[#This Row],[weight]]*(0.9155*Table2[[#This Row],[J34]]-C$9)^2</f>
        <v>0.1966582582925622</v>
      </c>
      <c r="O46">
        <f>Table3[[#This Row],[weight]]*(0.9155*Table2[[#This Row],[J45]]-D$9)^2</f>
        <v>8.7557937041946907E-2</v>
      </c>
      <c r="P46">
        <f>Table3[[#This Row],[weight]]*(0.9155*Table2[[#This Row],[J56]]-E$9)^2</f>
        <v>7.7819498764974075E-3</v>
      </c>
      <c r="Q46">
        <f>Table3[[#This Row],[weight]]*(0.9155*Table2[[#This Row],[J67]]-F$9)^2</f>
        <v>3.5596193887252022E-3</v>
      </c>
      <c r="R46">
        <f>Table3[[#This Row],[weight]]*(0.9155*Table2[[#This Row],[J67'']]-G$9)^2</f>
        <v>7.2063863733471678E-2</v>
      </c>
      <c r="S46">
        <f>chloroform!J51</f>
        <v>3.3350913648038036E-3</v>
      </c>
      <c r="T46" t="str">
        <f>chloroform!F51</f>
        <v>56TH</v>
      </c>
    </row>
    <row r="47" spans="11:20" x14ac:dyDescent="0.25">
      <c r="K47" t="str">
        <f>chloroform!K52</f>
        <v>1-136</v>
      </c>
      <c r="L47">
        <f>Table3[[#This Row],[weight]]*(0.9155*Table2[[#This Row],[J1,2]]-A$9)^2</f>
        <v>2.0112025596363015E-4</v>
      </c>
      <c r="M47">
        <f>Table3[[#This Row],[weight]]*(0.9155*Table2[[#This Row],[J2,3]]-B$9)^2</f>
        <v>3.3776040121100963E-2</v>
      </c>
      <c r="N47">
        <f>Table3[[#This Row],[weight]]*(0.9155*Table2[[#This Row],[J34]]-C$9)^2</f>
        <v>3.6978641333958243E-2</v>
      </c>
      <c r="O47">
        <f>Table3[[#This Row],[weight]]*(0.9155*Table2[[#This Row],[J45]]-D$9)^2</f>
        <v>2.3408934254050287E-2</v>
      </c>
      <c r="P47">
        <f>Table3[[#This Row],[weight]]*(0.9155*Table2[[#This Row],[J56]]-E$9)^2</f>
        <v>7.8966798865510882E-5</v>
      </c>
      <c r="Q47">
        <f>Table3[[#This Row],[weight]]*(0.9155*Table2[[#This Row],[J67]]-F$9)^2</f>
        <v>4.2096384514993093E-5</v>
      </c>
      <c r="R47">
        <f>Table3[[#This Row],[weight]]*(0.9155*Table2[[#This Row],[J67'']]-G$9)^2</f>
        <v>3.2601497852289676E-2</v>
      </c>
      <c r="S47">
        <f>chloroform!J52</f>
        <v>9.9626482403280484E-4</v>
      </c>
      <c r="T47" t="str">
        <f>chloroform!F52</f>
        <v>5C12</v>
      </c>
    </row>
    <row r="48" spans="11:20" x14ac:dyDescent="0.25">
      <c r="K48" t="str">
        <f>chloroform!K53</f>
        <v>1-142</v>
      </c>
      <c r="L48">
        <f>Table3[[#This Row],[weight]]*(0.9155*Table2[[#This Row],[J1,2]]-A$9)^2</f>
        <v>2.6540484542267018E-3</v>
      </c>
      <c r="M48">
        <f>Table3[[#This Row],[weight]]*(0.9155*Table2[[#This Row],[J2,3]]-B$9)^2</f>
        <v>0.23825894905461764</v>
      </c>
      <c r="N48">
        <f>Table3[[#This Row],[weight]]*(0.9155*Table2[[#This Row],[J34]]-C$9)^2</f>
        <v>0.39107185950365081</v>
      </c>
      <c r="O48">
        <f>Table3[[#This Row],[weight]]*(0.9155*Table2[[#This Row],[J45]]-D$9)^2</f>
        <v>0.12641638409915198</v>
      </c>
      <c r="P48">
        <f>Table3[[#This Row],[weight]]*(0.9155*Table2[[#This Row],[J56]]-E$9)^2</f>
        <v>3.2728991262747395E-3</v>
      </c>
      <c r="Q48">
        <f>Table3[[#This Row],[weight]]*(0.9155*Table2[[#This Row],[J67]]-F$9)^2</f>
        <v>0.37672111102171718</v>
      </c>
      <c r="R48">
        <f>Table3[[#This Row],[weight]]*(0.9155*Table2[[#This Row],[J67'']]-G$9)^2</f>
        <v>4.4140103628610448E-2</v>
      </c>
      <c r="S48">
        <f>chloroform!J53</f>
        <v>6.4767610225899943E-3</v>
      </c>
      <c r="T48" t="str">
        <f>chloroform!F53</f>
        <v>5C12</v>
      </c>
    </row>
    <row r="49" spans="11:20" x14ac:dyDescent="0.25">
      <c r="K49" t="str">
        <f>chloroform!K54</f>
        <v>1-143</v>
      </c>
      <c r="L49">
        <f>Table3[[#This Row],[weight]]*(0.9155*Table2[[#This Row],[J1,2]]-A$9)^2</f>
        <v>2.1772513274321904E-5</v>
      </c>
      <c r="M49">
        <f>Table3[[#This Row],[weight]]*(0.9155*Table2[[#This Row],[J2,3]]-B$9)^2</f>
        <v>7.2506600036713149E-6</v>
      </c>
      <c r="N49">
        <f>Table3[[#This Row],[weight]]*(0.9155*Table2[[#This Row],[J34]]-C$9)^2</f>
        <v>3.0087784112177804E-4</v>
      </c>
      <c r="O49">
        <f>Table3[[#This Row],[weight]]*(0.9155*Table2[[#This Row],[J45]]-D$9)^2</f>
        <v>1.6331422469449536E-3</v>
      </c>
      <c r="P49">
        <f>Table3[[#This Row],[weight]]*(0.9155*Table2[[#This Row],[J56]]-E$9)^2</f>
        <v>2.8847085891394993E-4</v>
      </c>
      <c r="Q49">
        <f>Table3[[#This Row],[weight]]*(0.9155*Table2[[#This Row],[J67]]-F$9)^2</f>
        <v>7.7804581022500726E-3</v>
      </c>
      <c r="R49">
        <f>Table3[[#This Row],[weight]]*(0.9155*Table2[[#This Row],[J67'']]-G$9)^2</f>
        <v>1.1492930353673705E-3</v>
      </c>
      <c r="S49">
        <f>chloroform!J54</f>
        <v>1.2898379500030682E-4</v>
      </c>
      <c r="T49" t="str">
        <f>chloroform!F54</f>
        <v>45TH</v>
      </c>
    </row>
    <row r="50" spans="11:20" x14ac:dyDescent="0.25">
      <c r="K50" t="str">
        <f>chloroform!K55</f>
        <v>1-144</v>
      </c>
      <c r="L50">
        <f>Table3[[#This Row],[weight]]*(0.9155*Table2[[#This Row],[J1,2]]-A$9)^2</f>
        <v>1.145339361479019E-5</v>
      </c>
      <c r="M50">
        <f>Table3[[#This Row],[weight]]*(0.9155*Table2[[#This Row],[J2,3]]-B$9)^2</f>
        <v>1.83494855578275E-4</v>
      </c>
      <c r="N50">
        <f>Table3[[#This Row],[weight]]*(0.9155*Table2[[#This Row],[J34]]-C$9)^2</f>
        <v>8.5941781223724809E-6</v>
      </c>
      <c r="O50">
        <f>Table3[[#This Row],[weight]]*(0.9155*Table2[[#This Row],[J45]]-D$9)^2</f>
        <v>2.7933926730767358E-4</v>
      </c>
      <c r="P50">
        <f>Table3[[#This Row],[weight]]*(0.9155*Table2[[#This Row],[J56]]-E$9)^2</f>
        <v>4.1369062294879626E-3</v>
      </c>
      <c r="Q50">
        <f>Table3[[#This Row],[weight]]*(0.9155*Table2[[#This Row],[J67]]-F$9)^2</f>
        <v>1.1569907212082618E-2</v>
      </c>
      <c r="R50">
        <f>Table3[[#This Row],[weight]]*(0.9155*Table2[[#This Row],[J67'']]-G$9)^2</f>
        <v>7.4074344987088923E-7</v>
      </c>
      <c r="S50">
        <f>chloroform!J55</f>
        <v>1.1043031343540842E-4</v>
      </c>
      <c r="T50" t="str">
        <f>chloroform!F55</f>
        <v>12C5</v>
      </c>
    </row>
    <row r="51" spans="11:20" x14ac:dyDescent="0.25">
      <c r="K51" t="str">
        <f>chloroform!K56</f>
        <v>1-145</v>
      </c>
      <c r="L51">
        <f>Table3[[#This Row],[weight]]*(0.9155*Table2[[#This Row],[J1,2]]-A$9)^2</f>
        <v>4.629023139060855E-5</v>
      </c>
      <c r="M51">
        <f>Table3[[#This Row],[weight]]*(0.9155*Table2[[#This Row],[J2,3]]-B$9)^2</f>
        <v>4.3751849000430343E-4</v>
      </c>
      <c r="N51">
        <f>Table3[[#This Row],[weight]]*(0.9155*Table2[[#This Row],[J34]]-C$9)^2</f>
        <v>1.2192240491611948E-4</v>
      </c>
      <c r="O51">
        <f>Table3[[#This Row],[weight]]*(0.9155*Table2[[#This Row],[J45]]-D$9)^2</f>
        <v>4.5202592394160595E-4</v>
      </c>
      <c r="P51">
        <f>Table3[[#This Row],[weight]]*(0.9155*Table2[[#This Row],[J56]]-E$9)^2</f>
        <v>1.1526249800584849E-2</v>
      </c>
      <c r="Q51">
        <f>Table3[[#This Row],[weight]]*(0.9155*Table2[[#This Row],[J67]]-F$9)^2</f>
        <v>3.0977659880202423E-2</v>
      </c>
      <c r="R51">
        <f>Table3[[#This Row],[weight]]*(0.9155*Table2[[#This Row],[J67'']]-G$9)^2</f>
        <v>1.5988852847454086E-5</v>
      </c>
      <c r="S51">
        <f>chloroform!J56</f>
        <v>2.8556974071908823E-4</v>
      </c>
      <c r="T51" t="str">
        <f>chloroform!F56</f>
        <v>5C12</v>
      </c>
    </row>
    <row r="52" spans="11:20" x14ac:dyDescent="0.25">
      <c r="K52" t="str">
        <f>chloroform!K57</f>
        <v>1-166</v>
      </c>
      <c r="L52">
        <f>Table3[[#This Row],[weight]]*(0.9155*Table2[[#This Row],[J1,2]]-A$9)^2</f>
        <v>6.0070798472935916E-4</v>
      </c>
      <c r="M52">
        <f>Table3[[#This Row],[weight]]*(0.9155*Table2[[#This Row],[J2,3]]-B$9)^2</f>
        <v>3.8775216219266738E-2</v>
      </c>
      <c r="N52">
        <f>Table3[[#This Row],[weight]]*(0.9155*Table2[[#This Row],[J34]]-C$9)^2</f>
        <v>4.1963878962298432E-2</v>
      </c>
      <c r="O52">
        <f>Table3[[#This Row],[weight]]*(0.9155*Table2[[#This Row],[J45]]-D$9)^2</f>
        <v>3.474046649573282E-2</v>
      </c>
      <c r="P52">
        <f>Table3[[#This Row],[weight]]*(0.9155*Table2[[#This Row],[J56]]-E$9)^2</f>
        <v>8.4483440930094777E-4</v>
      </c>
      <c r="Q52">
        <f>Table3[[#This Row],[weight]]*(0.9155*Table2[[#This Row],[J67]]-F$9)^2</f>
        <v>6.8467353630116555E-7</v>
      </c>
      <c r="R52">
        <f>Table3[[#This Row],[weight]]*(0.9155*Table2[[#This Row],[J67'']]-G$9)^2</f>
        <v>5.5897602753346071E-2</v>
      </c>
      <c r="S52">
        <f>chloroform!J57</f>
        <v>1.3643967202022281E-3</v>
      </c>
      <c r="T52" t="str">
        <f>chloroform!F57</f>
        <v>5C12</v>
      </c>
    </row>
    <row r="53" spans="11:20" x14ac:dyDescent="0.25">
      <c r="K53" t="str">
        <f>chloroform!K58</f>
        <v>1-173</v>
      </c>
      <c r="L53">
        <f>Table3[[#This Row],[weight]]*(0.9155*Table2[[#This Row],[J1,2]]-A$9)^2</f>
        <v>2.6085669569801048E-5</v>
      </c>
      <c r="M53">
        <f>Table3[[#This Row],[weight]]*(0.9155*Table2[[#This Row],[J2,3]]-B$9)^2</f>
        <v>4.1541412463630634E-4</v>
      </c>
      <c r="N53">
        <f>Table3[[#This Row],[weight]]*(0.9155*Table2[[#This Row],[J34]]-C$9)^2</f>
        <v>3.6687904620929756E-5</v>
      </c>
      <c r="O53">
        <f>Table3[[#This Row],[weight]]*(0.9155*Table2[[#This Row],[J45]]-D$9)^2</f>
        <v>4.8907090809680606E-4</v>
      </c>
      <c r="P53">
        <f>Table3[[#This Row],[weight]]*(0.9155*Table2[[#This Row],[J56]]-E$9)^2</f>
        <v>1.0109045954004234E-2</v>
      </c>
      <c r="Q53">
        <f>Table3[[#This Row],[weight]]*(0.9155*Table2[[#This Row],[J67]]-F$9)^2</f>
        <v>2.3388596903242527E-4</v>
      </c>
      <c r="R53">
        <f>Table3[[#This Row],[weight]]*(0.9155*Table2[[#This Row],[J67'']]-G$9)^2</f>
        <v>9.1907049113180497E-3</v>
      </c>
      <c r="S53">
        <f>chloroform!J58</f>
        <v>2.8969063399003788E-4</v>
      </c>
      <c r="T53" t="str">
        <f>chloroform!F58</f>
        <v>12C5</v>
      </c>
    </row>
    <row r="54" spans="11:20" x14ac:dyDescent="0.25">
      <c r="K54" t="str">
        <f>chloroform!K59</f>
        <v>1-191</v>
      </c>
      <c r="L54">
        <f>Table3[[#This Row],[weight]]*(0.9155*Table2[[#This Row],[J1,2]]-A$9)^2</f>
        <v>6.0673460682371616E-7</v>
      </c>
      <c r="M54">
        <f>Table3[[#This Row],[weight]]*(0.9155*Table2[[#This Row],[J2,3]]-B$9)^2</f>
        <v>5.822010020314573E-5</v>
      </c>
      <c r="N54">
        <f>Table3[[#This Row],[weight]]*(0.9155*Table2[[#This Row],[J34]]-C$9)^2</f>
        <v>5.7768529335107783E-5</v>
      </c>
      <c r="O54">
        <f>Table3[[#This Row],[weight]]*(0.9155*Table2[[#This Row],[J45]]-D$9)^2</f>
        <v>2.496684255231782E-4</v>
      </c>
      <c r="P54">
        <f>Table3[[#This Row],[weight]]*(0.9155*Table2[[#This Row],[J56]]-E$9)^2</f>
        <v>3.8971507006377339E-3</v>
      </c>
      <c r="Q54">
        <f>Table3[[#This Row],[weight]]*(0.9155*Table2[[#This Row],[J67]]-F$9)^2</f>
        <v>1.0068901331253348E-2</v>
      </c>
      <c r="R54">
        <f>Table3[[#This Row],[weight]]*(0.9155*Table2[[#This Row],[J67'']]-G$9)^2</f>
        <v>1.1480364143980774E-5</v>
      </c>
      <c r="S54">
        <f>chloroform!J59</f>
        <v>9.6138181511408734E-5</v>
      </c>
      <c r="T54" t="str">
        <f>chloroform!F59</f>
        <v>12C5</v>
      </c>
    </row>
    <row r="55" spans="11:20" x14ac:dyDescent="0.25">
      <c r="K55" t="str">
        <f>chloroform!K60</f>
        <v>1-193</v>
      </c>
      <c r="L55">
        <f>Table3[[#This Row],[weight]]*(0.9155*Table2[[#This Row],[J1,2]]-A$9)^2</f>
        <v>9.9269953382714695E-5</v>
      </c>
      <c r="M55">
        <f>Table3[[#This Row],[weight]]*(0.9155*Table2[[#This Row],[J2,3]]-B$9)^2</f>
        <v>1.5070959842103857E-3</v>
      </c>
      <c r="N55">
        <f>Table3[[#This Row],[weight]]*(0.9155*Table2[[#This Row],[J34]]-C$9)^2</f>
        <v>1.130344565342203E-4</v>
      </c>
      <c r="O55">
        <f>Table3[[#This Row],[weight]]*(0.9155*Table2[[#This Row],[J45]]-D$9)^2</f>
        <v>1.535697161369846E-3</v>
      </c>
      <c r="P55">
        <f>Table3[[#This Row],[weight]]*(0.9155*Table2[[#This Row],[J56]]-E$9)^2</f>
        <v>2.8162218269039949E-2</v>
      </c>
      <c r="Q55">
        <f>Table3[[#This Row],[weight]]*(0.9155*Table2[[#This Row],[J67]]-F$9)^2</f>
        <v>3.9188101571593269E-4</v>
      </c>
      <c r="R55">
        <f>Table3[[#This Row],[weight]]*(0.9155*Table2[[#This Row],[J67'']]-G$9)^2</f>
        <v>2.1540925939119673E-2</v>
      </c>
      <c r="S55">
        <f>chloroform!J60</f>
        <v>7.9174443894333344E-4</v>
      </c>
      <c r="T55" t="str">
        <f>chloroform!F60</f>
        <v>12C5</v>
      </c>
    </row>
    <row r="56" spans="11:20" x14ac:dyDescent="0.25">
      <c r="K56" t="str">
        <f>chloroform!K61</f>
        <v>1-197</v>
      </c>
      <c r="L56">
        <f>Table3[[#This Row],[weight]]*(0.9155*Table2[[#This Row],[J1,2]]-A$9)^2</f>
        <v>0</v>
      </c>
      <c r="M56">
        <f>Table3[[#This Row],[weight]]*(0.9155*Table2[[#This Row],[J2,3]]-B$9)^2</f>
        <v>0</v>
      </c>
      <c r="N56">
        <f>Table3[[#This Row],[weight]]*(0.9155*Table2[[#This Row],[J34]]-C$9)^2</f>
        <v>0</v>
      </c>
      <c r="O56">
        <f>Table3[[#This Row],[weight]]*(0.9155*Table2[[#This Row],[J45]]-D$9)^2</f>
        <v>0</v>
      </c>
      <c r="P56">
        <f>Table3[[#This Row],[weight]]*(0.9155*Table2[[#This Row],[J56]]-E$9)^2</f>
        <v>0</v>
      </c>
      <c r="Q56">
        <f>Table3[[#This Row],[weight]]*(0.9155*Table2[[#This Row],[J67]]-F$9)^2</f>
        <v>0</v>
      </c>
      <c r="R56">
        <f>Table3[[#This Row],[weight]]*(0.9155*Table2[[#This Row],[J67'']]-G$9)^2</f>
        <v>0</v>
      </c>
      <c r="S56">
        <f>chloroform!J61</f>
        <v>0</v>
      </c>
      <c r="T56" t="str">
        <f>chloroform!F61</f>
        <v>4H6</v>
      </c>
    </row>
    <row r="57" spans="11:20" x14ac:dyDescent="0.25">
      <c r="K57" t="str">
        <f>chloroform!K62</f>
        <v>1-208</v>
      </c>
      <c r="L57">
        <f>Table3[[#This Row],[weight]]*(0.9155*Table2[[#This Row],[J1,2]]-A$9)^2</f>
        <v>1.3272579563104425E-5</v>
      </c>
      <c r="M57">
        <f>Table3[[#This Row],[weight]]*(0.9155*Table2[[#This Row],[J2,3]]-B$9)^2</f>
        <v>1.3559032117320304E-3</v>
      </c>
      <c r="N57">
        <f>Table3[[#This Row],[weight]]*(0.9155*Table2[[#This Row],[J34]]-C$9)^2</f>
        <v>1.759104618107761E-3</v>
      </c>
      <c r="O57">
        <f>Table3[[#This Row],[weight]]*(0.9155*Table2[[#This Row],[J45]]-D$9)^2</f>
        <v>1.0148729417413706E-3</v>
      </c>
      <c r="P57">
        <f>Table3[[#This Row],[weight]]*(0.9155*Table2[[#This Row],[J56]]-E$9)^2</f>
        <v>1.0017599532803105E-5</v>
      </c>
      <c r="Q57">
        <f>Table3[[#This Row],[weight]]*(0.9155*Table2[[#This Row],[J67]]-F$9)^2</f>
        <v>7.7346331885134275E-6</v>
      </c>
      <c r="R57">
        <f>Table3[[#This Row],[weight]]*(0.9155*Table2[[#This Row],[J67'']]-G$9)^2</f>
        <v>1.2635451520953253E-3</v>
      </c>
      <c r="S57">
        <f>chloroform!J62</f>
        <v>4.031027260786241E-5</v>
      </c>
      <c r="T57" t="str">
        <f>chloroform!F62</f>
        <v>5C12</v>
      </c>
    </row>
    <row r="58" spans="11:20" x14ac:dyDescent="0.25">
      <c r="K58" t="str">
        <f>chloroform!K63</f>
        <v>1-212</v>
      </c>
      <c r="L58">
        <f>Table3[[#This Row],[weight]]*(0.9155*Table2[[#This Row],[J1,2]]-A$9)^2</f>
        <v>8.3415848327698961E-6</v>
      </c>
      <c r="M58">
        <f>Table3[[#This Row],[weight]]*(0.9155*Table2[[#This Row],[J2,3]]-B$9)^2</f>
        <v>2.5206161057270983E-4</v>
      </c>
      <c r="N58">
        <f>Table3[[#This Row],[weight]]*(0.9155*Table2[[#This Row],[J34]]-C$9)^2</f>
        <v>7.7800671139034465E-7</v>
      </c>
      <c r="O58">
        <f>Table3[[#This Row],[weight]]*(0.9155*Table2[[#This Row],[J45]]-D$9)^2</f>
        <v>4.2137915144832219E-4</v>
      </c>
      <c r="P58">
        <f>Table3[[#This Row],[weight]]*(0.9155*Table2[[#This Row],[J56]]-E$9)^2</f>
        <v>5.2589329946802427E-3</v>
      </c>
      <c r="Q58">
        <f>Table3[[#This Row],[weight]]*(0.9155*Table2[[#This Row],[J67]]-F$9)^2</f>
        <v>1.8251867207640966E-5</v>
      </c>
      <c r="R58">
        <f>Table3[[#This Row],[weight]]*(0.9155*Table2[[#This Row],[J67'']]-G$9)^2</f>
        <v>4.8672612233276449E-3</v>
      </c>
      <c r="S58">
        <f>chloroform!J63</f>
        <v>1.5952729737975731E-4</v>
      </c>
      <c r="T58" t="str">
        <f>chloroform!F63</f>
        <v>12C5</v>
      </c>
    </row>
    <row r="59" spans="11:20" x14ac:dyDescent="0.25">
      <c r="K59" t="str">
        <f>chloroform!K64</f>
        <v>1-215</v>
      </c>
      <c r="L59">
        <f>Table3[[#This Row],[weight]]*(0.9155*Table2[[#This Row],[J1,2]]-A$9)^2</f>
        <v>1.1162061987177639E-4</v>
      </c>
      <c r="M59">
        <f>Table3[[#This Row],[weight]]*(0.9155*Table2[[#This Row],[J2,3]]-B$9)^2</f>
        <v>1.3090016993251494E-3</v>
      </c>
      <c r="N59">
        <f>Table3[[#This Row],[weight]]*(0.9155*Table2[[#This Row],[J34]]-C$9)^2</f>
        <v>3.1558801502737095E-4</v>
      </c>
      <c r="O59">
        <f>Table3[[#This Row],[weight]]*(0.9155*Table2[[#This Row],[J45]]-D$9)^2</f>
        <v>1.7211721306424942E-3</v>
      </c>
      <c r="P59">
        <f>Table3[[#This Row],[weight]]*(0.9155*Table2[[#This Row],[J56]]-E$9)^2</f>
        <v>3.6688215773701842E-2</v>
      </c>
      <c r="Q59">
        <f>Table3[[#This Row],[weight]]*(0.9155*Table2[[#This Row],[J67]]-F$9)^2</f>
        <v>5.6538861300501979E-4</v>
      </c>
      <c r="R59">
        <f>Table3[[#This Row],[weight]]*(0.9155*Table2[[#This Row],[J67'']]-G$9)^2</f>
        <v>2.6972297993562256E-2</v>
      </c>
      <c r="S59">
        <f>chloroform!J64</f>
        <v>9.8998590065562005E-4</v>
      </c>
      <c r="T59" t="str">
        <f>chloroform!F64</f>
        <v>12C5</v>
      </c>
    </row>
    <row r="60" spans="11:20" x14ac:dyDescent="0.25">
      <c r="K60" t="str">
        <f>chloroform!K65</f>
        <v>1-219</v>
      </c>
      <c r="L60">
        <f>Table3[[#This Row],[weight]]*(0.9155*Table2[[#This Row],[J1,2]]-A$9)^2</f>
        <v>5.4299847169185724E-5</v>
      </c>
      <c r="M60">
        <f>Table3[[#This Row],[weight]]*(0.9155*Table2[[#This Row],[J2,3]]-B$9)^2</f>
        <v>2.3459970299041533E-4</v>
      </c>
      <c r="N60">
        <f>Table3[[#This Row],[weight]]*(0.9155*Table2[[#This Row],[J34]]-C$9)^2</f>
        <v>4.9872454662494301E-7</v>
      </c>
      <c r="O60">
        <f>Table3[[#This Row],[weight]]*(0.9155*Table2[[#This Row],[J45]]-D$9)^2</f>
        <v>2.9615858922652173E-6</v>
      </c>
      <c r="P60">
        <f>Table3[[#This Row],[weight]]*(0.9155*Table2[[#This Row],[J56]]-E$9)^2</f>
        <v>1.9586286105059561E-3</v>
      </c>
      <c r="Q60">
        <f>Table3[[#This Row],[weight]]*(0.9155*Table2[[#This Row],[J67]]-F$9)^2</f>
        <v>1.0000981282784377E-4</v>
      </c>
      <c r="R60">
        <f>Table3[[#This Row],[weight]]*(0.9155*Table2[[#This Row],[J67'']]-G$9)^2</f>
        <v>1.8593125754386912E-3</v>
      </c>
      <c r="S60">
        <f>chloroform!J65</f>
        <v>6.4945168979610465E-5</v>
      </c>
      <c r="T60" t="str">
        <f>chloroform!F65</f>
        <v>12C5</v>
      </c>
    </row>
    <row r="61" spans="11:20" x14ac:dyDescent="0.25">
      <c r="K61" t="str">
        <f>chloroform!K66</f>
        <v>1-220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chloroform!J66</f>
        <v>0</v>
      </c>
      <c r="T61" t="str">
        <f>chloroform!F66</f>
        <v>12C5</v>
      </c>
    </row>
    <row r="62" spans="11:20" x14ac:dyDescent="0.25">
      <c r="K62" t="str">
        <f>chloroform!K67</f>
        <v>1-241</v>
      </c>
      <c r="L62">
        <f>Table3[[#This Row],[weight]]*(0.9155*Table2[[#This Row],[J1,2]]-A$9)^2</f>
        <v>1.2092940045075709E-4</v>
      </c>
      <c r="M62">
        <f>Table3[[#This Row],[weight]]*(0.9155*Table2[[#This Row],[J2,3]]-B$9)^2</f>
        <v>1.5360508179718181E-3</v>
      </c>
      <c r="N62">
        <f>Table3[[#This Row],[weight]]*(0.9155*Table2[[#This Row],[J34]]-C$9)^2</f>
        <v>9.5228950095125191E-5</v>
      </c>
      <c r="O62">
        <f>Table3[[#This Row],[weight]]*(0.9155*Table2[[#This Row],[J45]]-D$9)^2</f>
        <v>1.3430411984999269E-3</v>
      </c>
      <c r="P62">
        <f>Table3[[#This Row],[weight]]*(0.9155*Table2[[#This Row],[J56]]-E$9)^2</f>
        <v>2.7157301235499885E-2</v>
      </c>
      <c r="Q62">
        <f>Table3[[#This Row],[weight]]*(0.9155*Table2[[#This Row],[J67]]-F$9)^2</f>
        <v>7.1739363638379265E-4</v>
      </c>
      <c r="R62">
        <f>Table3[[#This Row],[weight]]*(0.9155*Table2[[#This Row],[J67'']]-G$9)^2</f>
        <v>2.5018053520147798E-2</v>
      </c>
      <c r="S62">
        <f>chloroform!J67</f>
        <v>7.9216907870402367E-4</v>
      </c>
      <c r="T62" t="str">
        <f>chloroform!F67</f>
        <v>12C5</v>
      </c>
    </row>
    <row r="63" spans="11:20" x14ac:dyDescent="0.25">
      <c r="K63" t="str">
        <f>chloroform!K68</f>
        <v>1-272</v>
      </c>
      <c r="L63">
        <f>Table3[[#This Row],[weight]]*(0.9155*Table2[[#This Row],[J1,2]]-A$9)^2</f>
        <v>3.3194792986827886E-4</v>
      </c>
      <c r="M63">
        <f>Table3[[#This Row],[weight]]*(0.9155*Table2[[#This Row],[J2,3]]-B$9)^2</f>
        <v>2.8907016191301281E-3</v>
      </c>
      <c r="N63">
        <f>Table3[[#This Row],[weight]]*(0.9155*Table2[[#This Row],[J34]]-C$9)^2</f>
        <v>9.1586036626809409E-3</v>
      </c>
      <c r="O63">
        <f>Table3[[#This Row],[weight]]*(0.9155*Table2[[#This Row],[J45]]-D$9)^2</f>
        <v>1.3977366202420204E-3</v>
      </c>
      <c r="P63">
        <f>Table3[[#This Row],[weight]]*(0.9155*Table2[[#This Row],[J56]]-E$9)^2</f>
        <v>1.2318389481650918E-4</v>
      </c>
      <c r="Q63">
        <f>Table3[[#This Row],[weight]]*(0.9155*Table2[[#This Row],[J67]]-F$9)^2</f>
        <v>4.8097736898908464E-6</v>
      </c>
      <c r="R63">
        <f>Table3[[#This Row],[weight]]*(0.9155*Table2[[#This Row],[J67'']]-G$9)^2</f>
        <v>1.2874235316904733E-3</v>
      </c>
      <c r="S63">
        <f>chloroform!J68</f>
        <v>1.1084755555817298E-4</v>
      </c>
      <c r="T63" t="str">
        <f>chloroform!F68</f>
        <v>5C12</v>
      </c>
    </row>
    <row r="64" spans="11:20" x14ac:dyDescent="0.25">
      <c r="K64" t="str">
        <f>chloroform!K69</f>
        <v>1-276</v>
      </c>
      <c r="L64">
        <f>Table3[[#This Row],[weight]]*(0.9155*Table2[[#This Row],[J1,2]]-A$9)^2</f>
        <v>2.6542850637445828E-5</v>
      </c>
      <c r="M64">
        <f>Table3[[#This Row],[weight]]*(0.9155*Table2[[#This Row],[J2,3]]-B$9)^2</f>
        <v>1.5788876022903861E-5</v>
      </c>
      <c r="N64">
        <f>Table3[[#This Row],[weight]]*(0.9155*Table2[[#This Row],[J34]]-C$9)^2</f>
        <v>4.8921123858380368E-4</v>
      </c>
      <c r="O64">
        <f>Table3[[#This Row],[weight]]*(0.9155*Table2[[#This Row],[J45]]-D$9)^2</f>
        <v>9.2496351868693292E-4</v>
      </c>
      <c r="P64">
        <f>Table3[[#This Row],[weight]]*(0.9155*Table2[[#This Row],[J56]]-E$9)^2</f>
        <v>2.2523343143239196E-5</v>
      </c>
      <c r="Q64">
        <f>Table3[[#This Row],[weight]]*(0.9155*Table2[[#This Row],[J67]]-F$9)^2</f>
        <v>3.70011089195217E-7</v>
      </c>
      <c r="R64">
        <f>Table3[[#This Row],[weight]]*(0.9155*Table2[[#This Row],[J67'']]-G$9)^2</f>
        <v>4.0797238075088198E-4</v>
      </c>
      <c r="S64">
        <f>chloroform!J69</f>
        <v>3.822372900299207E-5</v>
      </c>
      <c r="T64" t="str">
        <f>chloroform!F69</f>
        <v>4H6</v>
      </c>
    </row>
    <row r="65" spans="11:20" x14ac:dyDescent="0.25">
      <c r="K65" t="str">
        <f>chloroform!K70</f>
        <v>1-278</v>
      </c>
      <c r="L65">
        <f>Table3[[#This Row],[weight]]*(0.9155*Table2[[#This Row],[J1,2]]-A$9)^2</f>
        <v>0</v>
      </c>
      <c r="M65">
        <f>Table3[[#This Row],[weight]]*(0.9155*Table2[[#This Row],[J2,3]]-B$9)^2</f>
        <v>0</v>
      </c>
      <c r="N65">
        <f>Table3[[#This Row],[weight]]*(0.9155*Table2[[#This Row],[J34]]-C$9)^2</f>
        <v>0</v>
      </c>
      <c r="O65">
        <f>Table3[[#This Row],[weight]]*(0.9155*Table2[[#This Row],[J45]]-D$9)^2</f>
        <v>0</v>
      </c>
      <c r="P65">
        <f>Table3[[#This Row],[weight]]*(0.9155*Table2[[#This Row],[J56]]-E$9)^2</f>
        <v>0</v>
      </c>
      <c r="Q65">
        <f>Table3[[#This Row],[weight]]*(0.9155*Table2[[#This Row],[J67]]-F$9)^2</f>
        <v>0</v>
      </c>
      <c r="R65">
        <f>Table3[[#This Row],[weight]]*(0.9155*Table2[[#This Row],[J67'']]-G$9)^2</f>
        <v>0</v>
      </c>
      <c r="S65">
        <f>chloroform!J70</f>
        <v>0</v>
      </c>
      <c r="T65" t="str">
        <f>chloroform!F70</f>
        <v>5C12</v>
      </c>
    </row>
    <row r="66" spans="11:20" x14ac:dyDescent="0.25">
      <c r="K66" t="str">
        <f>chloroform!K71</f>
        <v>1-283</v>
      </c>
      <c r="L66">
        <f>Table3[[#This Row],[weight]]*(0.9155*Table2[[#This Row],[J1,2]]-A$9)^2</f>
        <v>1.8291025129735418E-4</v>
      </c>
      <c r="M66">
        <f>Table3[[#This Row],[weight]]*(0.9155*Table2[[#This Row],[J2,3]]-B$9)^2</f>
        <v>1.8872141732129721E-3</v>
      </c>
      <c r="N66">
        <f>Table3[[#This Row],[weight]]*(0.9155*Table2[[#This Row],[J34]]-C$9)^2</f>
        <v>4.2172041245889472E-3</v>
      </c>
      <c r="O66">
        <f>Table3[[#This Row],[weight]]*(0.9155*Table2[[#This Row],[J45]]-D$9)^2</f>
        <v>7.5419785777032175E-4</v>
      </c>
      <c r="P66">
        <f>Table3[[#This Row],[weight]]*(0.9155*Table2[[#This Row],[J56]]-E$9)^2</f>
        <v>3.6696386146125724E-5</v>
      </c>
      <c r="Q66">
        <f>Table3[[#This Row],[weight]]*(0.9155*Table2[[#This Row],[J67]]-F$9)^2</f>
        <v>4.4915490569082577E-3</v>
      </c>
      <c r="R66">
        <f>Table3[[#This Row],[weight]]*(0.9155*Table2[[#This Row],[J67'']]-G$9)^2</f>
        <v>5.1740309851662221E-4</v>
      </c>
      <c r="S66">
        <f>chloroform!J71</f>
        <v>6.6818504297804467E-5</v>
      </c>
      <c r="T66" t="str">
        <f>chloroform!F71</f>
        <v>5C12</v>
      </c>
    </row>
    <row r="67" spans="11:20" x14ac:dyDescent="0.25">
      <c r="K67" t="str">
        <f>chloroform!K72</f>
        <v>1-290</v>
      </c>
      <c r="L67">
        <f>Table3[[#This Row],[weight]]*(0.9155*Table2[[#This Row],[J1,2]]-A$9)^2</f>
        <v>0</v>
      </c>
      <c r="M67">
        <f>Table3[[#This Row],[weight]]*(0.9155*Table2[[#This Row],[J2,3]]-B$9)^2</f>
        <v>0</v>
      </c>
      <c r="N67">
        <f>Table3[[#This Row],[weight]]*(0.9155*Table2[[#This Row],[J34]]-C$9)^2</f>
        <v>0</v>
      </c>
      <c r="O67">
        <f>Table3[[#This Row],[weight]]*(0.9155*Table2[[#This Row],[J45]]-D$9)^2</f>
        <v>0</v>
      </c>
      <c r="P67">
        <f>Table3[[#This Row],[weight]]*(0.9155*Table2[[#This Row],[J56]]-E$9)^2</f>
        <v>0</v>
      </c>
      <c r="Q67">
        <f>Table3[[#This Row],[weight]]*(0.9155*Table2[[#This Row],[J67]]-F$9)^2</f>
        <v>0</v>
      </c>
      <c r="R67">
        <f>Table3[[#This Row],[weight]]*(0.9155*Table2[[#This Row],[J67'']]-G$9)^2</f>
        <v>0</v>
      </c>
      <c r="S67">
        <f>chloroform!J72</f>
        <v>0</v>
      </c>
      <c r="T67" t="str">
        <f>chloroform!F72</f>
        <v>4H6</v>
      </c>
    </row>
    <row r="68" spans="11:20" x14ac:dyDescent="0.25">
      <c r="K68" t="str">
        <f>chloroform!K73</f>
        <v>1-333</v>
      </c>
      <c r="L68">
        <f>Table3[[#This Row],[weight]]*(0.9155*Table2[[#This Row],[J1,2]]-A$9)^2</f>
        <v>0</v>
      </c>
      <c r="M68">
        <f>Table3[[#This Row],[weight]]*(0.9155*Table2[[#This Row],[J2,3]]-B$9)^2</f>
        <v>0</v>
      </c>
      <c r="N68">
        <f>Table3[[#This Row],[weight]]*(0.9155*Table2[[#This Row],[J34]]-C$9)^2</f>
        <v>0</v>
      </c>
      <c r="O68">
        <f>Table3[[#This Row],[weight]]*(0.9155*Table2[[#This Row],[J45]]-D$9)^2</f>
        <v>0</v>
      </c>
      <c r="P68">
        <f>Table3[[#This Row],[weight]]*(0.9155*Table2[[#This Row],[J56]]-E$9)^2</f>
        <v>0</v>
      </c>
      <c r="Q68">
        <f>Table3[[#This Row],[weight]]*(0.9155*Table2[[#This Row],[J67]]-F$9)^2</f>
        <v>0</v>
      </c>
      <c r="R68">
        <f>Table3[[#This Row],[weight]]*(0.9155*Table2[[#This Row],[J67'']]-G$9)^2</f>
        <v>0</v>
      </c>
      <c r="S68">
        <f>chloroform!J73</f>
        <v>0</v>
      </c>
      <c r="T68" t="str">
        <f>chloroform!F73</f>
        <v>56TH</v>
      </c>
    </row>
    <row r="69" spans="11:20" x14ac:dyDescent="0.25">
      <c r="K69" t="str">
        <f>chloroform!K74</f>
        <v>1-373</v>
      </c>
      <c r="L69">
        <f>Table3[[#This Row],[weight]]*(0.9155*Table2[[#This Row],[J1,2]]-A$9)^2</f>
        <v>0</v>
      </c>
      <c r="M69">
        <f>Table3[[#This Row],[weight]]*(0.9155*Table2[[#This Row],[J2,3]]-B$9)^2</f>
        <v>0</v>
      </c>
      <c r="N69">
        <f>Table3[[#This Row],[weight]]*(0.9155*Table2[[#This Row],[J34]]-C$9)^2</f>
        <v>0</v>
      </c>
      <c r="O69">
        <f>Table3[[#This Row],[weight]]*(0.9155*Table2[[#This Row],[J45]]-D$9)^2</f>
        <v>0</v>
      </c>
      <c r="P69">
        <f>Table3[[#This Row],[weight]]*(0.9155*Table2[[#This Row],[J56]]-E$9)^2</f>
        <v>0</v>
      </c>
      <c r="Q69">
        <f>Table3[[#This Row],[weight]]*(0.9155*Table2[[#This Row],[J67]]-F$9)^2</f>
        <v>0</v>
      </c>
      <c r="R69">
        <f>Table3[[#This Row],[weight]]*(0.9155*Table2[[#This Row],[J67'']]-G$9)^2</f>
        <v>0</v>
      </c>
      <c r="S69">
        <f>chloroform!J74</f>
        <v>0</v>
      </c>
      <c r="T69" t="str">
        <f>chloroform!F74</f>
        <v>4H6</v>
      </c>
    </row>
    <row r="70" spans="11:20" x14ac:dyDescent="0.25">
      <c r="K70" t="str">
        <f>chloroform!K75</f>
        <v>1-396</v>
      </c>
      <c r="L70">
        <f>Table3[[#This Row],[weight]]*(0.9155*Table2[[#This Row],[J1,2]]-A$9)^2</f>
        <v>0</v>
      </c>
      <c r="M70">
        <f>Table3[[#This Row],[weight]]*(0.9155*Table2[[#This Row],[J2,3]]-B$9)^2</f>
        <v>0</v>
      </c>
      <c r="N70">
        <f>Table3[[#This Row],[weight]]*(0.9155*Table2[[#This Row],[J34]]-C$9)^2</f>
        <v>0</v>
      </c>
      <c r="O70">
        <f>Table3[[#This Row],[weight]]*(0.9155*Table2[[#This Row],[J45]]-D$9)^2</f>
        <v>0</v>
      </c>
      <c r="P70">
        <f>Table3[[#This Row],[weight]]*(0.9155*Table2[[#This Row],[J56]]-E$9)^2</f>
        <v>0</v>
      </c>
      <c r="Q70">
        <f>Table3[[#This Row],[weight]]*(0.9155*Table2[[#This Row],[J67]]-F$9)^2</f>
        <v>0</v>
      </c>
      <c r="R70">
        <f>Table3[[#This Row],[weight]]*(0.9155*Table2[[#This Row],[J67'']]-G$9)^2</f>
        <v>0</v>
      </c>
      <c r="S70" s="4">
        <f>chloroform!J75</f>
        <v>0</v>
      </c>
      <c r="T70" t="str">
        <f>chloroform!F75</f>
        <v>4H6</v>
      </c>
    </row>
  </sheetData>
  <conditionalFormatting sqref="T1:T1048576">
    <cfRule type="cellIs" dxfId="1" priority="1" operator="equal">
      <formula>$E$1</formula>
    </cfRule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73AAF-50B6-41FA-9681-242F5669750F}">
  <dimension ref="A5:N22"/>
  <sheetViews>
    <sheetView tabSelected="1" workbookViewId="0">
      <selection activeCell="D29" sqref="D29"/>
    </sheetView>
  </sheetViews>
  <sheetFormatPr defaultRowHeight="15" x14ac:dyDescent="0.25"/>
  <sheetData>
    <row r="5" spans="1:14" x14ac:dyDescent="0.25">
      <c r="H5">
        <v>8.8838102302465298</v>
      </c>
      <c r="I5">
        <v>3.0039517567231768</v>
      </c>
      <c r="J5">
        <v>10.380233435697541</v>
      </c>
      <c r="K5">
        <v>9.6877655363424058</v>
      </c>
    </row>
    <row r="7" spans="1:14" x14ac:dyDescent="0.25">
      <c r="B7" t="s">
        <v>58</v>
      </c>
      <c r="C7" t="s">
        <v>17</v>
      </c>
      <c r="D7" t="s">
        <v>19</v>
      </c>
    </row>
    <row r="8" spans="1:14" x14ac:dyDescent="0.25">
      <c r="A8" t="s">
        <v>50</v>
      </c>
      <c r="B8">
        <f>'6H4'!B5</f>
        <v>8.4848741553347296</v>
      </c>
      <c r="C8">
        <f>halfchair!B5</f>
        <v>7.8872125955236907</v>
      </c>
      <c r="D8">
        <f>chair!B5</f>
        <v>2.8429712159257137</v>
      </c>
      <c r="F8" t="s">
        <v>50</v>
      </c>
    </row>
    <row r="9" spans="1:14" x14ac:dyDescent="0.25">
      <c r="A9" t="s">
        <v>25</v>
      </c>
      <c r="B9">
        <f>'6H4'!C5</f>
        <v>2.0235121656853159</v>
      </c>
      <c r="C9">
        <f>halfchair!C5</f>
        <v>5.4872630712461374</v>
      </c>
      <c r="D9">
        <f>chair!$C5</f>
        <v>8.331458480017627</v>
      </c>
      <c r="F9" t="s">
        <v>25</v>
      </c>
      <c r="M9" t="s">
        <v>17</v>
      </c>
      <c r="N9" s="7">
        <v>0.5635</v>
      </c>
    </row>
    <row r="10" spans="1:14" x14ac:dyDescent="0.25">
      <c r="A10" t="s">
        <v>26</v>
      </c>
      <c r="B10">
        <f>'6H4'!D5</f>
        <v>5.8365456723056974</v>
      </c>
      <c r="C10">
        <f>halfchair!D5</f>
        <v>0.50531814095147931</v>
      </c>
      <c r="D10">
        <f>chair!$D5</f>
        <v>10.494643675979134</v>
      </c>
      <c r="F10" t="s">
        <v>26</v>
      </c>
      <c r="M10" t="s">
        <v>19</v>
      </c>
      <c r="N10" s="8">
        <v>0.31290000000000001</v>
      </c>
    </row>
    <row r="11" spans="1:14" x14ac:dyDescent="0.25">
      <c r="A11" t="s">
        <v>27</v>
      </c>
      <c r="B11">
        <f>'6H4'!E5</f>
        <v>9.0767451043585741</v>
      </c>
      <c r="C11">
        <f>halfchair!E5</f>
        <v>10.90881843820884</v>
      </c>
      <c r="D11">
        <f>chair!$E5</f>
        <v>9.3170686845854256</v>
      </c>
      <c r="F11" t="s">
        <v>27</v>
      </c>
      <c r="M11" t="s">
        <v>58</v>
      </c>
      <c r="N11" s="7">
        <v>0.1236</v>
      </c>
    </row>
    <row r="14" spans="1:14" x14ac:dyDescent="0.25">
      <c r="A14" t="s">
        <v>51</v>
      </c>
    </row>
    <row r="15" spans="1:14" x14ac:dyDescent="0.25">
      <c r="B15" t="s">
        <v>58</v>
      </c>
      <c r="C15" t="s">
        <v>17</v>
      </c>
      <c r="D15" t="s">
        <v>19</v>
      </c>
    </row>
    <row r="16" spans="1:14" x14ac:dyDescent="0.25">
      <c r="A16" t="s">
        <v>50</v>
      </c>
      <c r="B16">
        <f>'6H4'!B13</f>
        <v>0.21721700043049957</v>
      </c>
      <c r="C16">
        <f>halfchair!B13</f>
        <v>0.24304974986187147</v>
      </c>
      <c r="D16">
        <f>chair!B13</f>
        <v>0.36197975786860603</v>
      </c>
      <c r="G16">
        <f t="shared" ref="G16:I19" si="0">(B16/B8)^2</f>
        <v>6.553854772502418E-4</v>
      </c>
      <c r="H16">
        <f t="shared" si="0"/>
        <v>9.4960559020714299E-4</v>
      </c>
      <c r="I16">
        <f t="shared" si="0"/>
        <v>1.6211516592054408E-2</v>
      </c>
    </row>
    <row r="17" spans="1:9" x14ac:dyDescent="0.25">
      <c r="A17" t="s">
        <v>25</v>
      </c>
      <c r="B17">
        <f>'6H4'!C13</f>
        <v>0.22736650504638639</v>
      </c>
      <c r="C17">
        <f>halfchair!C13</f>
        <v>0.33199590886595653</v>
      </c>
      <c r="D17">
        <f>chair!$C13</f>
        <v>1.1005947083896495</v>
      </c>
      <c r="G17">
        <f t="shared" si="0"/>
        <v>1.2625289130205308E-2</v>
      </c>
      <c r="H17">
        <f t="shared" si="0"/>
        <v>3.6606136984905996E-3</v>
      </c>
      <c r="I17">
        <f t="shared" si="0"/>
        <v>1.7450696770653421E-2</v>
      </c>
    </row>
    <row r="18" spans="1:9" x14ac:dyDescent="0.25">
      <c r="A18" t="s">
        <v>26</v>
      </c>
      <c r="B18">
        <f>'6H4'!D13</f>
        <v>0.49228433760129481</v>
      </c>
      <c r="C18">
        <f>halfchair!D13</f>
        <v>0.20012290261706761</v>
      </c>
      <c r="D18">
        <f>chair!$D13</f>
        <v>0.49444923228679538</v>
      </c>
      <c r="G18">
        <f t="shared" si="0"/>
        <v>7.1141048311015023E-3</v>
      </c>
      <c r="H18">
        <f t="shared" si="0"/>
        <v>0.15684251845481834</v>
      </c>
      <c r="I18">
        <f t="shared" si="0"/>
        <v>2.2197702095393367E-3</v>
      </c>
    </row>
    <row r="19" spans="1:9" x14ac:dyDescent="0.25">
      <c r="A19" t="s">
        <v>27</v>
      </c>
      <c r="B19">
        <f>'6H4'!E13</f>
        <v>0.39690236704588799</v>
      </c>
      <c r="C19">
        <f>halfchair!E13</f>
        <v>0.20910132373012794</v>
      </c>
      <c r="D19">
        <f>chair!$E13</f>
        <v>0.57958023184770158</v>
      </c>
      <c r="G19">
        <f t="shared" si="0"/>
        <v>1.9120845777949632E-3</v>
      </c>
      <c r="H19">
        <f t="shared" si="0"/>
        <v>3.6741606121103084E-4</v>
      </c>
      <c r="I19">
        <f t="shared" si="0"/>
        <v>3.8696219187361533E-3</v>
      </c>
    </row>
    <row r="22" spans="1:9" x14ac:dyDescent="0.25">
      <c r="H22">
        <f>SQRT(SUM(G16:I19))</f>
        <v>0.47315813774261817</v>
      </c>
    </row>
  </sheetData>
  <sortState xmlns:xlrd2="http://schemas.microsoft.com/office/spreadsheetml/2017/richdata2" ref="M9:N11">
    <sortCondition descending="1" ref="N9:N11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chloroform</vt:lpstr>
      <vt:lpstr>js-chloroform</vt:lpstr>
      <vt:lpstr>chair</vt:lpstr>
      <vt:lpstr>halfchair</vt:lpstr>
      <vt:lpstr>6H4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Caleb Griesbach</dc:creator>
  <cp:lastModifiedBy>Caleb Griesbach</cp:lastModifiedBy>
  <dcterms:created xsi:type="dcterms:W3CDTF">2020-06-17T13:36:29Z</dcterms:created>
  <dcterms:modified xsi:type="dcterms:W3CDTF">2021-09-23T12:35:15Z</dcterms:modified>
</cp:coreProperties>
</file>