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aleb\Desktop\oxepine-xyzs\manox\"/>
    </mc:Choice>
  </mc:AlternateContent>
  <xr:revisionPtr revIDLastSave="0" documentId="13_ncr:1_{30F42992-DFF7-47FF-A6F6-9B787887358F}" xr6:coauthVersionLast="47" xr6:coauthVersionMax="47" xr10:uidLastSave="{00000000-0000-0000-0000-000000000000}"/>
  <bookViews>
    <workbookView xWindow="-120" yWindow="-120" windowWidth="29040" windowHeight="15840" activeTab="5" xr2:uid="{4259C506-C026-40AB-9C6F-B79AF468AC2E}"/>
  </bookViews>
  <sheets>
    <sheet name="chloroform" sheetId="1" r:id="rId1"/>
    <sheet name="js-chloroform" sheetId="2" r:id="rId2"/>
    <sheet name="chair" sheetId="3" r:id="rId3"/>
    <sheet name="halfchair" sheetId="4" r:id="rId4"/>
    <sheet name="6H4" sheetId="5" r:id="rId5"/>
    <sheet name="Sheet6" sheetId="6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7" i="1" l="1"/>
  <c r="K63" i="5" l="1"/>
  <c r="K64" i="5"/>
  <c r="K51" i="5"/>
  <c r="K52" i="5"/>
  <c r="K53" i="5"/>
  <c r="K54" i="5"/>
  <c r="K55" i="5"/>
  <c r="K56" i="5"/>
  <c r="K57" i="5"/>
  <c r="K58" i="5"/>
  <c r="K59" i="5"/>
  <c r="K60" i="5"/>
  <c r="K61" i="5"/>
  <c r="K62" i="5"/>
  <c r="K3" i="5"/>
  <c r="K4" i="5"/>
  <c r="K5" i="5"/>
  <c r="K6" i="5"/>
  <c r="K7" i="5"/>
  <c r="K8" i="5"/>
  <c r="K9" i="5"/>
  <c r="K10" i="5"/>
  <c r="K11" i="5"/>
  <c r="K12" i="5"/>
  <c r="K13" i="5"/>
  <c r="K14" i="5"/>
  <c r="K15" i="5"/>
  <c r="K16" i="5"/>
  <c r="K17" i="5"/>
  <c r="K18" i="5"/>
  <c r="K19" i="5"/>
  <c r="K20" i="5"/>
  <c r="K21" i="5"/>
  <c r="K22" i="5"/>
  <c r="K23" i="5"/>
  <c r="K24" i="5"/>
  <c r="K25" i="5"/>
  <c r="K26" i="5"/>
  <c r="K27" i="5"/>
  <c r="K28" i="5"/>
  <c r="K29" i="5"/>
  <c r="K30" i="5"/>
  <c r="K31" i="5"/>
  <c r="K32" i="5"/>
  <c r="K33" i="5"/>
  <c r="K34" i="5"/>
  <c r="K35" i="5"/>
  <c r="K36" i="5"/>
  <c r="K37" i="5"/>
  <c r="K38" i="5"/>
  <c r="K39" i="5"/>
  <c r="K40" i="5"/>
  <c r="K41" i="5"/>
  <c r="K42" i="5"/>
  <c r="K43" i="5"/>
  <c r="K44" i="5"/>
  <c r="K45" i="5"/>
  <c r="K46" i="5"/>
  <c r="K47" i="5"/>
  <c r="K48" i="5"/>
  <c r="K49" i="5"/>
  <c r="K50" i="5"/>
  <c r="K2" i="5"/>
  <c r="K3" i="2"/>
  <c r="T3" i="5" s="1"/>
  <c r="K4" i="2"/>
  <c r="T4" i="3" s="1"/>
  <c r="K5" i="2"/>
  <c r="T5" i="3" s="1"/>
  <c r="K6" i="2"/>
  <c r="T6" i="5" s="1"/>
  <c r="K7" i="2"/>
  <c r="T7" i="5" s="1"/>
  <c r="K8" i="2"/>
  <c r="T8" i="5" s="1"/>
  <c r="K9" i="2"/>
  <c r="T9" i="4" s="1"/>
  <c r="K10" i="2"/>
  <c r="T10" i="4" s="1"/>
  <c r="K11" i="2"/>
  <c r="T11" i="5" s="1"/>
  <c r="K12" i="2"/>
  <c r="T12" i="5" s="1"/>
  <c r="K13" i="2"/>
  <c r="T13" i="4" s="1"/>
  <c r="K14" i="2"/>
  <c r="T14" i="3" s="1"/>
  <c r="K15" i="2"/>
  <c r="T15" i="5" s="1"/>
  <c r="K16" i="2"/>
  <c r="T16" i="5" s="1"/>
  <c r="K17" i="2"/>
  <c r="T17" i="4" s="1"/>
  <c r="K18" i="2"/>
  <c r="T18" i="3" s="1"/>
  <c r="K19" i="2"/>
  <c r="T19" i="5" s="1"/>
  <c r="K20" i="2"/>
  <c r="T20" i="3" s="1"/>
  <c r="K21" i="2"/>
  <c r="T21" i="3" s="1"/>
  <c r="K22" i="2"/>
  <c r="T22" i="3" s="1"/>
  <c r="K23" i="2"/>
  <c r="T23" i="5" s="1"/>
  <c r="K24" i="2"/>
  <c r="T24" i="5" s="1"/>
  <c r="K25" i="2"/>
  <c r="T25" i="5" s="1"/>
  <c r="K26" i="2"/>
  <c r="T26" i="3" s="1"/>
  <c r="K27" i="2"/>
  <c r="T27" i="5" s="1"/>
  <c r="K28" i="2"/>
  <c r="T28" i="3" s="1"/>
  <c r="K29" i="2"/>
  <c r="T29" i="3" s="1"/>
  <c r="K30" i="2"/>
  <c r="T30" i="3" s="1"/>
  <c r="K31" i="2"/>
  <c r="T31" i="5" s="1"/>
  <c r="K32" i="2"/>
  <c r="T32" i="5" s="1"/>
  <c r="K33" i="2"/>
  <c r="T33" i="5" s="1"/>
  <c r="K34" i="2"/>
  <c r="T34" i="3" s="1"/>
  <c r="K35" i="2"/>
  <c r="T35" i="5" s="1"/>
  <c r="K36" i="2"/>
  <c r="T36" i="3" s="1"/>
  <c r="K37" i="2"/>
  <c r="T37" i="3" s="1"/>
  <c r="K38" i="2"/>
  <c r="T38" i="3" s="1"/>
  <c r="K39" i="2"/>
  <c r="T39" i="5" s="1"/>
  <c r="K40" i="2"/>
  <c r="T40" i="5" s="1"/>
  <c r="K41" i="2"/>
  <c r="T41" i="5" s="1"/>
  <c r="K42" i="2"/>
  <c r="T42" i="3" s="1"/>
  <c r="K43" i="2"/>
  <c r="T43" i="5" s="1"/>
  <c r="K44" i="2"/>
  <c r="T44" i="3" s="1"/>
  <c r="K45" i="2"/>
  <c r="T45" i="3" s="1"/>
  <c r="K46" i="2"/>
  <c r="T46" i="5" s="1"/>
  <c r="K47" i="2"/>
  <c r="T47" i="5" s="1"/>
  <c r="K48" i="2"/>
  <c r="T48" i="5" s="1"/>
  <c r="K49" i="2"/>
  <c r="T49" i="3" s="1"/>
  <c r="K50" i="2"/>
  <c r="T50" i="3" s="1"/>
  <c r="K51" i="2"/>
  <c r="T51" i="5" s="1"/>
  <c r="K52" i="2"/>
  <c r="T52" i="4" s="1"/>
  <c r="K53" i="2"/>
  <c r="T53" i="4" s="1"/>
  <c r="K54" i="2"/>
  <c r="T54" i="3" s="1"/>
  <c r="K55" i="2"/>
  <c r="T55" i="5" s="1"/>
  <c r="K56" i="2"/>
  <c r="T56" i="5" s="1"/>
  <c r="K57" i="2"/>
  <c r="T57" i="3" s="1"/>
  <c r="K58" i="2"/>
  <c r="T58" i="3" s="1"/>
  <c r="K59" i="2"/>
  <c r="T59" i="5" s="1"/>
  <c r="K60" i="2"/>
  <c r="T60" i="4" s="1"/>
  <c r="K61" i="2"/>
  <c r="T61" i="3" s="1"/>
  <c r="K62" i="2"/>
  <c r="T62" i="5" s="1"/>
  <c r="K63" i="2"/>
  <c r="T63" i="5" s="1"/>
  <c r="K64" i="2"/>
  <c r="T64" i="5" s="1"/>
  <c r="K2" i="2"/>
  <c r="T2" i="3" s="1"/>
  <c r="K61" i="3"/>
  <c r="K62" i="3"/>
  <c r="T62" i="3"/>
  <c r="K63" i="3"/>
  <c r="K64" i="3"/>
  <c r="K47" i="3"/>
  <c r="K48" i="3"/>
  <c r="K49" i="3"/>
  <c r="K50" i="3"/>
  <c r="K51" i="3"/>
  <c r="K52" i="3"/>
  <c r="K53" i="3"/>
  <c r="K54" i="3"/>
  <c r="K55" i="3"/>
  <c r="T55" i="3"/>
  <c r="K56" i="3"/>
  <c r="K57" i="3"/>
  <c r="K58" i="3"/>
  <c r="K59" i="3"/>
  <c r="K60" i="3"/>
  <c r="K3" i="3"/>
  <c r="K4" i="3"/>
  <c r="K5" i="3"/>
  <c r="K6" i="3"/>
  <c r="T6" i="3"/>
  <c r="K7" i="3"/>
  <c r="T7" i="3"/>
  <c r="K8" i="3"/>
  <c r="K9" i="3"/>
  <c r="K10" i="3"/>
  <c r="K11" i="3"/>
  <c r="K12" i="3"/>
  <c r="K13" i="3"/>
  <c r="T13" i="3"/>
  <c r="K14" i="3"/>
  <c r="K15" i="3"/>
  <c r="T15" i="3"/>
  <c r="K16" i="3"/>
  <c r="K17" i="3"/>
  <c r="K18" i="3"/>
  <c r="K19" i="3"/>
  <c r="K20" i="3"/>
  <c r="K21" i="3"/>
  <c r="K22" i="3"/>
  <c r="K23" i="3"/>
  <c r="T23" i="3"/>
  <c r="K24" i="3"/>
  <c r="K25" i="3"/>
  <c r="K26" i="3"/>
  <c r="K27" i="3"/>
  <c r="K28" i="3"/>
  <c r="K29" i="3"/>
  <c r="K30" i="3"/>
  <c r="K31" i="3"/>
  <c r="T31" i="3"/>
  <c r="K32" i="3"/>
  <c r="K33" i="3"/>
  <c r="K34" i="3"/>
  <c r="K35" i="3"/>
  <c r="K36" i="3"/>
  <c r="K37" i="3"/>
  <c r="K38" i="3"/>
  <c r="K39" i="3"/>
  <c r="T39" i="3"/>
  <c r="K40" i="3"/>
  <c r="K41" i="3"/>
  <c r="K42" i="3"/>
  <c r="K43" i="3"/>
  <c r="K44" i="3"/>
  <c r="K45" i="3"/>
  <c r="K46" i="3"/>
  <c r="T46" i="3"/>
  <c r="K2" i="3"/>
  <c r="K63" i="4"/>
  <c r="K64" i="4"/>
  <c r="K50" i="4"/>
  <c r="K51" i="4"/>
  <c r="K52" i="4"/>
  <c r="K53" i="4"/>
  <c r="K54" i="4"/>
  <c r="T54" i="4"/>
  <c r="K55" i="4"/>
  <c r="T55" i="4"/>
  <c r="K56" i="4"/>
  <c r="K57" i="4"/>
  <c r="K58" i="4"/>
  <c r="K59" i="4"/>
  <c r="K60" i="4"/>
  <c r="K61" i="4"/>
  <c r="K62" i="4"/>
  <c r="T62" i="4"/>
  <c r="K47" i="4"/>
  <c r="T47" i="4"/>
  <c r="K48" i="4"/>
  <c r="K49" i="4"/>
  <c r="K3" i="4"/>
  <c r="K4" i="4"/>
  <c r="T4" i="4"/>
  <c r="K5" i="4"/>
  <c r="K6" i="4"/>
  <c r="T6" i="4"/>
  <c r="K7" i="4"/>
  <c r="T7" i="4"/>
  <c r="K8" i="4"/>
  <c r="K9" i="4"/>
  <c r="K10" i="4"/>
  <c r="K11" i="4"/>
  <c r="K12" i="4"/>
  <c r="K13" i="4"/>
  <c r="K14" i="4"/>
  <c r="T14" i="4"/>
  <c r="K15" i="4"/>
  <c r="T15" i="4"/>
  <c r="K16" i="4"/>
  <c r="K17" i="4"/>
  <c r="K18" i="4"/>
  <c r="K19" i="4"/>
  <c r="K20" i="4"/>
  <c r="K21" i="4"/>
  <c r="K22" i="4"/>
  <c r="T22" i="4"/>
  <c r="K23" i="4"/>
  <c r="T23" i="4"/>
  <c r="K24" i="4"/>
  <c r="K25" i="4"/>
  <c r="K26" i="4"/>
  <c r="K27" i="4"/>
  <c r="K28" i="4"/>
  <c r="K29" i="4"/>
  <c r="K30" i="4"/>
  <c r="T30" i="4"/>
  <c r="K31" i="4"/>
  <c r="T31" i="4"/>
  <c r="K32" i="4"/>
  <c r="K33" i="4"/>
  <c r="K34" i="4"/>
  <c r="K35" i="4"/>
  <c r="K36" i="4"/>
  <c r="T36" i="4"/>
  <c r="K37" i="4"/>
  <c r="K38" i="4"/>
  <c r="T38" i="4"/>
  <c r="K39" i="4"/>
  <c r="T39" i="4"/>
  <c r="K40" i="4"/>
  <c r="K41" i="4"/>
  <c r="K42" i="4"/>
  <c r="K43" i="4"/>
  <c r="K44" i="4"/>
  <c r="K45" i="4"/>
  <c r="K46" i="4"/>
  <c r="T46" i="4"/>
  <c r="K2" i="4"/>
  <c r="T64" i="3" l="1"/>
  <c r="T9" i="3"/>
  <c r="T47" i="3"/>
  <c r="T3" i="4"/>
  <c r="T63" i="4"/>
  <c r="T19" i="4"/>
  <c r="T48" i="4"/>
  <c r="T63" i="3"/>
  <c r="T16" i="3"/>
  <c r="T12" i="4"/>
  <c r="T28" i="4"/>
  <c r="T11" i="4"/>
  <c r="T52" i="3"/>
  <c r="T44" i="4"/>
  <c r="T12" i="3"/>
  <c r="T20" i="4"/>
  <c r="T50" i="4"/>
  <c r="T11" i="3"/>
  <c r="T59" i="3"/>
  <c r="T27" i="3"/>
  <c r="T32" i="3"/>
  <c r="T19" i="3"/>
  <c r="T56" i="3"/>
  <c r="T51" i="3"/>
  <c r="T43" i="4"/>
  <c r="T59" i="4"/>
  <c r="T43" i="3"/>
  <c r="T58" i="4"/>
  <c r="T24" i="3"/>
  <c r="T3" i="3"/>
  <c r="T35" i="3"/>
  <c r="T27" i="4"/>
  <c r="T35" i="4"/>
  <c r="T24" i="4"/>
  <c r="T51" i="4"/>
  <c r="T40" i="3"/>
  <c r="T17" i="5"/>
  <c r="T64" i="4"/>
  <c r="T33" i="3"/>
  <c r="T17" i="3"/>
  <c r="T8" i="3"/>
  <c r="T9" i="5"/>
  <c r="T41" i="4"/>
  <c r="T32" i="4"/>
  <c r="T40" i="4"/>
  <c r="T8" i="4"/>
  <c r="T48" i="3"/>
  <c r="T33" i="4"/>
  <c r="T56" i="4"/>
  <c r="T41" i="3"/>
  <c r="T25" i="3"/>
  <c r="T25" i="4"/>
  <c r="T16" i="4"/>
  <c r="T44" i="5"/>
  <c r="T36" i="5"/>
  <c r="T28" i="5"/>
  <c r="T20" i="5"/>
  <c r="T4" i="5"/>
  <c r="T60" i="5"/>
  <c r="T52" i="5"/>
  <c r="T2" i="5"/>
  <c r="T50" i="5"/>
  <c r="T42" i="5"/>
  <c r="T38" i="5"/>
  <c r="T34" i="5"/>
  <c r="T30" i="5"/>
  <c r="T26" i="5"/>
  <c r="T22" i="5"/>
  <c r="T18" i="5"/>
  <c r="T14" i="5"/>
  <c r="T10" i="5"/>
  <c r="T58" i="5"/>
  <c r="T54" i="5"/>
  <c r="T60" i="3"/>
  <c r="T49" i="5"/>
  <c r="T45" i="5"/>
  <c r="T37" i="5"/>
  <c r="T29" i="5"/>
  <c r="T21" i="5"/>
  <c r="T13" i="5"/>
  <c r="T5" i="5"/>
  <c r="T61" i="5"/>
  <c r="T57" i="5"/>
  <c r="T53" i="5"/>
  <c r="T45" i="4"/>
  <c r="T37" i="4"/>
  <c r="T29" i="4"/>
  <c r="T21" i="4"/>
  <c r="T5" i="4"/>
  <c r="T10" i="3"/>
  <c r="T42" i="4"/>
  <c r="T34" i="4"/>
  <c r="T26" i="4"/>
  <c r="T18" i="4"/>
  <c r="T49" i="4"/>
  <c r="T57" i="4"/>
  <c r="T53" i="3"/>
  <c r="T61" i="4"/>
  <c r="T2" i="4"/>
  <c r="B8" i="1"/>
  <c r="C7" i="1" s="1"/>
  <c r="H7" i="1" s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61" i="1"/>
  <c r="B60" i="1"/>
  <c r="B64" i="1"/>
  <c r="B56" i="1"/>
  <c r="B59" i="1"/>
  <c r="B58" i="1"/>
  <c r="B68" i="1"/>
  <c r="B66" i="1"/>
  <c r="B62" i="1"/>
  <c r="B67" i="1"/>
  <c r="B69" i="1"/>
  <c r="B63" i="1"/>
  <c r="B65" i="1"/>
  <c r="B57" i="1"/>
  <c r="C8" i="1" l="1"/>
  <c r="C47" i="1"/>
  <c r="C66" i="1"/>
  <c r="C61" i="1"/>
  <c r="C20" i="1"/>
  <c r="C59" i="1"/>
  <c r="C44" i="1"/>
  <c r="C12" i="1"/>
  <c r="C62" i="1"/>
  <c r="C32" i="1"/>
  <c r="C24" i="1"/>
  <c r="C43" i="1"/>
  <c r="C36" i="1"/>
  <c r="C35" i="1"/>
  <c r="C63" i="1"/>
  <c r="C51" i="1"/>
  <c r="C9" i="1"/>
  <c r="C48" i="1"/>
  <c r="C40" i="1"/>
  <c r="C65" i="1"/>
  <c r="C27" i="1"/>
  <c r="C16" i="1"/>
  <c r="C55" i="1"/>
  <c r="C52" i="1"/>
  <c r="C28" i="1"/>
  <c r="C56" i="1"/>
  <c r="C68" i="1"/>
  <c r="C54" i="1"/>
  <c r="C46" i="1"/>
  <c r="C38" i="1"/>
  <c r="C30" i="1"/>
  <c r="C22" i="1"/>
  <c r="C14" i="1"/>
  <c r="C39" i="1"/>
  <c r="C31" i="1"/>
  <c r="C23" i="1"/>
  <c r="C15" i="1"/>
  <c r="C57" i="1"/>
  <c r="C58" i="1"/>
  <c r="C53" i="1"/>
  <c r="C45" i="1"/>
  <c r="C37" i="1"/>
  <c r="C29" i="1"/>
  <c r="C21" i="1"/>
  <c r="C13" i="1"/>
  <c r="C19" i="1"/>
  <c r="C69" i="1"/>
  <c r="C64" i="1"/>
  <c r="C50" i="1"/>
  <c r="C42" i="1"/>
  <c r="C34" i="1"/>
  <c r="C26" i="1"/>
  <c r="C18" i="1"/>
  <c r="C10" i="1"/>
  <c r="C11" i="1"/>
  <c r="C67" i="1"/>
  <c r="C60" i="1"/>
  <c r="C49" i="1"/>
  <c r="C41" i="1"/>
  <c r="C33" i="1"/>
  <c r="C25" i="1"/>
  <c r="C17" i="1"/>
  <c r="G1" i="5"/>
  <c r="G1" i="4"/>
  <c r="G1" i="3"/>
  <c r="M8" i="1" l="1"/>
  <c r="M9" i="1"/>
  <c r="M10" i="1"/>
  <c r="M11" i="1"/>
  <c r="M7" i="1"/>
  <c r="AB15" i="2" l="1"/>
  <c r="AB14" i="2" l="1"/>
  <c r="AA8" i="2"/>
  <c r="AA9" i="2"/>
  <c r="AA10" i="2"/>
  <c r="AA11" i="2"/>
  <c r="AA12" i="2"/>
  <c r="AA13" i="2"/>
  <c r="AA7" i="2"/>
  <c r="AA15" i="2" l="1"/>
  <c r="AA14" i="2"/>
  <c r="H12" i="1" l="1"/>
  <c r="I12" i="1" s="1"/>
  <c r="H8" i="1"/>
  <c r="I8" i="1" s="1"/>
  <c r="H31" i="1"/>
  <c r="I31" i="1" s="1"/>
  <c r="H32" i="1"/>
  <c r="I32" i="1" s="1"/>
  <c r="H24" i="1"/>
  <c r="I24" i="1" s="1"/>
  <c r="H21" i="1" l="1"/>
  <c r="I21" i="1" s="1"/>
  <c r="H23" i="1"/>
  <c r="I23" i="1" s="1"/>
  <c r="I7" i="1"/>
  <c r="H42" i="1"/>
  <c r="H29" i="1"/>
  <c r="I29" i="1" s="1"/>
  <c r="H35" i="1"/>
  <c r="I35" i="1" s="1"/>
  <c r="I42" i="1" l="1"/>
  <c r="H11" i="1"/>
  <c r="H46" i="1"/>
  <c r="H38" i="1"/>
  <c r="H9" i="1"/>
  <c r="I9" i="1" s="1"/>
  <c r="I46" i="1" l="1"/>
  <c r="I38" i="1"/>
  <c r="H37" i="1"/>
  <c r="H51" i="1"/>
  <c r="H39" i="1"/>
  <c r="H16" i="1"/>
  <c r="H15" i="1"/>
  <c r="I11" i="1"/>
  <c r="H36" i="1" l="1"/>
  <c r="H19" i="1"/>
  <c r="I39" i="1"/>
  <c r="I51" i="1"/>
  <c r="H28" i="1"/>
  <c r="H48" i="1"/>
  <c r="I15" i="1"/>
  <c r="I37" i="1"/>
  <c r="H47" i="1"/>
  <c r="I16" i="1"/>
  <c r="H10" i="1" l="1"/>
  <c r="I48" i="1"/>
  <c r="I19" i="1"/>
  <c r="H25" i="1"/>
  <c r="H40" i="1"/>
  <c r="H30" i="1"/>
  <c r="I47" i="1"/>
  <c r="I28" i="1"/>
  <c r="H33" i="1"/>
  <c r="I36" i="1"/>
  <c r="H44" i="1" l="1"/>
  <c r="I25" i="1"/>
  <c r="H43" i="1"/>
  <c r="I30" i="1"/>
  <c r="H41" i="1"/>
  <c r="H17" i="1"/>
  <c r="H13" i="1"/>
  <c r="I33" i="1"/>
  <c r="I40" i="1"/>
  <c r="I10" i="1"/>
  <c r="H14" i="1" l="1"/>
  <c r="H20" i="1"/>
  <c r="I13" i="1"/>
  <c r="I43" i="1"/>
  <c r="H26" i="1"/>
  <c r="I17" i="1"/>
  <c r="H49" i="1"/>
  <c r="H27" i="1"/>
  <c r="I41" i="1"/>
  <c r="I44" i="1"/>
  <c r="H34" i="1" l="1"/>
  <c r="P9" i="1" s="1"/>
  <c r="H45" i="1"/>
  <c r="I49" i="1"/>
  <c r="H22" i="1"/>
  <c r="I27" i="1"/>
  <c r="I20" i="1"/>
  <c r="H18" i="1"/>
  <c r="H50" i="1"/>
  <c r="I26" i="1"/>
  <c r="I14" i="1"/>
  <c r="H55" i="1" l="1"/>
  <c r="I22" i="1"/>
  <c r="H54" i="1"/>
  <c r="I50" i="1"/>
  <c r="H52" i="1"/>
  <c r="I18" i="1"/>
  <c r="H61" i="1"/>
  <c r="H53" i="1"/>
  <c r="I45" i="1"/>
  <c r="I34" i="1"/>
  <c r="H58" i="1" l="1"/>
  <c r="P11" i="1" s="1"/>
  <c r="H69" i="1"/>
  <c r="P10" i="1" s="1"/>
  <c r="I54" i="1"/>
  <c r="H64" i="1"/>
  <c r="I53" i="1"/>
  <c r="I61" i="1"/>
  <c r="H56" i="1"/>
  <c r="H60" i="1"/>
  <c r="H59" i="1"/>
  <c r="H67" i="1"/>
  <c r="I52" i="1"/>
  <c r="J52" i="1"/>
  <c r="I55" i="1"/>
  <c r="P7" i="1" l="1"/>
  <c r="I67" i="1"/>
  <c r="I59" i="1"/>
  <c r="H66" i="1"/>
  <c r="H65" i="1"/>
  <c r="I60" i="1"/>
  <c r="I64" i="1"/>
  <c r="H63" i="1"/>
  <c r="H68" i="1"/>
  <c r="I69" i="1"/>
  <c r="H62" i="1"/>
  <c r="H57" i="1"/>
  <c r="P8" i="1" s="1"/>
  <c r="I56" i="1"/>
  <c r="I58" i="1"/>
  <c r="I57" i="1" l="1"/>
  <c r="F2" i="1"/>
  <c r="J69" i="1" s="1"/>
  <c r="J64" i="2" s="1"/>
  <c r="J65" i="1"/>
  <c r="I65" i="1"/>
  <c r="I62" i="1"/>
  <c r="J66" i="1"/>
  <c r="I66" i="1"/>
  <c r="I68" i="1"/>
  <c r="I63" i="1"/>
  <c r="J68" i="1" l="1"/>
  <c r="S64" i="5"/>
  <c r="S64" i="4"/>
  <c r="S64" i="3"/>
  <c r="R64" i="2"/>
  <c r="N64" i="2"/>
  <c r="S64" i="2"/>
  <c r="O64" i="2"/>
  <c r="Q64" i="2"/>
  <c r="T64" i="2"/>
  <c r="M64" i="2"/>
  <c r="P64" i="2"/>
  <c r="J67" i="1"/>
  <c r="J57" i="1"/>
  <c r="J63" i="1"/>
  <c r="J62" i="1"/>
  <c r="J8" i="1"/>
  <c r="J12" i="1"/>
  <c r="J39" i="1"/>
  <c r="J16" i="1"/>
  <c r="J28" i="1"/>
  <c r="J13" i="1"/>
  <c r="J44" i="1"/>
  <c r="J49" i="1"/>
  <c r="J14" i="1"/>
  <c r="J20" i="1"/>
  <c r="J45" i="1"/>
  <c r="J22" i="1"/>
  <c r="J17" i="2" s="1"/>
  <c r="J59" i="1"/>
  <c r="J54" i="2" s="1"/>
  <c r="J56" i="1"/>
  <c r="J51" i="2" s="1"/>
  <c r="J64" i="1"/>
  <c r="J29" i="1"/>
  <c r="J35" i="1"/>
  <c r="J32" i="1"/>
  <c r="J21" i="1"/>
  <c r="J42" i="1"/>
  <c r="J23" i="1"/>
  <c r="J31" i="1"/>
  <c r="J9" i="1"/>
  <c r="J24" i="1"/>
  <c r="J7" i="1"/>
  <c r="J11" i="1"/>
  <c r="J6" i="2" s="1"/>
  <c r="J38" i="1"/>
  <c r="J46" i="1"/>
  <c r="J41" i="2" s="1"/>
  <c r="J51" i="1"/>
  <c r="J37" i="1"/>
  <c r="J15" i="1"/>
  <c r="J19" i="1"/>
  <c r="J10" i="1"/>
  <c r="J47" i="1"/>
  <c r="J42" i="2" s="1"/>
  <c r="J40" i="1"/>
  <c r="J48" i="1"/>
  <c r="J36" i="1"/>
  <c r="J33" i="1"/>
  <c r="J25" i="1"/>
  <c r="J41" i="1"/>
  <c r="J17" i="1"/>
  <c r="J30" i="1"/>
  <c r="J43" i="1"/>
  <c r="J38" i="2" s="1"/>
  <c r="J27" i="1"/>
  <c r="J26" i="1"/>
  <c r="J21" i="2" s="1"/>
  <c r="J50" i="1"/>
  <c r="J18" i="1"/>
  <c r="J13" i="2" s="1"/>
  <c r="J34" i="1"/>
  <c r="J29" i="2" s="1"/>
  <c r="J61" i="1"/>
  <c r="J56" i="2" s="1"/>
  <c r="J54" i="1"/>
  <c r="J55" i="1"/>
  <c r="J53" i="1"/>
  <c r="J60" i="1"/>
  <c r="J58" i="1"/>
  <c r="J53" i="2" s="1"/>
  <c r="J46" i="2" l="1"/>
  <c r="P46" i="2" s="1"/>
  <c r="J40" i="2"/>
  <c r="S40" i="4" s="1"/>
  <c r="J25" i="2"/>
  <c r="P25" i="2" s="1"/>
  <c r="J49" i="2"/>
  <c r="S49" i="3" s="1"/>
  <c r="J12" i="2"/>
  <c r="N12" i="2" s="1"/>
  <c r="J5" i="2"/>
  <c r="S5" i="2" s="1"/>
  <c r="J36" i="2"/>
  <c r="M36" i="2" s="1"/>
  <c r="J44" i="2"/>
  <c r="S44" i="4" s="1"/>
  <c r="J10" i="2"/>
  <c r="Q10" i="2" s="1"/>
  <c r="J4" i="2"/>
  <c r="Q4" i="2" s="1"/>
  <c r="J45" i="2"/>
  <c r="S45" i="4" s="1"/>
  <c r="J55" i="2"/>
  <c r="S55" i="2" s="1"/>
  <c r="J31" i="2"/>
  <c r="P31" i="2" s="1"/>
  <c r="J22" i="2"/>
  <c r="Q22" i="2" s="1"/>
  <c r="J43" i="2"/>
  <c r="N43" i="2" s="1"/>
  <c r="J23" i="2"/>
  <c r="S23" i="5" s="1"/>
  <c r="J48" i="2"/>
  <c r="M48" i="2" s="1"/>
  <c r="J33" i="2"/>
  <c r="O33" i="2" s="1"/>
  <c r="J18" i="2"/>
  <c r="R18" i="2" s="1"/>
  <c r="J62" i="2"/>
  <c r="N62" i="2" s="1"/>
  <c r="J37" i="2"/>
  <c r="S37" i="3" s="1"/>
  <c r="J11" i="2"/>
  <c r="S11" i="5" s="1"/>
  <c r="J50" i="2"/>
  <c r="S50" i="4" s="1"/>
  <c r="J16" i="2"/>
  <c r="S16" i="4" s="1"/>
  <c r="J34" i="2"/>
  <c r="O34" i="2" s="1"/>
  <c r="J27" i="2"/>
  <c r="S27" i="5" s="1"/>
  <c r="J15" i="2"/>
  <c r="R15" i="2" s="1"/>
  <c r="J7" i="2"/>
  <c r="Q7" i="2" s="1"/>
  <c r="J30" i="2"/>
  <c r="S30" i="2" s="1"/>
  <c r="J9" i="2"/>
  <c r="T9" i="2" s="1"/>
  <c r="J14" i="2"/>
  <c r="S14" i="2" s="1"/>
  <c r="J24" i="2"/>
  <c r="S24" i="5" s="1"/>
  <c r="J57" i="2"/>
  <c r="S57" i="5" s="1"/>
  <c r="J60" i="2"/>
  <c r="J59" i="2"/>
  <c r="M59" i="2" s="1"/>
  <c r="J39" i="2"/>
  <c r="S39" i="4" s="1"/>
  <c r="J58" i="2"/>
  <c r="M58" i="2" s="1"/>
  <c r="J63" i="2"/>
  <c r="J47" i="2"/>
  <c r="J28" i="2"/>
  <c r="S28" i="2" s="1"/>
  <c r="J26" i="2"/>
  <c r="S26" i="5" s="1"/>
  <c r="J8" i="2"/>
  <c r="S8" i="4" s="1"/>
  <c r="J52" i="2"/>
  <c r="S52" i="5" s="1"/>
  <c r="J61" i="2"/>
  <c r="P51" i="2"/>
  <c r="S51" i="5"/>
  <c r="S51" i="3"/>
  <c r="S51" i="4"/>
  <c r="Q51" i="2"/>
  <c r="O51" i="2"/>
  <c r="T51" i="2"/>
  <c r="M51" i="2"/>
  <c r="S51" i="2"/>
  <c r="N51" i="2"/>
  <c r="R51" i="2"/>
  <c r="O10" i="1"/>
  <c r="J20" i="2"/>
  <c r="J32" i="2"/>
  <c r="S55" i="5"/>
  <c r="S55" i="4"/>
  <c r="S21" i="5"/>
  <c r="S21" i="4"/>
  <c r="S21" i="3"/>
  <c r="S21" i="2"/>
  <c r="T21" i="2"/>
  <c r="Q21" i="2"/>
  <c r="M21" i="2"/>
  <c r="R21" i="2"/>
  <c r="N21" i="2"/>
  <c r="O21" i="2"/>
  <c r="P21" i="2"/>
  <c r="S46" i="4"/>
  <c r="T46" i="2"/>
  <c r="N54" i="2"/>
  <c r="S54" i="3"/>
  <c r="S54" i="5"/>
  <c r="S54" i="4"/>
  <c r="M54" i="2"/>
  <c r="S54" i="2"/>
  <c r="Q54" i="2"/>
  <c r="O54" i="2"/>
  <c r="P54" i="2"/>
  <c r="T54" i="2"/>
  <c r="R54" i="2"/>
  <c r="N10" i="2"/>
  <c r="S48" i="2"/>
  <c r="R48" i="2"/>
  <c r="S41" i="5"/>
  <c r="S41" i="3"/>
  <c r="S41" i="4"/>
  <c r="M41" i="2"/>
  <c r="S41" i="2"/>
  <c r="N41" i="2"/>
  <c r="O41" i="2"/>
  <c r="P41" i="2"/>
  <c r="Q41" i="2"/>
  <c r="T41" i="2"/>
  <c r="R41" i="2"/>
  <c r="S17" i="5"/>
  <c r="S17" i="3"/>
  <c r="S17" i="4"/>
  <c r="M17" i="2"/>
  <c r="N17" i="2"/>
  <c r="O17" i="2"/>
  <c r="P17" i="2"/>
  <c r="Q17" i="2"/>
  <c r="S17" i="2"/>
  <c r="R17" i="2"/>
  <c r="T17" i="2"/>
  <c r="S29" i="5"/>
  <c r="S29" i="4"/>
  <c r="S29" i="3"/>
  <c r="R29" i="2"/>
  <c r="S29" i="2"/>
  <c r="O29" i="2"/>
  <c r="T29" i="2"/>
  <c r="Q29" i="2"/>
  <c r="M29" i="2"/>
  <c r="N29" i="2"/>
  <c r="P29" i="2"/>
  <c r="S13" i="5"/>
  <c r="S13" i="4"/>
  <c r="S13" i="3"/>
  <c r="S13" i="2"/>
  <c r="T13" i="2"/>
  <c r="M13" i="2"/>
  <c r="Q13" i="2"/>
  <c r="N13" i="2"/>
  <c r="O13" i="2"/>
  <c r="R13" i="2"/>
  <c r="P13" i="2"/>
  <c r="M39" i="2"/>
  <c r="N39" i="2"/>
  <c r="S33" i="4"/>
  <c r="T33" i="2"/>
  <c r="R40" i="2"/>
  <c r="M40" i="2"/>
  <c r="S34" i="4"/>
  <c r="S53" i="5"/>
  <c r="S53" i="3"/>
  <c r="S53" i="4"/>
  <c r="M53" i="2"/>
  <c r="S53" i="2"/>
  <c r="R53" i="2"/>
  <c r="P53" i="2"/>
  <c r="Q53" i="2"/>
  <c r="O53" i="2"/>
  <c r="N53" i="2"/>
  <c r="T53" i="2"/>
  <c r="O11" i="1"/>
  <c r="J35" i="2"/>
  <c r="N49" i="2"/>
  <c r="S49" i="2"/>
  <c r="S25" i="5"/>
  <c r="M25" i="2"/>
  <c r="N25" i="2"/>
  <c r="R25" i="2"/>
  <c r="S42" i="5"/>
  <c r="S42" i="3"/>
  <c r="S42" i="4"/>
  <c r="T42" i="2"/>
  <c r="O42" i="2"/>
  <c r="M42" i="2"/>
  <c r="P42" i="2"/>
  <c r="Q42" i="2"/>
  <c r="R42" i="2"/>
  <c r="S42" i="2"/>
  <c r="N42" i="2"/>
  <c r="S6" i="5"/>
  <c r="S6" i="3"/>
  <c r="S6" i="4"/>
  <c r="P6" i="2"/>
  <c r="O6" i="2"/>
  <c r="Q6" i="2"/>
  <c r="R6" i="2"/>
  <c r="N6" i="2"/>
  <c r="S6" i="2"/>
  <c r="T6" i="2"/>
  <c r="M6" i="2"/>
  <c r="S27" i="3"/>
  <c r="R27" i="2"/>
  <c r="M7" i="2"/>
  <c r="N7" i="2"/>
  <c r="J19" i="2"/>
  <c r="S4" i="5"/>
  <c r="S4" i="3"/>
  <c r="S4" i="4"/>
  <c r="S4" i="2"/>
  <c r="T4" i="2"/>
  <c r="R4" i="2"/>
  <c r="N4" i="2"/>
  <c r="P4" i="2"/>
  <c r="O4" i="2"/>
  <c r="S38" i="5"/>
  <c r="S38" i="3"/>
  <c r="S38" i="4"/>
  <c r="R38" i="2"/>
  <c r="S38" i="2"/>
  <c r="P38" i="2"/>
  <c r="T38" i="2"/>
  <c r="M38" i="2"/>
  <c r="N38" i="2"/>
  <c r="Q38" i="2"/>
  <c r="O38" i="2"/>
  <c r="S56" i="5"/>
  <c r="S56" i="3"/>
  <c r="S56" i="4"/>
  <c r="N56" i="2"/>
  <c r="M56" i="2"/>
  <c r="R56" i="2"/>
  <c r="S56" i="2"/>
  <c r="P56" i="2"/>
  <c r="Q56" i="2"/>
  <c r="O56" i="2"/>
  <c r="T56" i="2"/>
  <c r="J2" i="2"/>
  <c r="J3" i="2"/>
  <c r="O7" i="1"/>
  <c r="O9" i="1"/>
  <c r="B1" i="5"/>
  <c r="B1" i="4"/>
  <c r="O8" i="1"/>
  <c r="B1" i="3"/>
  <c r="G2" i="1"/>
  <c r="O25" i="2" l="1"/>
  <c r="N45" i="2"/>
  <c r="T25" i="2"/>
  <c r="S25" i="4"/>
  <c r="S25" i="2"/>
  <c r="S25" i="3"/>
  <c r="Q25" i="2"/>
  <c r="P62" i="2"/>
  <c r="T55" i="2"/>
  <c r="Q49" i="2"/>
  <c r="M55" i="2"/>
  <c r="O7" i="2"/>
  <c r="T49" i="2"/>
  <c r="S39" i="3"/>
  <c r="S55" i="3"/>
  <c r="S7" i="3"/>
  <c r="M49" i="2"/>
  <c r="S39" i="5"/>
  <c r="R62" i="2"/>
  <c r="S49" i="5"/>
  <c r="Q62" i="2"/>
  <c r="T7" i="2"/>
  <c r="M62" i="2"/>
  <c r="S7" i="4"/>
  <c r="S39" i="2"/>
  <c r="S62" i="4"/>
  <c r="N55" i="2"/>
  <c r="S7" i="5"/>
  <c r="R39" i="2"/>
  <c r="P55" i="2"/>
  <c r="P7" i="2"/>
  <c r="Q39" i="2"/>
  <c r="R55" i="2"/>
  <c r="S59" i="4"/>
  <c r="M9" i="2"/>
  <c r="Q48" i="2"/>
  <c r="R46" i="2"/>
  <c r="P48" i="2"/>
  <c r="T10" i="2"/>
  <c r="T34" i="2"/>
  <c r="S10" i="3"/>
  <c r="O46" i="2"/>
  <c r="M30" i="2"/>
  <c r="S30" i="4"/>
  <c r="S62" i="2"/>
  <c r="S62" i="3"/>
  <c r="O55" i="2"/>
  <c r="S7" i="2"/>
  <c r="P49" i="2"/>
  <c r="P39" i="2"/>
  <c r="P12" i="2"/>
  <c r="R7" i="2"/>
  <c r="R49" i="2"/>
  <c r="S49" i="4"/>
  <c r="Q58" i="2"/>
  <c r="O39" i="2"/>
  <c r="T62" i="2"/>
  <c r="S62" i="5"/>
  <c r="Q55" i="2"/>
  <c r="S12" i="3"/>
  <c r="O49" i="2"/>
  <c r="S58" i="4"/>
  <c r="T39" i="2"/>
  <c r="O62" i="2"/>
  <c r="Q5" i="2"/>
  <c r="S23" i="2"/>
  <c r="T31" i="2"/>
  <c r="P5" i="2"/>
  <c r="T5" i="2"/>
  <c r="S5" i="4"/>
  <c r="P16" i="2"/>
  <c r="S37" i="2"/>
  <c r="S31" i="3"/>
  <c r="M44" i="2"/>
  <c r="N28" i="2"/>
  <c r="R5" i="2"/>
  <c r="R22" i="2"/>
  <c r="N5" i="2"/>
  <c r="M50" i="2"/>
  <c r="S14" i="4"/>
  <c r="T36" i="2"/>
  <c r="M5" i="2"/>
  <c r="S5" i="5"/>
  <c r="S50" i="5"/>
  <c r="O14" i="2"/>
  <c r="S5" i="3"/>
  <c r="S9" i="2"/>
  <c r="O5" i="2"/>
  <c r="N11" i="2"/>
  <c r="M11" i="2"/>
  <c r="M43" i="2"/>
  <c r="M22" i="2"/>
  <c r="M28" i="2"/>
  <c r="T40" i="2"/>
  <c r="S16" i="3"/>
  <c r="S48" i="3"/>
  <c r="T44" i="2"/>
  <c r="S46" i="3"/>
  <c r="Q28" i="2"/>
  <c r="O40" i="2"/>
  <c r="Q33" i="2"/>
  <c r="S48" i="4"/>
  <c r="S44" i="2"/>
  <c r="S46" i="5"/>
  <c r="S40" i="3"/>
  <c r="S33" i="2"/>
  <c r="R10" i="2"/>
  <c r="S28" i="4"/>
  <c r="S28" i="3"/>
  <c r="T27" i="2"/>
  <c r="S40" i="5"/>
  <c r="N33" i="2"/>
  <c r="P10" i="2"/>
  <c r="M46" i="2"/>
  <c r="P28" i="2"/>
  <c r="S28" i="5"/>
  <c r="M16" i="2"/>
  <c r="R28" i="2"/>
  <c r="S16" i="2"/>
  <c r="O23" i="2"/>
  <c r="S24" i="4"/>
  <c r="O28" i="2"/>
  <c r="Q16" i="2"/>
  <c r="T23" i="2"/>
  <c r="O30" i="2"/>
  <c r="R12" i="2"/>
  <c r="T58" i="2"/>
  <c r="N37" i="2"/>
  <c r="S37" i="5"/>
  <c r="Q31" i="2"/>
  <c r="Q30" i="2"/>
  <c r="T12" i="2"/>
  <c r="T28" i="2"/>
  <c r="M4" i="2"/>
  <c r="O58" i="2"/>
  <c r="R34" i="2"/>
  <c r="Q40" i="2"/>
  <c r="T16" i="2"/>
  <c r="S16" i="5"/>
  <c r="M33" i="2"/>
  <c r="Q37" i="2"/>
  <c r="T48" i="2"/>
  <c r="S48" i="5"/>
  <c r="O10" i="2"/>
  <c r="S44" i="3"/>
  <c r="P23" i="2"/>
  <c r="N46" i="2"/>
  <c r="N31" i="2"/>
  <c r="S31" i="4"/>
  <c r="M12" i="2"/>
  <c r="R58" i="2"/>
  <c r="R30" i="2"/>
  <c r="P30" i="2"/>
  <c r="Q12" i="2"/>
  <c r="S12" i="4"/>
  <c r="S58" i="3"/>
  <c r="N34" i="2"/>
  <c r="P40" i="2"/>
  <c r="N16" i="2"/>
  <c r="R33" i="2"/>
  <c r="S33" i="3"/>
  <c r="M37" i="2"/>
  <c r="O48" i="2"/>
  <c r="S10" i="2"/>
  <c r="S10" i="4"/>
  <c r="S44" i="5"/>
  <c r="S23" i="4"/>
  <c r="S46" i="2"/>
  <c r="M31" i="2"/>
  <c r="S31" i="5"/>
  <c r="N30" i="2"/>
  <c r="S30" i="3"/>
  <c r="S12" i="2"/>
  <c r="S12" i="5"/>
  <c r="P58" i="2"/>
  <c r="S58" i="5"/>
  <c r="S34" i="5"/>
  <c r="N40" i="2"/>
  <c r="R16" i="2"/>
  <c r="P33" i="2"/>
  <c r="S33" i="5"/>
  <c r="R57" i="2"/>
  <c r="R37" i="2"/>
  <c r="N48" i="2"/>
  <c r="M10" i="2"/>
  <c r="S10" i="5"/>
  <c r="Q46" i="2"/>
  <c r="O31" i="2"/>
  <c r="T30" i="2"/>
  <c r="S30" i="5"/>
  <c r="O12" i="2"/>
  <c r="S58" i="2"/>
  <c r="N58" i="2"/>
  <c r="S40" i="2"/>
  <c r="O16" i="2"/>
  <c r="Q57" i="2"/>
  <c r="T37" i="2"/>
  <c r="N44" i="2"/>
  <c r="S31" i="2"/>
  <c r="R24" i="2"/>
  <c r="P37" i="2"/>
  <c r="S37" i="4"/>
  <c r="R31" i="2"/>
  <c r="O37" i="2"/>
  <c r="S50" i="2"/>
  <c r="S50" i="3"/>
  <c r="R14" i="2"/>
  <c r="R43" i="2"/>
  <c r="O36" i="2"/>
  <c r="Q50" i="2"/>
  <c r="N50" i="2"/>
  <c r="N14" i="2"/>
  <c r="S14" i="3"/>
  <c r="Q43" i="2"/>
  <c r="S36" i="3"/>
  <c r="P50" i="2"/>
  <c r="P14" i="2"/>
  <c r="S14" i="5"/>
  <c r="T43" i="2"/>
  <c r="S36" i="4"/>
  <c r="T50" i="2"/>
  <c r="M14" i="2"/>
  <c r="S43" i="5"/>
  <c r="R50" i="2"/>
  <c r="Q14" i="2"/>
  <c r="M24" i="2"/>
  <c r="O50" i="2"/>
  <c r="T14" i="2"/>
  <c r="T24" i="2"/>
  <c r="S36" i="2"/>
  <c r="S24" i="2"/>
  <c r="R36" i="2"/>
  <c r="Q45" i="2"/>
  <c r="S18" i="5"/>
  <c r="S45" i="3"/>
  <c r="N15" i="2"/>
  <c r="Q15" i="2"/>
  <c r="S15" i="5"/>
  <c r="S52" i="2"/>
  <c r="T18" i="2"/>
  <c r="S52" i="3"/>
  <c r="O9" i="2"/>
  <c r="P15" i="2"/>
  <c r="S15" i="4"/>
  <c r="O45" i="2"/>
  <c r="S45" i="5"/>
  <c r="R11" i="2"/>
  <c r="P43" i="2"/>
  <c r="S43" i="4"/>
  <c r="T22" i="2"/>
  <c r="Q44" i="2"/>
  <c r="R23" i="2"/>
  <c r="Q18" i="2"/>
  <c r="S18" i="4"/>
  <c r="Q24" i="2"/>
  <c r="R52" i="2"/>
  <c r="O59" i="2"/>
  <c r="Q36" i="2"/>
  <c r="S36" i="5"/>
  <c r="M18" i="2"/>
  <c r="P52" i="2"/>
  <c r="T59" i="2"/>
  <c r="N9" i="2"/>
  <c r="O15" i="2"/>
  <c r="S15" i="3"/>
  <c r="R45" i="2"/>
  <c r="Q11" i="2"/>
  <c r="S43" i="2"/>
  <c r="S43" i="3"/>
  <c r="S22" i="2"/>
  <c r="P44" i="2"/>
  <c r="Q23" i="2"/>
  <c r="S18" i="2"/>
  <c r="S18" i="3"/>
  <c r="P24" i="2"/>
  <c r="Q52" i="2"/>
  <c r="Q59" i="2"/>
  <c r="P36" i="2"/>
  <c r="R9" i="2"/>
  <c r="S9" i="3"/>
  <c r="M15" i="2"/>
  <c r="M45" i="2"/>
  <c r="T11" i="2"/>
  <c r="O43" i="2"/>
  <c r="O22" i="2"/>
  <c r="S22" i="3"/>
  <c r="R44" i="2"/>
  <c r="N23" i="2"/>
  <c r="S23" i="3"/>
  <c r="P18" i="2"/>
  <c r="O24" i="2"/>
  <c r="S24" i="3"/>
  <c r="T52" i="2"/>
  <c r="R59" i="2"/>
  <c r="S59" i="5"/>
  <c r="N36" i="2"/>
  <c r="Q9" i="2"/>
  <c r="S9" i="4"/>
  <c r="T15" i="2"/>
  <c r="T45" i="2"/>
  <c r="P11" i="2"/>
  <c r="S11" i="4"/>
  <c r="P22" i="2"/>
  <c r="S22" i="4"/>
  <c r="O44" i="2"/>
  <c r="M23" i="2"/>
  <c r="O18" i="2"/>
  <c r="N24" i="2"/>
  <c r="O52" i="2"/>
  <c r="N59" i="2"/>
  <c r="S59" i="3"/>
  <c r="P9" i="2"/>
  <c r="S9" i="5"/>
  <c r="S15" i="2"/>
  <c r="S45" i="2"/>
  <c r="O11" i="2"/>
  <c r="S11" i="3"/>
  <c r="N22" i="2"/>
  <c r="S22" i="5"/>
  <c r="N18" i="2"/>
  <c r="M52" i="2"/>
  <c r="S52" i="4"/>
  <c r="S59" i="2"/>
  <c r="P59" i="2"/>
  <c r="P45" i="2"/>
  <c r="S11" i="2"/>
  <c r="N52" i="2"/>
  <c r="O27" i="2"/>
  <c r="S27" i="2"/>
  <c r="O8" i="2"/>
  <c r="N27" i="2"/>
  <c r="R8" i="2"/>
  <c r="M27" i="2"/>
  <c r="S8" i="5"/>
  <c r="Q27" i="2"/>
  <c r="S27" i="4"/>
  <c r="P27" i="2"/>
  <c r="S34" i="2"/>
  <c r="S34" i="3"/>
  <c r="O57" i="2"/>
  <c r="Q34" i="2"/>
  <c r="M57" i="2"/>
  <c r="Q8" i="2"/>
  <c r="M34" i="2"/>
  <c r="N57" i="2"/>
  <c r="P34" i="2"/>
  <c r="T57" i="2"/>
  <c r="S57" i="4"/>
  <c r="S8" i="3"/>
  <c r="P57" i="2"/>
  <c r="S57" i="3"/>
  <c r="S57" i="2"/>
  <c r="N8" i="2"/>
  <c r="T8" i="2"/>
  <c r="R26" i="2"/>
  <c r="T26" i="2"/>
  <c r="P26" i="2"/>
  <c r="T60" i="2"/>
  <c r="S60" i="3"/>
  <c r="M60" i="2"/>
  <c r="S60" i="5"/>
  <c r="R60" i="2"/>
  <c r="S60" i="4"/>
  <c r="N60" i="2"/>
  <c r="P60" i="2"/>
  <c r="S60" i="2"/>
  <c r="Q60" i="2"/>
  <c r="O60" i="2"/>
  <c r="S8" i="2"/>
  <c r="Q26" i="2"/>
  <c r="N47" i="2"/>
  <c r="T47" i="2"/>
  <c r="S47" i="3"/>
  <c r="R47" i="2"/>
  <c r="S47" i="5"/>
  <c r="P47" i="2"/>
  <c r="M47" i="2"/>
  <c r="S47" i="4"/>
  <c r="Q47" i="2"/>
  <c r="S47" i="2"/>
  <c r="O47" i="2"/>
  <c r="O26" i="2"/>
  <c r="M63" i="2"/>
  <c r="Q63" i="2"/>
  <c r="O63" i="2"/>
  <c r="N63" i="2"/>
  <c r="T63" i="2"/>
  <c r="S63" i="5"/>
  <c r="R63" i="2"/>
  <c r="S63" i="3"/>
  <c r="P63" i="2"/>
  <c r="S63" i="4"/>
  <c r="S63" i="2"/>
  <c r="N26" i="2"/>
  <c r="S26" i="4"/>
  <c r="P8" i="2"/>
  <c r="M26" i="2"/>
  <c r="S26" i="3"/>
  <c r="S61" i="4"/>
  <c r="Q61" i="2"/>
  <c r="N61" i="2"/>
  <c r="O61" i="2"/>
  <c r="M61" i="2"/>
  <c r="R61" i="2"/>
  <c r="P61" i="2"/>
  <c r="S61" i="5"/>
  <c r="S61" i="2"/>
  <c r="S61" i="3"/>
  <c r="T61" i="2"/>
  <c r="M8" i="2"/>
  <c r="S26" i="2"/>
  <c r="S35" i="5"/>
  <c r="S35" i="3"/>
  <c r="S35" i="4"/>
  <c r="T35" i="2"/>
  <c r="R35" i="2"/>
  <c r="M35" i="2"/>
  <c r="Q35" i="2"/>
  <c r="N35" i="2"/>
  <c r="S35" i="2"/>
  <c r="O35" i="2"/>
  <c r="P35" i="2"/>
  <c r="S20" i="5"/>
  <c r="S20" i="3"/>
  <c r="S20" i="4"/>
  <c r="R20" i="2"/>
  <c r="Q20" i="2"/>
  <c r="S20" i="2"/>
  <c r="T20" i="2"/>
  <c r="M20" i="2"/>
  <c r="N20" i="2"/>
  <c r="O20" i="2"/>
  <c r="P20" i="2"/>
  <c r="S19" i="5"/>
  <c r="S19" i="3"/>
  <c r="S19" i="4"/>
  <c r="N19" i="2"/>
  <c r="S19" i="2"/>
  <c r="O19" i="2"/>
  <c r="M19" i="2"/>
  <c r="P19" i="2"/>
  <c r="R19" i="2"/>
  <c r="T19" i="2"/>
  <c r="Q19" i="2"/>
  <c r="S3" i="3"/>
  <c r="S3" i="5"/>
  <c r="S3" i="4"/>
  <c r="S3" i="2"/>
  <c r="T3" i="2"/>
  <c r="M3" i="2"/>
  <c r="N3" i="2"/>
  <c r="O3" i="2"/>
  <c r="P3" i="2"/>
  <c r="Q3" i="2"/>
  <c r="R3" i="2"/>
  <c r="S2" i="5"/>
  <c r="S2" i="3"/>
  <c r="S2" i="4"/>
  <c r="S2" i="2"/>
  <c r="T2" i="2"/>
  <c r="M2" i="2"/>
  <c r="N2" i="2"/>
  <c r="O2" i="2"/>
  <c r="P2" i="2"/>
  <c r="Q2" i="2"/>
  <c r="R2" i="2"/>
  <c r="S32" i="5"/>
  <c r="S32" i="3"/>
  <c r="S32" i="4"/>
  <c r="N32" i="2"/>
  <c r="O32" i="2"/>
  <c r="M32" i="2"/>
  <c r="P32" i="2"/>
  <c r="Q32" i="2"/>
  <c r="R32" i="2"/>
  <c r="S32" i="2"/>
  <c r="T32" i="2"/>
  <c r="O17" i="1"/>
  <c r="O14" i="1"/>
  <c r="A5" i="5" l="1"/>
  <c r="A9" i="5" s="1"/>
  <c r="L17" i="5" s="1"/>
  <c r="E5" i="5"/>
  <c r="B11" i="6" s="1"/>
  <c r="D5" i="3"/>
  <c r="G5" i="3"/>
  <c r="G9" i="3" s="1"/>
  <c r="R5" i="3" s="1"/>
  <c r="G5" i="5"/>
  <c r="G9" i="5" s="1"/>
  <c r="R54" i="5" s="1"/>
  <c r="F5" i="5"/>
  <c r="F9" i="5" s="1"/>
  <c r="Q18" i="5" s="1"/>
  <c r="C5" i="5"/>
  <c r="C9" i="5" s="1"/>
  <c r="D5" i="5"/>
  <c r="B10" i="6" s="1"/>
  <c r="A5" i="3"/>
  <c r="A9" i="3" s="1"/>
  <c r="L8" i="3" s="1"/>
  <c r="D5" i="4"/>
  <c r="C10" i="6" s="1"/>
  <c r="C5" i="3"/>
  <c r="C9" i="3" s="1"/>
  <c r="B5" i="4"/>
  <c r="B9" i="4" s="1"/>
  <c r="B5" i="3"/>
  <c r="B9" i="3" s="1"/>
  <c r="M20" i="3" s="1"/>
  <c r="E5" i="3"/>
  <c r="E9" i="3" s="1"/>
  <c r="A5" i="4"/>
  <c r="A9" i="4" s="1"/>
  <c r="L54" i="4" s="1"/>
  <c r="F5" i="4"/>
  <c r="F9" i="4" s="1"/>
  <c r="Q43" i="4" s="1"/>
  <c r="C5" i="4"/>
  <c r="C9" i="4" s="1"/>
  <c r="G5" i="4"/>
  <c r="G9" i="4" s="1"/>
  <c r="R2" i="4" s="1"/>
  <c r="N65" i="2"/>
  <c r="E5" i="4"/>
  <c r="E9" i="4" s="1"/>
  <c r="M65" i="2"/>
  <c r="F5" i="3"/>
  <c r="F9" i="3" s="1"/>
  <c r="Q5" i="3" s="1"/>
  <c r="T65" i="2"/>
  <c r="S65" i="2"/>
  <c r="R65" i="2"/>
  <c r="B5" i="5"/>
  <c r="B9" i="5" s="1"/>
  <c r="Q65" i="2"/>
  <c r="L61" i="5"/>
  <c r="L9" i="5"/>
  <c r="L13" i="5"/>
  <c r="L33" i="5"/>
  <c r="L41" i="5"/>
  <c r="L45" i="5"/>
  <c r="L3" i="5"/>
  <c r="L11" i="5"/>
  <c r="L15" i="5"/>
  <c r="L35" i="5"/>
  <c r="L43" i="5"/>
  <c r="L47" i="5"/>
  <c r="L22" i="5"/>
  <c r="L38" i="5"/>
  <c r="L46" i="5"/>
  <c r="L26" i="5"/>
  <c r="L42" i="5"/>
  <c r="L44" i="5"/>
  <c r="L16" i="5"/>
  <c r="L62" i="5"/>
  <c r="L4" i="5"/>
  <c r="L50" i="5"/>
  <c r="L48" i="5"/>
  <c r="Q26" i="5"/>
  <c r="Q34" i="5"/>
  <c r="Q38" i="5"/>
  <c r="Q7" i="5"/>
  <c r="Q11" i="5"/>
  <c r="Q15" i="5"/>
  <c r="Q47" i="5"/>
  <c r="Q53" i="5"/>
  <c r="Q57" i="5"/>
  <c r="Q29" i="5"/>
  <c r="Q37" i="5"/>
  <c r="Q41" i="5"/>
  <c r="Q36" i="5"/>
  <c r="Q44" i="5"/>
  <c r="Q60" i="5"/>
  <c r="Q24" i="5"/>
  <c r="P65" i="2"/>
  <c r="R63" i="3"/>
  <c r="R9" i="3"/>
  <c r="R51" i="3"/>
  <c r="R53" i="3"/>
  <c r="R58" i="3"/>
  <c r="R60" i="3"/>
  <c r="R47" i="3"/>
  <c r="R54" i="3"/>
  <c r="R45" i="3"/>
  <c r="R16" i="3"/>
  <c r="R40" i="3"/>
  <c r="R52" i="3"/>
  <c r="R15" i="3"/>
  <c r="R14" i="3"/>
  <c r="R27" i="3"/>
  <c r="R10" i="3"/>
  <c r="R23" i="3"/>
  <c r="R7" i="3"/>
  <c r="R18" i="3"/>
  <c r="R19" i="3"/>
  <c r="R38" i="3"/>
  <c r="R6" i="3"/>
  <c r="O65" i="2"/>
  <c r="D9" i="3"/>
  <c r="D10" i="6"/>
  <c r="R2" i="3"/>
  <c r="E9" i="5"/>
  <c r="R61" i="5" l="1"/>
  <c r="R40" i="5"/>
  <c r="R33" i="5"/>
  <c r="R57" i="5"/>
  <c r="R52" i="5"/>
  <c r="R64" i="5"/>
  <c r="R11" i="5"/>
  <c r="R19" i="5"/>
  <c r="R51" i="5"/>
  <c r="R63" i="5"/>
  <c r="R20" i="5"/>
  <c r="R50" i="5"/>
  <c r="R18" i="5"/>
  <c r="R43" i="3"/>
  <c r="R46" i="3"/>
  <c r="R11" i="3"/>
  <c r="R36" i="3"/>
  <c r="R56" i="3"/>
  <c r="R33" i="3"/>
  <c r="R55" i="3"/>
  <c r="R15" i="5"/>
  <c r="R29" i="5"/>
  <c r="R6" i="5"/>
  <c r="R27" i="5"/>
  <c r="R7" i="5"/>
  <c r="R24" i="5"/>
  <c r="R22" i="5"/>
  <c r="R53" i="5"/>
  <c r="R17" i="5"/>
  <c r="R45" i="5"/>
  <c r="R48" i="5"/>
  <c r="R16" i="5"/>
  <c r="R46" i="5"/>
  <c r="R14" i="5"/>
  <c r="R26" i="3"/>
  <c r="R30" i="3"/>
  <c r="R34" i="3"/>
  <c r="R59" i="3"/>
  <c r="R25" i="3"/>
  <c r="R17" i="3"/>
  <c r="R50" i="3"/>
  <c r="R41" i="5"/>
  <c r="R3" i="5"/>
  <c r="R44" i="5"/>
  <c r="R12" i="5"/>
  <c r="R10" i="5"/>
  <c r="R8" i="5"/>
  <c r="R2" i="5"/>
  <c r="R9" i="5"/>
  <c r="R59" i="5"/>
  <c r="R47" i="5"/>
  <c r="R21" i="5"/>
  <c r="R36" i="5"/>
  <c r="R4" i="5"/>
  <c r="R34" i="5"/>
  <c r="R62" i="5"/>
  <c r="R3" i="3"/>
  <c r="R39" i="3"/>
  <c r="R31" i="3"/>
  <c r="R37" i="3"/>
  <c r="R29" i="3"/>
  <c r="R48" i="3"/>
  <c r="R31" i="5"/>
  <c r="R37" i="5"/>
  <c r="R42" i="5"/>
  <c r="R25" i="5"/>
  <c r="R38" i="5"/>
  <c r="R55" i="5"/>
  <c r="R39" i="5"/>
  <c r="R32" i="5"/>
  <c r="R60" i="5"/>
  <c r="R30" i="5"/>
  <c r="R58" i="5"/>
  <c r="R42" i="3"/>
  <c r="R24" i="3"/>
  <c r="R28" i="3"/>
  <c r="R57" i="3"/>
  <c r="R49" i="5"/>
  <c r="R13" i="5"/>
  <c r="R43" i="5"/>
  <c r="R35" i="5"/>
  <c r="R23" i="5"/>
  <c r="R5" i="5"/>
  <c r="R28" i="5"/>
  <c r="R56" i="5"/>
  <c r="R26" i="5"/>
  <c r="R35" i="3"/>
  <c r="R22" i="3"/>
  <c r="R32" i="3"/>
  <c r="R20" i="3"/>
  <c r="R13" i="3"/>
  <c r="R61" i="3"/>
  <c r="L60" i="5"/>
  <c r="L32" i="5"/>
  <c r="L28" i="5"/>
  <c r="L30" i="5"/>
  <c r="L39" i="5"/>
  <c r="L7" i="5"/>
  <c r="L37" i="5"/>
  <c r="L5" i="5"/>
  <c r="L2" i="5"/>
  <c r="L36" i="5"/>
  <c r="L40" i="5"/>
  <c r="L12" i="5"/>
  <c r="L14" i="5"/>
  <c r="L31" i="5"/>
  <c r="L59" i="5"/>
  <c r="L29" i="5"/>
  <c r="L57" i="5"/>
  <c r="L24" i="5"/>
  <c r="L10" i="5"/>
  <c r="L6" i="5"/>
  <c r="L27" i="5"/>
  <c r="L55" i="5"/>
  <c r="L25" i="5"/>
  <c r="L53" i="5"/>
  <c r="L20" i="5"/>
  <c r="L8" i="5"/>
  <c r="L56" i="5"/>
  <c r="L58" i="5"/>
  <c r="L23" i="5"/>
  <c r="L51" i="5"/>
  <c r="L21" i="5"/>
  <c r="L63" i="5"/>
  <c r="L34" i="5"/>
  <c r="L18" i="5"/>
  <c r="L52" i="5"/>
  <c r="L54" i="5"/>
  <c r="L64" i="5"/>
  <c r="L19" i="5"/>
  <c r="L49" i="5"/>
  <c r="Q52" i="5"/>
  <c r="Q12" i="5"/>
  <c r="Q17" i="5"/>
  <c r="Q39" i="5"/>
  <c r="Q55" i="5"/>
  <c r="Q14" i="5"/>
  <c r="Q13" i="5"/>
  <c r="Q10" i="5"/>
  <c r="Q48" i="5"/>
  <c r="Q4" i="5"/>
  <c r="Q35" i="5"/>
  <c r="Q51" i="5"/>
  <c r="Q32" i="5"/>
  <c r="Q49" i="5"/>
  <c r="Q9" i="5"/>
  <c r="Q27" i="5"/>
  <c r="Q46" i="5"/>
  <c r="Q62" i="5"/>
  <c r="Q8" i="5"/>
  <c r="Q28" i="5"/>
  <c r="Q25" i="5"/>
  <c r="Q43" i="5"/>
  <c r="Q3" i="5"/>
  <c r="Q22" i="5"/>
  <c r="Q2" i="5"/>
  <c r="Q16" i="5"/>
  <c r="Q45" i="5"/>
  <c r="Q5" i="5"/>
  <c r="Q23" i="5"/>
  <c r="Q42" i="5"/>
  <c r="Q64" i="5"/>
  <c r="L2" i="3"/>
  <c r="Q6" i="5"/>
  <c r="L15" i="3"/>
  <c r="L54" i="3"/>
  <c r="L6" i="3"/>
  <c r="L16" i="3"/>
  <c r="Q40" i="5"/>
  <c r="Q20" i="5"/>
  <c r="Q33" i="5"/>
  <c r="Q61" i="5"/>
  <c r="Q31" i="5"/>
  <c r="Q59" i="5"/>
  <c r="Q30" i="5"/>
  <c r="Q58" i="5"/>
  <c r="L14" i="3"/>
  <c r="L20" i="3"/>
  <c r="L29" i="3"/>
  <c r="Q54" i="5"/>
  <c r="L30" i="3"/>
  <c r="L23" i="3"/>
  <c r="L61" i="3"/>
  <c r="L27" i="3"/>
  <c r="L39" i="3"/>
  <c r="Q56" i="5"/>
  <c r="Q21" i="5"/>
  <c r="Q63" i="5"/>
  <c r="Q19" i="5"/>
  <c r="Q50" i="5"/>
  <c r="L36" i="3"/>
  <c r="L13" i="3"/>
  <c r="L25" i="3"/>
  <c r="L46" i="3"/>
  <c r="L50" i="3"/>
  <c r="L17" i="3"/>
  <c r="L31" i="3"/>
  <c r="L45" i="3"/>
  <c r="L52" i="3"/>
  <c r="L11" i="3"/>
  <c r="L18" i="3"/>
  <c r="L40" i="3"/>
  <c r="L59" i="3"/>
  <c r="L22" i="3"/>
  <c r="L44" i="3"/>
  <c r="L58" i="3"/>
  <c r="C9" i="6"/>
  <c r="L7" i="3"/>
  <c r="L38" i="3"/>
  <c r="L24" i="3"/>
  <c r="L53" i="3"/>
  <c r="C11" i="6"/>
  <c r="R41" i="3"/>
  <c r="R12" i="3"/>
  <c r="R62" i="3"/>
  <c r="R49" i="3"/>
  <c r="R4" i="3"/>
  <c r="C8" i="6"/>
  <c r="R21" i="3"/>
  <c r="R44" i="3"/>
  <c r="R8" i="3"/>
  <c r="R64" i="3"/>
  <c r="L42" i="4"/>
  <c r="L2" i="4"/>
  <c r="L19" i="4"/>
  <c r="L60" i="4"/>
  <c r="L10" i="4"/>
  <c r="L59" i="4"/>
  <c r="L20" i="4"/>
  <c r="D9" i="4"/>
  <c r="O45" i="4" s="1"/>
  <c r="L21" i="4"/>
  <c r="L34" i="3"/>
  <c r="L60" i="3"/>
  <c r="L48" i="3"/>
  <c r="L41" i="3"/>
  <c r="L37" i="3"/>
  <c r="L16" i="4"/>
  <c r="L61" i="4"/>
  <c r="L42" i="3"/>
  <c r="L57" i="3"/>
  <c r="L55" i="3"/>
  <c r="L56" i="3"/>
  <c r="L62" i="3"/>
  <c r="L18" i="4"/>
  <c r="L21" i="3"/>
  <c r="L26" i="3"/>
  <c r="L47" i="3"/>
  <c r="L3" i="3"/>
  <c r="L12" i="3"/>
  <c r="L56" i="4"/>
  <c r="L62" i="4"/>
  <c r="L10" i="3"/>
  <c r="L28" i="3"/>
  <c r="L64" i="3"/>
  <c r="L49" i="3"/>
  <c r="L33" i="3"/>
  <c r="L19" i="3"/>
  <c r="B9" i="6"/>
  <c r="L43" i="3"/>
  <c r="L57" i="4"/>
  <c r="L35" i="3"/>
  <c r="L5" i="3"/>
  <c r="L4" i="3"/>
  <c r="L32" i="3"/>
  <c r="L51" i="3"/>
  <c r="L63" i="3"/>
  <c r="L9" i="3"/>
  <c r="D9" i="5"/>
  <c r="O15" i="5" s="1"/>
  <c r="D9" i="6"/>
  <c r="D11" i="6"/>
  <c r="D8" i="6"/>
  <c r="Q49" i="4"/>
  <c r="Q54" i="4"/>
  <c r="L17" i="4"/>
  <c r="L22" i="4"/>
  <c r="Q33" i="4"/>
  <c r="Q18" i="4"/>
  <c r="Q40" i="4"/>
  <c r="Q28" i="4"/>
  <c r="Q32" i="4"/>
  <c r="Q2" i="4"/>
  <c r="Q41" i="4"/>
  <c r="Q38" i="4"/>
  <c r="Q62" i="4"/>
  <c r="Q58" i="4"/>
  <c r="Q24" i="4"/>
  <c r="Q15" i="4"/>
  <c r="Q5" i="4"/>
  <c r="Q46" i="4"/>
  <c r="Q16" i="4"/>
  <c r="Q59" i="4"/>
  <c r="Q57" i="4"/>
  <c r="Q52" i="4"/>
  <c r="Q30" i="4"/>
  <c r="Q26" i="4"/>
  <c r="Q8" i="4"/>
  <c r="Q61" i="4"/>
  <c r="Q51" i="4"/>
  <c r="Q25" i="4"/>
  <c r="Q42" i="4"/>
  <c r="Q50" i="4"/>
  <c r="Q36" i="4"/>
  <c r="Q14" i="4"/>
  <c r="Q10" i="4"/>
  <c r="Q63" i="4"/>
  <c r="Q53" i="4"/>
  <c r="Q35" i="4"/>
  <c r="Q34" i="4"/>
  <c r="Q20" i="4"/>
  <c r="Q60" i="4"/>
  <c r="Q64" i="4"/>
  <c r="Q55" i="4"/>
  <c r="Q37" i="4"/>
  <c r="Q27" i="4"/>
  <c r="Q6" i="4"/>
  <c r="Q7" i="4"/>
  <c r="Q9" i="4"/>
  <c r="Q4" i="4"/>
  <c r="Q44" i="4"/>
  <c r="Q56" i="4"/>
  <c r="Q39" i="4"/>
  <c r="Q29" i="4"/>
  <c r="Q19" i="4"/>
  <c r="Q31" i="4"/>
  <c r="Q21" i="4"/>
  <c r="Q11" i="4"/>
  <c r="Q23" i="4"/>
  <c r="Q13" i="4"/>
  <c r="Q3" i="4"/>
  <c r="R21" i="4"/>
  <c r="L55" i="4"/>
  <c r="L50" i="4"/>
  <c r="L64" i="4"/>
  <c r="L3" i="4"/>
  <c r="L4" i="4"/>
  <c r="L5" i="4"/>
  <c r="L6" i="4"/>
  <c r="R5" i="4"/>
  <c r="L7" i="4"/>
  <c r="L26" i="4"/>
  <c r="L8" i="4"/>
  <c r="L9" i="4"/>
  <c r="L11" i="4"/>
  <c r="L12" i="4"/>
  <c r="L13" i="4"/>
  <c r="L14" i="4"/>
  <c r="R27" i="4"/>
  <c r="R60" i="4"/>
  <c r="L23" i="4"/>
  <c r="L34" i="4"/>
  <c r="L24" i="4"/>
  <c r="L25" i="4"/>
  <c r="L27" i="4"/>
  <c r="L28" i="4"/>
  <c r="L29" i="4"/>
  <c r="L30" i="4"/>
  <c r="R44" i="4"/>
  <c r="L58" i="4"/>
  <c r="L39" i="4"/>
  <c r="L32" i="4"/>
  <c r="L33" i="4"/>
  <c r="L35" i="4"/>
  <c r="L36" i="4"/>
  <c r="L37" i="4"/>
  <c r="L38" i="4"/>
  <c r="L31" i="4"/>
  <c r="L15" i="4"/>
  <c r="L40" i="4"/>
  <c r="L41" i="4"/>
  <c r="L43" i="4"/>
  <c r="L44" i="4"/>
  <c r="L45" i="4"/>
  <c r="L46" i="4"/>
  <c r="L63" i="4"/>
  <c r="L47" i="4"/>
  <c r="L48" i="4"/>
  <c r="L49" i="4"/>
  <c r="L51" i="4"/>
  <c r="L52" i="4"/>
  <c r="L53" i="4"/>
  <c r="Q9" i="3"/>
  <c r="Q22" i="4"/>
  <c r="Q17" i="4"/>
  <c r="Q12" i="4"/>
  <c r="Q48" i="4"/>
  <c r="Q47" i="4"/>
  <c r="Q45" i="4"/>
  <c r="R47" i="4"/>
  <c r="R23" i="4"/>
  <c r="R19" i="4"/>
  <c r="R28" i="4"/>
  <c r="R29" i="4"/>
  <c r="R26" i="4"/>
  <c r="Q2" i="3"/>
  <c r="R43" i="4"/>
  <c r="Q30" i="3"/>
  <c r="S67" i="2"/>
  <c r="R40" i="4"/>
  <c r="R11" i="4"/>
  <c r="Q45" i="3"/>
  <c r="R35" i="4"/>
  <c r="R62" i="4"/>
  <c r="R24" i="4"/>
  <c r="R48" i="4"/>
  <c r="R57" i="4"/>
  <c r="R54" i="4"/>
  <c r="R20" i="4"/>
  <c r="Q57" i="3"/>
  <c r="R17" i="4"/>
  <c r="R32" i="4"/>
  <c r="R41" i="4"/>
  <c r="R46" i="4"/>
  <c r="R58" i="4"/>
  <c r="Q11" i="3"/>
  <c r="R8" i="4"/>
  <c r="R16" i="4"/>
  <c r="R63" i="4"/>
  <c r="R30" i="4"/>
  <c r="R50" i="4"/>
  <c r="Q59" i="3"/>
  <c r="R37" i="4"/>
  <c r="R45" i="4"/>
  <c r="R55" i="4"/>
  <c r="R22" i="4"/>
  <c r="R42" i="4"/>
  <c r="R31" i="4"/>
  <c r="R52" i="4"/>
  <c r="R49" i="4"/>
  <c r="R51" i="4"/>
  <c r="R61" i="4"/>
  <c r="R33" i="4"/>
  <c r="R39" i="4"/>
  <c r="R38" i="4"/>
  <c r="R36" i="4"/>
  <c r="R34" i="4"/>
  <c r="Q23" i="3"/>
  <c r="Q8" i="3"/>
  <c r="R18" i="4"/>
  <c r="Q41" i="3"/>
  <c r="Q56" i="3"/>
  <c r="R56" i="4"/>
  <c r="R3" i="4"/>
  <c r="R13" i="4"/>
  <c r="R25" i="4"/>
  <c r="R15" i="4"/>
  <c r="R14" i="4"/>
  <c r="R12" i="4"/>
  <c r="R10" i="4"/>
  <c r="Q31" i="3"/>
  <c r="Q51" i="3"/>
  <c r="R53" i="4"/>
  <c r="R64" i="4"/>
  <c r="R59" i="4"/>
  <c r="R9" i="4"/>
  <c r="R7" i="4"/>
  <c r="R6" i="4"/>
  <c r="R4" i="4"/>
  <c r="Q4" i="3"/>
  <c r="Q46" i="3"/>
  <c r="Q43" i="3"/>
  <c r="Q10" i="3"/>
  <c r="Q6" i="3"/>
  <c r="Q49" i="3"/>
  <c r="Q17" i="3"/>
  <c r="Q47" i="3"/>
  <c r="Q40" i="3"/>
  <c r="Q54" i="3"/>
  <c r="Q64" i="3"/>
  <c r="Q38" i="3"/>
  <c r="Q18" i="3"/>
  <c r="Q12" i="3"/>
  <c r="Q35" i="3"/>
  <c r="Q37" i="3"/>
  <c r="Q27" i="3"/>
  <c r="Q58" i="3"/>
  <c r="Q7" i="3"/>
  <c r="Q22" i="3"/>
  <c r="Q34" i="3"/>
  <c r="Q16" i="3"/>
  <c r="Q28" i="3"/>
  <c r="Q36" i="3"/>
  <c r="Q24" i="3"/>
  <c r="Q53" i="3"/>
  <c r="Q60" i="3"/>
  <c r="Q26" i="3"/>
  <c r="Q19" i="3"/>
  <c r="Q61" i="3"/>
  <c r="Q33" i="3"/>
  <c r="Q21" i="3"/>
  <c r="Q52" i="3"/>
  <c r="Q48" i="3"/>
  <c r="Q55" i="3"/>
  <c r="Q42" i="3"/>
  <c r="Q32" i="3"/>
  <c r="Q44" i="3"/>
  <c r="Q39" i="3"/>
  <c r="Q20" i="3"/>
  <c r="Q63" i="3"/>
  <c r="Q62" i="3"/>
  <c r="Q50" i="3"/>
  <c r="Q14" i="3"/>
  <c r="Q29" i="3"/>
  <c r="Q13" i="3"/>
  <c r="Q25" i="3"/>
  <c r="Q3" i="3"/>
  <c r="Q15" i="3"/>
  <c r="S68" i="2"/>
  <c r="M52" i="5"/>
  <c r="M56" i="5"/>
  <c r="M60" i="5"/>
  <c r="M4" i="5"/>
  <c r="M8" i="5"/>
  <c r="M12" i="5"/>
  <c r="M16" i="5"/>
  <c r="M20" i="5"/>
  <c r="M24" i="5"/>
  <c r="M28" i="5"/>
  <c r="M32" i="5"/>
  <c r="M36" i="5"/>
  <c r="M40" i="5"/>
  <c r="M44" i="5"/>
  <c r="M48" i="5"/>
  <c r="M63" i="5"/>
  <c r="M53" i="5"/>
  <c r="M57" i="5"/>
  <c r="M61" i="5"/>
  <c r="M5" i="5"/>
  <c r="M9" i="5"/>
  <c r="M13" i="5"/>
  <c r="M17" i="5"/>
  <c r="M21" i="5"/>
  <c r="M25" i="5"/>
  <c r="M29" i="5"/>
  <c r="M33" i="5"/>
  <c r="M37" i="5"/>
  <c r="M41" i="5"/>
  <c r="M45" i="5"/>
  <c r="M49" i="5"/>
  <c r="M51" i="5"/>
  <c r="M55" i="5"/>
  <c r="M59" i="5"/>
  <c r="M3" i="5"/>
  <c r="M7" i="5"/>
  <c r="M11" i="5"/>
  <c r="M15" i="5"/>
  <c r="M19" i="5"/>
  <c r="M23" i="5"/>
  <c r="M27" i="5"/>
  <c r="M31" i="5"/>
  <c r="M35" i="5"/>
  <c r="M39" i="5"/>
  <c r="M43" i="5"/>
  <c r="M47" i="5"/>
  <c r="M54" i="5"/>
  <c r="M62" i="5"/>
  <c r="M10" i="5"/>
  <c r="M18" i="5"/>
  <c r="M26" i="5"/>
  <c r="M34" i="5"/>
  <c r="M42" i="5"/>
  <c r="M50" i="5"/>
  <c r="M58" i="5"/>
  <c r="M14" i="5"/>
  <c r="M30" i="5"/>
  <c r="M46" i="5"/>
  <c r="M22" i="5"/>
  <c r="M38" i="5"/>
  <c r="M64" i="5"/>
  <c r="M6" i="5"/>
  <c r="M32" i="3"/>
  <c r="O51" i="5"/>
  <c r="O16" i="5"/>
  <c r="O46" i="5"/>
  <c r="N6" i="4"/>
  <c r="N14" i="4"/>
  <c r="N8" i="4"/>
  <c r="N2" i="4"/>
  <c r="N10" i="4"/>
  <c r="N18" i="4"/>
  <c r="N26" i="4"/>
  <c r="N3" i="4"/>
  <c r="N11" i="4"/>
  <c r="N19" i="4"/>
  <c r="N27" i="4"/>
  <c r="N13" i="4"/>
  <c r="N24" i="4"/>
  <c r="N34" i="4"/>
  <c r="N42" i="4"/>
  <c r="N50" i="4"/>
  <c r="N58" i="4"/>
  <c r="N15" i="4"/>
  <c r="N25" i="4"/>
  <c r="N35" i="4"/>
  <c r="N43" i="4"/>
  <c r="N51" i="4"/>
  <c r="N59" i="4"/>
  <c r="N16" i="4"/>
  <c r="N28" i="4"/>
  <c r="N36" i="4"/>
  <c r="N44" i="4"/>
  <c r="N52" i="4"/>
  <c r="N60" i="4"/>
  <c r="N4" i="4"/>
  <c r="N17" i="4"/>
  <c r="N29" i="4"/>
  <c r="N37" i="4"/>
  <c r="N45" i="4"/>
  <c r="N53" i="4"/>
  <c r="N61" i="4"/>
  <c r="N7" i="4"/>
  <c r="N21" i="4"/>
  <c r="N31" i="4"/>
  <c r="N39" i="4"/>
  <c r="N47" i="4"/>
  <c r="N55" i="4"/>
  <c r="N63" i="4"/>
  <c r="N9" i="4"/>
  <c r="N22" i="4"/>
  <c r="N32" i="4"/>
  <c r="N40" i="4"/>
  <c r="N48" i="4"/>
  <c r="N56" i="4"/>
  <c r="N64" i="4"/>
  <c r="N5" i="4"/>
  <c r="N46" i="4"/>
  <c r="N12" i="4"/>
  <c r="N49" i="4"/>
  <c r="N30" i="4"/>
  <c r="N62" i="4"/>
  <c r="N54" i="4"/>
  <c r="N23" i="4"/>
  <c r="N33" i="4"/>
  <c r="N38" i="4"/>
  <c r="N41" i="4"/>
  <c r="N20" i="4"/>
  <c r="N57" i="4"/>
  <c r="M3" i="4"/>
  <c r="M11" i="4"/>
  <c r="M19" i="4"/>
  <c r="M27" i="4"/>
  <c r="M35" i="4"/>
  <c r="M43" i="4"/>
  <c r="M51" i="4"/>
  <c r="M59" i="4"/>
  <c r="M4" i="4"/>
  <c r="M12" i="4"/>
  <c r="M20" i="4"/>
  <c r="M28" i="4"/>
  <c r="M36" i="4"/>
  <c r="M44" i="4"/>
  <c r="M52" i="4"/>
  <c r="M60" i="4"/>
  <c r="M5" i="4"/>
  <c r="M13" i="4"/>
  <c r="M21" i="4"/>
  <c r="M29" i="4"/>
  <c r="M37" i="4"/>
  <c r="M45" i="4"/>
  <c r="M53" i="4"/>
  <c r="M61" i="4"/>
  <c r="M6" i="4"/>
  <c r="M14" i="4"/>
  <c r="M22" i="4"/>
  <c r="M30" i="4"/>
  <c r="M38" i="4"/>
  <c r="M46" i="4"/>
  <c r="M54" i="4"/>
  <c r="M62" i="4"/>
  <c r="M8" i="4"/>
  <c r="M16" i="4"/>
  <c r="M24" i="4"/>
  <c r="M32" i="4"/>
  <c r="M40" i="4"/>
  <c r="M48" i="4"/>
  <c r="M56" i="4"/>
  <c r="M64" i="4"/>
  <c r="M9" i="4"/>
  <c r="M17" i="4"/>
  <c r="M25" i="4"/>
  <c r="M33" i="4"/>
  <c r="M41" i="4"/>
  <c r="M49" i="4"/>
  <c r="M57" i="4"/>
  <c r="M15" i="4"/>
  <c r="M47" i="4"/>
  <c r="M18" i="4"/>
  <c r="M50" i="4"/>
  <c r="M23" i="4"/>
  <c r="M31" i="4"/>
  <c r="M63" i="4"/>
  <c r="M7" i="4"/>
  <c r="M10" i="4"/>
  <c r="M58" i="4"/>
  <c r="M2" i="4"/>
  <c r="M34" i="4"/>
  <c r="M39" i="4"/>
  <c r="M42" i="4"/>
  <c r="M55" i="4"/>
  <c r="M26" i="4"/>
  <c r="N47" i="3"/>
  <c r="N52" i="3"/>
  <c r="N61" i="3"/>
  <c r="N57" i="3"/>
  <c r="N62" i="3"/>
  <c r="N48" i="3"/>
  <c r="N53" i="3"/>
  <c r="N58" i="3"/>
  <c r="N13" i="3"/>
  <c r="N50" i="3"/>
  <c r="N55" i="3"/>
  <c r="N64" i="3"/>
  <c r="N51" i="3"/>
  <c r="N60" i="3"/>
  <c r="N25" i="3"/>
  <c r="N41" i="3"/>
  <c r="N54" i="3"/>
  <c r="N21" i="3"/>
  <c r="N37" i="3"/>
  <c r="N56" i="3"/>
  <c r="N5" i="3"/>
  <c r="N9" i="3"/>
  <c r="N17" i="3"/>
  <c r="N33" i="3"/>
  <c r="N49" i="3"/>
  <c r="N63" i="3"/>
  <c r="N29" i="3"/>
  <c r="N59" i="3"/>
  <c r="N45" i="3"/>
  <c r="N31" i="3"/>
  <c r="N24" i="3"/>
  <c r="N4" i="3"/>
  <c r="N6" i="3"/>
  <c r="N44" i="3"/>
  <c r="N12" i="3"/>
  <c r="N35" i="3"/>
  <c r="N19" i="3"/>
  <c r="N42" i="3"/>
  <c r="N32" i="3"/>
  <c r="N3" i="3"/>
  <c r="N30" i="3"/>
  <c r="N15" i="3"/>
  <c r="N40" i="3"/>
  <c r="N8" i="3"/>
  <c r="N22" i="3"/>
  <c r="N23" i="3"/>
  <c r="N10" i="3"/>
  <c r="N28" i="3"/>
  <c r="N43" i="3"/>
  <c r="N27" i="3"/>
  <c r="N11" i="3"/>
  <c r="N18" i="3"/>
  <c r="N16" i="3"/>
  <c r="N14" i="3"/>
  <c r="N36" i="3"/>
  <c r="N39" i="3"/>
  <c r="N7" i="3"/>
  <c r="N20" i="3"/>
  <c r="N26" i="3"/>
  <c r="N46" i="3"/>
  <c r="N38" i="3"/>
  <c r="N34" i="3"/>
  <c r="O56" i="3"/>
  <c r="O5" i="3"/>
  <c r="O47" i="3"/>
  <c r="O52" i="3"/>
  <c r="O61" i="3"/>
  <c r="O57" i="3"/>
  <c r="O12" i="3"/>
  <c r="O63" i="3"/>
  <c r="O49" i="3"/>
  <c r="O50" i="3"/>
  <c r="O55" i="3"/>
  <c r="O60" i="3"/>
  <c r="O4" i="3"/>
  <c r="O24" i="3"/>
  <c r="O40" i="3"/>
  <c r="O59" i="3"/>
  <c r="O16" i="3"/>
  <c r="O32" i="3"/>
  <c r="O51" i="3"/>
  <c r="O58" i="3"/>
  <c r="O9" i="3"/>
  <c r="O17" i="3"/>
  <c r="O33" i="3"/>
  <c r="O21" i="3"/>
  <c r="O28" i="3"/>
  <c r="O64" i="3"/>
  <c r="O8" i="3"/>
  <c r="O41" i="3"/>
  <c r="O53" i="3"/>
  <c r="O13" i="3"/>
  <c r="O37" i="3"/>
  <c r="O44" i="3"/>
  <c r="O48" i="3"/>
  <c r="O20" i="3"/>
  <c r="O54" i="3"/>
  <c r="O29" i="3"/>
  <c r="O36" i="3"/>
  <c r="O62" i="3"/>
  <c r="O25" i="3"/>
  <c r="O45" i="3"/>
  <c r="O15" i="3"/>
  <c r="O43" i="3"/>
  <c r="O46" i="3"/>
  <c r="O7" i="3"/>
  <c r="O31" i="3"/>
  <c r="O34" i="3"/>
  <c r="O18" i="3"/>
  <c r="O27" i="3"/>
  <c r="O30" i="3"/>
  <c r="O14" i="3"/>
  <c r="O19" i="3"/>
  <c r="O22" i="3"/>
  <c r="O39" i="3"/>
  <c r="O23" i="3"/>
  <c r="O11" i="3"/>
  <c r="O42" i="3"/>
  <c r="O26" i="3"/>
  <c r="O10" i="3"/>
  <c r="O35" i="3"/>
  <c r="O38" i="3"/>
  <c r="O6" i="3"/>
  <c r="O3" i="3"/>
  <c r="P51" i="5"/>
  <c r="P55" i="5"/>
  <c r="P59" i="5"/>
  <c r="P3" i="5"/>
  <c r="P7" i="5"/>
  <c r="P11" i="5"/>
  <c r="P15" i="5"/>
  <c r="P19" i="5"/>
  <c r="P23" i="5"/>
  <c r="P27" i="5"/>
  <c r="P31" i="5"/>
  <c r="P35" i="5"/>
  <c r="P39" i="5"/>
  <c r="P43" i="5"/>
  <c r="P47" i="5"/>
  <c r="P63" i="5"/>
  <c r="P53" i="5"/>
  <c r="P57" i="5"/>
  <c r="P61" i="5"/>
  <c r="P5" i="5"/>
  <c r="P9" i="5"/>
  <c r="P13" i="5"/>
  <c r="P17" i="5"/>
  <c r="P21" i="5"/>
  <c r="P25" i="5"/>
  <c r="P29" i="5"/>
  <c r="P33" i="5"/>
  <c r="P37" i="5"/>
  <c r="P41" i="5"/>
  <c r="P45" i="5"/>
  <c r="P49" i="5"/>
  <c r="P52" i="5"/>
  <c r="P60" i="5"/>
  <c r="P8" i="5"/>
  <c r="P16" i="5"/>
  <c r="P24" i="5"/>
  <c r="P32" i="5"/>
  <c r="P40" i="5"/>
  <c r="P48" i="5"/>
  <c r="P56" i="5"/>
  <c r="P4" i="5"/>
  <c r="P12" i="5"/>
  <c r="P20" i="5"/>
  <c r="P28" i="5"/>
  <c r="P36" i="5"/>
  <c r="P44" i="5"/>
  <c r="P58" i="5"/>
  <c r="P14" i="5"/>
  <c r="P30" i="5"/>
  <c r="P46" i="5"/>
  <c r="P54" i="5"/>
  <c r="P10" i="5"/>
  <c r="P26" i="5"/>
  <c r="P42" i="5"/>
  <c r="P64" i="5"/>
  <c r="P6" i="5"/>
  <c r="P22" i="5"/>
  <c r="P38" i="5"/>
  <c r="P62" i="5"/>
  <c r="P50" i="5"/>
  <c r="P18" i="5"/>
  <c r="P34" i="5"/>
  <c r="P64" i="3"/>
  <c r="P51" i="3"/>
  <c r="P56" i="3"/>
  <c r="P47" i="3"/>
  <c r="P52" i="3"/>
  <c r="P4" i="3"/>
  <c r="P54" i="3"/>
  <c r="P59" i="3"/>
  <c r="P63" i="3"/>
  <c r="P49" i="3"/>
  <c r="P9" i="3"/>
  <c r="P61" i="3"/>
  <c r="P48" i="3"/>
  <c r="P12" i="3"/>
  <c r="P13" i="3"/>
  <c r="P28" i="3"/>
  <c r="P29" i="3"/>
  <c r="P44" i="3"/>
  <c r="P45" i="3"/>
  <c r="P50" i="3"/>
  <c r="P57" i="3"/>
  <c r="P25" i="3"/>
  <c r="P41" i="3"/>
  <c r="P62" i="3"/>
  <c r="P20" i="3"/>
  <c r="P21" i="3"/>
  <c r="P36" i="3"/>
  <c r="P37" i="3"/>
  <c r="P5" i="3"/>
  <c r="P16" i="3"/>
  <c r="P32" i="3"/>
  <c r="P55" i="3"/>
  <c r="P17" i="3"/>
  <c r="P58" i="3"/>
  <c r="P8" i="3"/>
  <c r="P24" i="3"/>
  <c r="P53" i="3"/>
  <c r="P60" i="3"/>
  <c r="P33" i="3"/>
  <c r="P40" i="3"/>
  <c r="P35" i="3"/>
  <c r="P38" i="3"/>
  <c r="P22" i="3"/>
  <c r="P6" i="3"/>
  <c r="P23" i="3"/>
  <c r="P3" i="3"/>
  <c r="P18" i="3"/>
  <c r="P43" i="3"/>
  <c r="P11" i="3"/>
  <c r="P34" i="3"/>
  <c r="P31" i="3"/>
  <c r="P19" i="3"/>
  <c r="P46" i="3"/>
  <c r="P30" i="3"/>
  <c r="P14" i="3"/>
  <c r="P10" i="3"/>
  <c r="P15" i="3"/>
  <c r="P39" i="3"/>
  <c r="P7" i="3"/>
  <c r="P27" i="3"/>
  <c r="P42" i="3"/>
  <c r="P26" i="3"/>
  <c r="P4" i="4"/>
  <c r="P12" i="4"/>
  <c r="P20" i="4"/>
  <c r="P28" i="4"/>
  <c r="P36" i="4"/>
  <c r="P44" i="4"/>
  <c r="P52" i="4"/>
  <c r="P60" i="4"/>
  <c r="P6" i="4"/>
  <c r="P14" i="4"/>
  <c r="P22" i="4"/>
  <c r="P30" i="4"/>
  <c r="P38" i="4"/>
  <c r="P46" i="4"/>
  <c r="P54" i="4"/>
  <c r="P62" i="4"/>
  <c r="P8" i="4"/>
  <c r="P16" i="4"/>
  <c r="P24" i="4"/>
  <c r="P32" i="4"/>
  <c r="P40" i="4"/>
  <c r="P48" i="4"/>
  <c r="P56" i="4"/>
  <c r="P64" i="4"/>
  <c r="P9" i="4"/>
  <c r="P17" i="4"/>
  <c r="P25" i="4"/>
  <c r="P33" i="4"/>
  <c r="P41" i="4"/>
  <c r="P49" i="4"/>
  <c r="P57" i="4"/>
  <c r="P11" i="4"/>
  <c r="P27" i="4"/>
  <c r="P43" i="4"/>
  <c r="P59" i="4"/>
  <c r="P13" i="4"/>
  <c r="P29" i="4"/>
  <c r="P45" i="4"/>
  <c r="P61" i="4"/>
  <c r="P15" i="4"/>
  <c r="P31" i="4"/>
  <c r="P47" i="4"/>
  <c r="P63" i="4"/>
  <c r="P2" i="4"/>
  <c r="P18" i="4"/>
  <c r="P34" i="4"/>
  <c r="P50" i="4"/>
  <c r="P5" i="4"/>
  <c r="P21" i="4"/>
  <c r="P37" i="4"/>
  <c r="P53" i="4"/>
  <c r="P7" i="4"/>
  <c r="P23" i="4"/>
  <c r="P39" i="4"/>
  <c r="P55" i="4"/>
  <c r="P3" i="4"/>
  <c r="P10" i="4"/>
  <c r="P35" i="4"/>
  <c r="P19" i="4"/>
  <c r="P42" i="4"/>
  <c r="P51" i="4"/>
  <c r="P58" i="4"/>
  <c r="P26" i="4"/>
  <c r="B8" i="6"/>
  <c r="M61" i="3"/>
  <c r="M57" i="3"/>
  <c r="M62" i="3"/>
  <c r="M48" i="3"/>
  <c r="M53" i="3"/>
  <c r="M58" i="3"/>
  <c r="M54" i="3"/>
  <c r="M59" i="3"/>
  <c r="M64" i="3"/>
  <c r="M51" i="3"/>
  <c r="M56" i="3"/>
  <c r="M5" i="3"/>
  <c r="M63" i="3"/>
  <c r="M55" i="3"/>
  <c r="M47" i="3"/>
  <c r="M49" i="3"/>
  <c r="M29" i="3"/>
  <c r="M45" i="3"/>
  <c r="M17" i="3"/>
  <c r="M41" i="3"/>
  <c r="M50" i="3"/>
  <c r="M13" i="3"/>
  <c r="M37" i="3"/>
  <c r="M60" i="3"/>
  <c r="M33" i="3"/>
  <c r="M9" i="3"/>
  <c r="M52" i="3"/>
  <c r="M25" i="3"/>
  <c r="M21" i="3"/>
  <c r="M34" i="3"/>
  <c r="M35" i="3"/>
  <c r="M19" i="3"/>
  <c r="M3" i="3"/>
  <c r="M16" i="3"/>
  <c r="M15" i="3"/>
  <c r="M12" i="3"/>
  <c r="M43" i="3"/>
  <c r="M27" i="3"/>
  <c r="M11" i="3"/>
  <c r="M46" i="3"/>
  <c r="M23" i="3"/>
  <c r="M39" i="3"/>
  <c r="M7" i="3"/>
  <c r="M38" i="3"/>
  <c r="M8" i="3"/>
  <c r="M4" i="3"/>
  <c r="M31" i="3"/>
  <c r="M26" i="3"/>
  <c r="M10" i="3"/>
  <c r="M44" i="3"/>
  <c r="M36" i="3"/>
  <c r="M42" i="3"/>
  <c r="M30" i="3"/>
  <c r="M22" i="3"/>
  <c r="M18" i="3"/>
  <c r="M6" i="3"/>
  <c r="M24" i="3"/>
  <c r="M14" i="3"/>
  <c r="M40" i="3"/>
  <c r="M28" i="3"/>
  <c r="N52" i="5"/>
  <c r="N56" i="5"/>
  <c r="N60" i="5"/>
  <c r="N4" i="5"/>
  <c r="N8" i="5"/>
  <c r="N12" i="5"/>
  <c r="N16" i="5"/>
  <c r="N20" i="5"/>
  <c r="N24" i="5"/>
  <c r="N28" i="5"/>
  <c r="N32" i="5"/>
  <c r="N36" i="5"/>
  <c r="N40" i="5"/>
  <c r="N44" i="5"/>
  <c r="N48" i="5"/>
  <c r="N64" i="5"/>
  <c r="N54" i="5"/>
  <c r="N58" i="5"/>
  <c r="N62" i="5"/>
  <c r="N6" i="5"/>
  <c r="N10" i="5"/>
  <c r="N14" i="5"/>
  <c r="N18" i="5"/>
  <c r="N22" i="5"/>
  <c r="N26" i="5"/>
  <c r="N30" i="5"/>
  <c r="N34" i="5"/>
  <c r="N38" i="5"/>
  <c r="N42" i="5"/>
  <c r="N46" i="5"/>
  <c r="N50" i="5"/>
  <c r="N63" i="5"/>
  <c r="N57" i="5"/>
  <c r="N5" i="5"/>
  <c r="N13" i="5"/>
  <c r="N21" i="5"/>
  <c r="N29" i="5"/>
  <c r="N37" i="5"/>
  <c r="N45" i="5"/>
  <c r="N51" i="5"/>
  <c r="N59" i="5"/>
  <c r="N7" i="5"/>
  <c r="N15" i="5"/>
  <c r="N23" i="5"/>
  <c r="N31" i="5"/>
  <c r="N39" i="5"/>
  <c r="N47" i="5"/>
  <c r="N53" i="5"/>
  <c r="N61" i="5"/>
  <c r="N9" i="5"/>
  <c r="N17" i="5"/>
  <c r="N25" i="5"/>
  <c r="N33" i="5"/>
  <c r="N41" i="5"/>
  <c r="N49" i="5"/>
  <c r="N3" i="5"/>
  <c r="N19" i="5"/>
  <c r="N35" i="5"/>
  <c r="N55" i="5"/>
  <c r="N11" i="5"/>
  <c r="N27" i="5"/>
  <c r="N43" i="5"/>
  <c r="P2" i="3"/>
  <c r="M2" i="3"/>
  <c r="N2" i="3"/>
  <c r="G13" i="5"/>
  <c r="M2" i="5"/>
  <c r="N2" i="5"/>
  <c r="O2" i="3"/>
  <c r="P2" i="5"/>
  <c r="O19" i="4" l="1"/>
  <c r="A13" i="5"/>
  <c r="O45" i="5"/>
  <c r="O30" i="5"/>
  <c r="O12" i="5"/>
  <c r="F13" i="5"/>
  <c r="O29" i="5"/>
  <c r="O18" i="5"/>
  <c r="O56" i="5"/>
  <c r="O21" i="5"/>
  <c r="O14" i="5"/>
  <c r="O43" i="5"/>
  <c r="O49" i="5"/>
  <c r="O58" i="5"/>
  <c r="O39" i="5"/>
  <c r="G13" i="3"/>
  <c r="O2" i="5"/>
  <c r="O41" i="5"/>
  <c r="O48" i="5"/>
  <c r="O23" i="5"/>
  <c r="O9" i="5"/>
  <c r="O44" i="5"/>
  <c r="O11" i="5"/>
  <c r="O50" i="5"/>
  <c r="O28" i="5"/>
  <c r="O7" i="5"/>
  <c r="O14" i="4"/>
  <c r="O39" i="4"/>
  <c r="O29" i="4"/>
  <c r="O13" i="5"/>
  <c r="O33" i="5"/>
  <c r="O42" i="5"/>
  <c r="O10" i="5"/>
  <c r="O40" i="5"/>
  <c r="O8" i="5"/>
  <c r="O35" i="5"/>
  <c r="O3" i="5"/>
  <c r="O57" i="5"/>
  <c r="O25" i="5"/>
  <c r="O38" i="5"/>
  <c r="O6" i="5"/>
  <c r="O36" i="5"/>
  <c r="O4" i="5"/>
  <c r="O31" i="5"/>
  <c r="O59" i="5"/>
  <c r="O37" i="5"/>
  <c r="O17" i="5"/>
  <c r="O34" i="5"/>
  <c r="O62" i="5"/>
  <c r="O32" i="5"/>
  <c r="O60" i="5"/>
  <c r="O27" i="5"/>
  <c r="O55" i="5"/>
  <c r="O5" i="5"/>
  <c r="O61" i="5"/>
  <c r="O26" i="5"/>
  <c r="O54" i="5"/>
  <c r="O24" i="5"/>
  <c r="O52" i="5"/>
  <c r="O19" i="5"/>
  <c r="O63" i="5"/>
  <c r="O53" i="5"/>
  <c r="O22" i="5"/>
  <c r="O64" i="5"/>
  <c r="O20" i="5"/>
  <c r="O47" i="5"/>
  <c r="O3" i="4"/>
  <c r="O31" i="4"/>
  <c r="O30" i="4"/>
  <c r="O37" i="4"/>
  <c r="O42" i="4"/>
  <c r="O36" i="4"/>
  <c r="O34" i="4"/>
  <c r="O24" i="4"/>
  <c r="O41" i="4"/>
  <c r="O59" i="4"/>
  <c r="O8" i="4"/>
  <c r="O33" i="4"/>
  <c r="O27" i="4"/>
  <c r="O54" i="4"/>
  <c r="O64" i="4"/>
  <c r="O60" i="4"/>
  <c r="O26" i="4"/>
  <c r="O25" i="4"/>
  <c r="O23" i="4"/>
  <c r="O21" i="4"/>
  <c r="O20" i="4"/>
  <c r="O38" i="4"/>
  <c r="O48" i="4"/>
  <c r="O44" i="4"/>
  <c r="O18" i="4"/>
  <c r="O17" i="4"/>
  <c r="O15" i="4"/>
  <c r="O13" i="4"/>
  <c r="O11" i="4"/>
  <c r="O22" i="4"/>
  <c r="O32" i="4"/>
  <c r="O28" i="4"/>
  <c r="O10" i="4"/>
  <c r="O9" i="4"/>
  <c r="O7" i="4"/>
  <c r="O5" i="4"/>
  <c r="O4" i="4"/>
  <c r="O6" i="4"/>
  <c r="O16" i="4"/>
  <c r="O12" i="4"/>
  <c r="O2" i="4"/>
  <c r="O63" i="4"/>
  <c r="O61" i="4"/>
  <c r="O52" i="4"/>
  <c r="O56" i="4"/>
  <c r="O51" i="4"/>
  <c r="O62" i="4"/>
  <c r="O58" i="4"/>
  <c r="O57" i="4"/>
  <c r="O55" i="4"/>
  <c r="O53" i="4"/>
  <c r="A13" i="3"/>
  <c r="O43" i="4"/>
  <c r="O40" i="4"/>
  <c r="O35" i="4"/>
  <c r="O46" i="4"/>
  <c r="O50" i="4"/>
  <c r="O49" i="4"/>
  <c r="O47" i="4"/>
  <c r="F13" i="4"/>
  <c r="A13" i="4"/>
  <c r="F13" i="3"/>
  <c r="G13" i="4"/>
  <c r="D13" i="3"/>
  <c r="D18" i="6" s="1"/>
  <c r="I18" i="6" s="1"/>
  <c r="E13" i="5"/>
  <c r="B19" i="6" s="1"/>
  <c r="G19" i="6" s="1"/>
  <c r="E13" i="4"/>
  <c r="C19" i="6" s="1"/>
  <c r="H19" i="6" s="1"/>
  <c r="C13" i="3"/>
  <c r="D17" i="6" s="1"/>
  <c r="I17" i="6" s="1"/>
  <c r="B13" i="3"/>
  <c r="D16" i="6" s="1"/>
  <c r="I16" i="6" s="1"/>
  <c r="C13" i="4"/>
  <c r="C17" i="6" s="1"/>
  <c r="H17" i="6" s="1"/>
  <c r="E13" i="3"/>
  <c r="D19" i="6" s="1"/>
  <c r="I19" i="6" s="1"/>
  <c r="C13" i="5"/>
  <c r="B17" i="6" s="1"/>
  <c r="G17" i="6" s="1"/>
  <c r="B13" i="5"/>
  <c r="B16" i="6" s="1"/>
  <c r="G16" i="6" s="1"/>
  <c r="B13" i="4"/>
  <c r="C16" i="6" s="1"/>
  <c r="H16" i="6" s="1"/>
  <c r="D13" i="5" l="1"/>
  <c r="B18" i="6" s="1"/>
  <c r="G18" i="6" s="1"/>
  <c r="D13" i="4"/>
  <c r="C18" i="6" s="1"/>
  <c r="H18" i="6" s="1"/>
  <c r="H22" i="6" s="1"/>
</calcChain>
</file>

<file path=xl/sharedStrings.xml><?xml version="1.0" encoding="utf-8"?>
<sst xmlns="http://schemas.openxmlformats.org/spreadsheetml/2006/main" count="404" uniqueCount="121">
  <si>
    <t>Conformer Relative Populations</t>
  </si>
  <si>
    <t>Conv. Hartree to kcal/mol</t>
  </si>
  <si>
    <t>r (in kcal/(K*mol))</t>
  </si>
  <si>
    <t>Temp (K)</t>
  </si>
  <si>
    <t>Sum of Rel Pop</t>
  </si>
  <si>
    <t>Sum of Weights</t>
  </si>
  <si>
    <t>Energy (hartrees)</t>
  </si>
  <si>
    <t>Energy (kcal)</t>
  </si>
  <si>
    <t>Rel E</t>
  </si>
  <si>
    <t>Gibbs Energy (hartree)</t>
  </si>
  <si>
    <t>Conformer</t>
  </si>
  <si>
    <t>Classification</t>
  </si>
  <si>
    <t>Rotamer</t>
  </si>
  <si>
    <t>rel G</t>
  </si>
  <si>
    <t>rel Pop</t>
  </si>
  <si>
    <t>weight</t>
  </si>
  <si>
    <t>Notes</t>
  </si>
  <si>
    <t>4H6</t>
  </si>
  <si>
    <t>6H4</t>
  </si>
  <si>
    <t>56E</t>
  </si>
  <si>
    <t>5C12</t>
  </si>
  <si>
    <t>12C5</t>
  </si>
  <si>
    <t>Boltzmann Contribution</t>
  </si>
  <si>
    <t>Average E</t>
  </si>
  <si>
    <t xml:space="preserve">Conf1   </t>
  </si>
  <si>
    <t xml:space="preserve">Conf2   </t>
  </si>
  <si>
    <t xml:space="preserve">Conf4   </t>
  </si>
  <si>
    <t xml:space="preserve">Conf8   </t>
  </si>
  <si>
    <t xml:space="preserve">Conf20   </t>
  </si>
  <si>
    <t xml:space="preserve">Conf21   </t>
  </si>
  <si>
    <t xml:space="preserve">Conf27   </t>
  </si>
  <si>
    <t xml:space="preserve">Conf30   </t>
  </si>
  <si>
    <t xml:space="preserve">Conf40   </t>
  </si>
  <si>
    <t xml:space="preserve">Conf57   </t>
  </si>
  <si>
    <t xml:space="preserve">Conf86   </t>
  </si>
  <si>
    <t xml:space="preserve">Conf144   </t>
  </si>
  <si>
    <t>J1,2</t>
  </si>
  <si>
    <t>J2,3</t>
  </si>
  <si>
    <t>J34</t>
  </si>
  <si>
    <t>J45</t>
  </si>
  <si>
    <t>J56</t>
  </si>
  <si>
    <t>J67</t>
  </si>
  <si>
    <t>J77'</t>
  </si>
  <si>
    <t>J67'</t>
  </si>
  <si>
    <t>classification</t>
  </si>
  <si>
    <t>Column1</t>
  </si>
  <si>
    <t>Sum of Chair Weights</t>
  </si>
  <si>
    <t>Column2</t>
  </si>
  <si>
    <t>J1,23</t>
  </si>
  <si>
    <t>J2,34</t>
  </si>
  <si>
    <t>J345</t>
  </si>
  <si>
    <t>J456</t>
  </si>
  <si>
    <t>J567</t>
  </si>
  <si>
    <t>J678</t>
  </si>
  <si>
    <t>J67'9</t>
  </si>
  <si>
    <t>J77'10</t>
  </si>
  <si>
    <t>RMSD</t>
  </si>
  <si>
    <t>Exp (Hz)</t>
  </si>
  <si>
    <t>DFT (Hz)</t>
  </si>
  <si>
    <t>Scaled DFT (Hz)</t>
  </si>
  <si>
    <t>weighted</t>
  </si>
  <si>
    <t>Average</t>
  </si>
  <si>
    <t>SdDev</t>
  </si>
  <si>
    <t>J23</t>
  </si>
  <si>
    <t>SD</t>
  </si>
  <si>
    <t>V1</t>
  </si>
  <si>
    <t>V2</t>
  </si>
  <si>
    <t xml:space="preserve">Conf14   </t>
  </si>
  <si>
    <t xml:space="preserve">Conf25   </t>
  </si>
  <si>
    <t xml:space="preserve">Conf29   </t>
  </si>
  <si>
    <t xml:space="preserve">Conf32   </t>
  </si>
  <si>
    <t xml:space="preserve">Conf35   </t>
  </si>
  <si>
    <t xml:space="preserve">Conf36   </t>
  </si>
  <si>
    <t xml:space="preserve">Conf44   </t>
  </si>
  <si>
    <t xml:space="preserve">Conf47   </t>
  </si>
  <si>
    <t xml:space="preserve">Conf52   </t>
  </si>
  <si>
    <t xml:space="preserve">Conf54   </t>
  </si>
  <si>
    <t xml:space="preserve">Conf55   </t>
  </si>
  <si>
    <t xml:space="preserve">Conf58   </t>
  </si>
  <si>
    <t xml:space="preserve">Conf60   </t>
  </si>
  <si>
    <t xml:space="preserve">Conf70   </t>
  </si>
  <si>
    <t xml:space="preserve">Conf90   </t>
  </si>
  <si>
    <t xml:space="preserve">Conf92   </t>
  </si>
  <si>
    <t xml:space="preserve">Conf93   </t>
  </si>
  <si>
    <t xml:space="preserve">Conf95   </t>
  </si>
  <si>
    <t xml:space="preserve">Conf100   </t>
  </si>
  <si>
    <t xml:space="preserve">Conf118   </t>
  </si>
  <si>
    <t xml:space="preserve">Conf120   </t>
  </si>
  <si>
    <t xml:space="preserve">Conf122   </t>
  </si>
  <si>
    <t xml:space="preserve">Conf129   </t>
  </si>
  <si>
    <t xml:space="preserve">Conf155   </t>
  </si>
  <si>
    <t xml:space="preserve">Conf159   </t>
  </si>
  <si>
    <t xml:space="preserve">Conf164   </t>
  </si>
  <si>
    <t xml:space="preserve">Conf170   </t>
  </si>
  <si>
    <t xml:space="preserve">Conf184   </t>
  </si>
  <si>
    <t xml:space="preserve">Conf189   </t>
  </si>
  <si>
    <t xml:space="preserve">Conf190   </t>
  </si>
  <si>
    <t xml:space="preserve">Conf205   </t>
  </si>
  <si>
    <t xml:space="preserve">Conf247   </t>
  </si>
  <si>
    <t xml:space="preserve">Conf387   </t>
  </si>
  <si>
    <t xml:space="preserve">null   </t>
  </si>
  <si>
    <t>45E</t>
  </si>
  <si>
    <t>E45</t>
  </si>
  <si>
    <t xml:space="preserve">Conf5   </t>
  </si>
  <si>
    <t xml:space="preserve">Conf42   </t>
  </si>
  <si>
    <t xml:space="preserve">Conf43   </t>
  </si>
  <si>
    <t xml:space="preserve">Conf51   </t>
  </si>
  <si>
    <t xml:space="preserve">Conf65   </t>
  </si>
  <si>
    <t xml:space="preserve">Conf69   </t>
  </si>
  <si>
    <t xml:space="preserve">Conf89   </t>
  </si>
  <si>
    <t xml:space="preserve">Conf112   </t>
  </si>
  <si>
    <t xml:space="preserve">Conf115   </t>
  </si>
  <si>
    <t xml:space="preserve">Conf117   </t>
  </si>
  <si>
    <t xml:space="preserve">Conf124   </t>
  </si>
  <si>
    <t xml:space="preserve">Conf125   </t>
  </si>
  <si>
    <t xml:space="preserve">Conf126   </t>
  </si>
  <si>
    <t xml:space="preserve">Conf199   </t>
  </si>
  <si>
    <t xml:space="preserve">Conf201   </t>
  </si>
  <si>
    <t xml:space="preserve">Conf217   </t>
  </si>
  <si>
    <t xml:space="preserve">Conf225   </t>
  </si>
  <si>
    <t xml:space="preserve">Conf376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</si>
</sst>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0"/>
      <color rgb="FF00B0F0"/>
      <name val="Arial"/>
      <family val="2"/>
    </font>
    <font>
      <sz val="8"/>
      <name val="Calibri"/>
      <family val="2"/>
      <scheme val="minor"/>
    </font>
    <font>
      <sz val="10"/>
      <color rgb="FF000000"/>
      <name val="Lucida Console"/>
      <family val="3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theme="1"/>
      </top>
      <bottom/>
      <diagonal/>
    </border>
    <border>
      <left/>
      <right/>
      <top style="thin">
        <color theme="1"/>
      </top>
      <bottom style="thin">
        <color theme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0" xfId="0" applyFont="1"/>
    <xf numFmtId="0" fontId="1" fillId="0" borderId="0" xfId="0" applyFont="1"/>
    <xf numFmtId="0" fontId="3" fillId="0" borderId="0" xfId="0" applyFont="1"/>
    <xf numFmtId="0" fontId="0" fillId="0" borderId="0" xfId="0" applyNumberFormat="1"/>
    <xf numFmtId="0" fontId="0" fillId="0" borderId="1" xfId="0" applyBorder="1"/>
    <xf numFmtId="2" fontId="0" fillId="0" borderId="0" xfId="0" applyNumberFormat="1"/>
    <xf numFmtId="0" fontId="5" fillId="0" borderId="0" xfId="0" applyFont="1" applyAlignment="1">
      <alignment vertical="center"/>
    </xf>
    <xf numFmtId="0" fontId="5" fillId="2" borderId="0" xfId="0" applyFont="1" applyFill="1" applyAlignment="1">
      <alignment vertical="center"/>
    </xf>
    <xf numFmtId="0" fontId="0" fillId="0" borderId="0" xfId="0" applyFont="1"/>
    <xf numFmtId="164" fontId="0" fillId="0" borderId="0" xfId="0" applyNumberFormat="1"/>
    <xf numFmtId="0" fontId="0" fillId="0" borderId="1" xfId="0" applyFont="1" applyBorder="1"/>
    <xf numFmtId="0" fontId="0" fillId="0" borderId="2" xfId="0" applyFont="1" applyBorder="1"/>
  </cellXfs>
  <cellStyles count="1">
    <cellStyle name="Normal" xfId="0" builtinId="0"/>
  </cellStyles>
  <dxfs count="31"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font>
        <color rgb="FF006100"/>
      </font>
      <fill>
        <patternFill>
          <bgColor rgb="FFC6EFCE"/>
        </patternFill>
      </fill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164" formatCode="0.0000"/>
    </dxf>
    <dxf>
      <numFmt numFmtId="164" formatCode="0.0000"/>
    </dxf>
    <dxf>
      <numFmt numFmtId="164" formatCode="0.0000"/>
    </dxf>
    <dxf>
      <numFmt numFmtId="0" formatCode="General"/>
    </dxf>
    <dxf>
      <numFmt numFmtId="0" formatCode="General"/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Boltzmann</a:t>
            </a:r>
            <a:r>
              <a:rPr lang="en-US" baseline="0"/>
              <a:t> Distribution of Mannose-based Oxepine in Chloroform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DDED-4924-AC9A-58265F8E5055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DDED-4924-AC9A-58265F8E5055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DDED-4924-AC9A-58265F8E5055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DDED-4924-AC9A-58265F8E5055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DDED-4924-AC9A-58265F8E5055}"/>
              </c:ext>
            </c:extLst>
          </c:dPt>
          <c:dLbls>
            <c:dLbl>
              <c:idx val="3"/>
              <c:layout>
                <c:manualLayout>
                  <c:x val="2.2405074365704287E-2"/>
                  <c:y val="5.5062117235345582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DDED-4924-AC9A-58265F8E505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chloroform!$N$7:$N$11</c:f>
              <c:strCache>
                <c:ptCount val="5"/>
                <c:pt idx="0">
                  <c:v>4H6</c:v>
                </c:pt>
                <c:pt idx="1">
                  <c:v>5C12</c:v>
                </c:pt>
                <c:pt idx="2">
                  <c:v>6H4</c:v>
                </c:pt>
                <c:pt idx="3">
                  <c:v>12C5</c:v>
                </c:pt>
                <c:pt idx="4">
                  <c:v>56E</c:v>
                </c:pt>
              </c:strCache>
            </c:strRef>
          </c:cat>
          <c:val>
            <c:numRef>
              <c:f>chloroform!$O$7:$O$11</c:f>
              <c:numCache>
                <c:formatCode>General</c:formatCode>
                <c:ptCount val="5"/>
                <c:pt idx="0">
                  <c:v>0.6041471727249127</c:v>
                </c:pt>
                <c:pt idx="1">
                  <c:v>0.33905463306596056</c:v>
                </c:pt>
                <c:pt idx="2">
                  <c:v>3.6758211701558893E-2</c:v>
                </c:pt>
                <c:pt idx="3">
                  <c:v>1.9310175511010538E-2</c:v>
                </c:pt>
                <c:pt idx="4">
                  <c:v>7.2980699655732142E-4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887-4FFD-BFD3-5EBF4F45B715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344203849518811"/>
          <c:y val="0.15804357904496988"/>
          <c:w val="0.89655796150481193"/>
          <c:h val="0.72049945425806472"/>
        </c:manualLayout>
      </c:layout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chloroform!$N$7:$N$12</c:f>
              <c:strCache>
                <c:ptCount val="5"/>
                <c:pt idx="0">
                  <c:v>4H6</c:v>
                </c:pt>
                <c:pt idx="1">
                  <c:v>5C12</c:v>
                </c:pt>
                <c:pt idx="2">
                  <c:v>6H4</c:v>
                </c:pt>
                <c:pt idx="3">
                  <c:v>12C5</c:v>
                </c:pt>
                <c:pt idx="4">
                  <c:v>56E</c:v>
                </c:pt>
              </c:strCache>
            </c:strRef>
          </c:cat>
          <c:val>
            <c:numRef>
              <c:f>chloroform!$P$7:$P$12</c:f>
              <c:numCache>
                <c:formatCode>General</c:formatCode>
                <c:ptCount val="6"/>
                <c:pt idx="0">
                  <c:v>2.918681267644458</c:v>
                </c:pt>
                <c:pt idx="1">
                  <c:v>2.9178817289111274</c:v>
                </c:pt>
                <c:pt idx="2">
                  <c:v>4.2001638363464737</c:v>
                </c:pt>
                <c:pt idx="3">
                  <c:v>4.3846065543540238</c:v>
                </c:pt>
                <c:pt idx="4">
                  <c:v>4.0720784135046415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820-4F27-8A67-3CE97FF56B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0927360"/>
        <c:axId val="159401408"/>
      </c:lineChart>
      <c:catAx>
        <c:axId val="1709273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9401408"/>
        <c:crosses val="autoZero"/>
        <c:auto val="1"/>
        <c:lblAlgn val="ctr"/>
        <c:lblOffset val="100"/>
        <c:noMultiLvlLbl val="0"/>
      </c:catAx>
      <c:valAx>
        <c:axId val="1594014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09273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Populations</a:t>
            </a:r>
            <a:r>
              <a:rPr lang="en-US" baseline="0"/>
              <a:t> in Solution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A47C-4E7D-BC79-59000301665D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A47C-4E7D-BC79-59000301665D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A47C-4E7D-BC79-59000301665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Sheet6!$M$9:$M$11</c:f>
              <c:strCache>
                <c:ptCount val="2"/>
                <c:pt idx="0">
                  <c:v>4H6</c:v>
                </c:pt>
                <c:pt idx="1">
                  <c:v>5C12</c:v>
                </c:pt>
              </c:strCache>
            </c:strRef>
          </c:cat>
          <c:val>
            <c:numRef>
              <c:f>Sheet6!$N$9:$N$11</c:f>
              <c:numCache>
                <c:formatCode>General</c:formatCode>
                <c:ptCount val="3"/>
                <c:pt idx="0">
                  <c:v>0.66500000000000004</c:v>
                </c:pt>
                <c:pt idx="1">
                  <c:v>0.33500000000000002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A44-4B7E-84DF-1A0D32F98913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205740</xdr:colOff>
      <xdr:row>19</xdr:row>
      <xdr:rowOff>0</xdr:rowOff>
    </xdr:from>
    <xdr:to>
      <xdr:col>19</xdr:col>
      <xdr:colOff>510540</xdr:colOff>
      <xdr:row>34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2D88416-F6C6-4E8B-BF60-08E01D1EC48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361950</xdr:colOff>
      <xdr:row>0</xdr:row>
      <xdr:rowOff>181927</xdr:rowOff>
    </xdr:from>
    <xdr:to>
      <xdr:col>24</xdr:col>
      <xdr:colOff>57150</xdr:colOff>
      <xdr:row>16</xdr:row>
      <xdr:rowOff>20002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6462B5B3-B473-4A4D-BD21-F0490023D87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280987</xdr:colOff>
      <xdr:row>14</xdr:row>
      <xdr:rowOff>98107</xdr:rowOff>
    </xdr:from>
    <xdr:to>
      <xdr:col>21</xdr:col>
      <xdr:colOff>585787</xdr:colOff>
      <xdr:row>28</xdr:row>
      <xdr:rowOff>176212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29369B8-BB4E-49C6-825A-729EE5C9DA7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50F378A-7FF5-477E-9F58-AA57ACA0A4EA}" name="Table1" displayName="Table1" ref="A6:K69" totalsRowShown="0">
  <autoFilter ref="A6:K69" xr:uid="{D2222DA1-7940-4CAF-B639-69BE9EB6EC23}"/>
  <sortState xmlns:xlrd2="http://schemas.microsoft.com/office/spreadsheetml/2017/richdata2" ref="A7:K69">
    <sortCondition ref="E6:E69"/>
  </sortState>
  <tableColumns count="11">
    <tableColumn id="1" xr3:uid="{FEE07942-27E5-496C-9CE0-57C74379E5FA}" name="Energy (hartrees)"/>
    <tableColumn id="2" xr3:uid="{63BAC07D-9EEB-4F2C-8811-E61BDC1C21EA}" name="Energy (kcal)">
      <calculatedColumnFormula>Table1[[#This Row],[Energy (hartrees)]]*$C$2</calculatedColumnFormula>
    </tableColumn>
    <tableColumn id="3" xr3:uid="{12894FA1-734B-45A6-9EF2-5148A247DA7B}" name="Rel E" dataDxfId="27">
      <calculatedColumnFormula>Table1[[#This Row],[Energy (kcal)]]-MIN(Table1[Energy (kcal)])</calculatedColumnFormula>
    </tableColumn>
    <tableColumn id="4" xr3:uid="{54C0F622-FA42-47B1-9E9E-743875831B4F}" name="Gibbs Energy (hartree)" dataDxfId="26"/>
    <tableColumn id="5" xr3:uid="{BDB0ECDE-37A8-4A43-A3CD-DD9087669A2C}" name="Conformer" dataCellStyle="Normal"/>
    <tableColumn id="6" xr3:uid="{21628E59-03EB-4814-A6DC-64A3C143958C}" name="Classification"/>
    <tableColumn id="7" xr3:uid="{AA0E77B5-E211-487E-B49A-CB97CCF7EB4C}" name="Rotamer"/>
    <tableColumn id="8" xr3:uid="{C8505BC0-77EE-412B-881D-63638FDCF736}" name="rel G" dataDxfId="25">
      <calculatedColumnFormula>Table1[[#This Row],[Rel E]]</calculatedColumnFormula>
    </tableColumn>
    <tableColumn id="9" xr3:uid="{EBC562E8-B9B1-406E-97BC-1FF976A70B16}" name="rel Pop" dataDxfId="24">
      <calculatedColumnFormula>IF(Table1[[#This Row],[rel G]]&lt;5,EXP(-H7/(D$2*E$2)),0)</calculatedColumnFormula>
    </tableColumn>
    <tableColumn id="10" xr3:uid="{7DDF65B3-2008-4EF1-B471-33FC09D4BF35}" name="weight" dataDxfId="23">
      <calculatedColumnFormula>IF(Table1[[#This Row],[rel G]]&lt;5,I7/$F$2,0)</calculatedColumnFormula>
    </tableColumn>
    <tableColumn id="11" xr3:uid="{89EB24DF-08B1-411D-9901-685CD4A89140}" name="Notes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3620E235-C4B7-40BE-BA2F-32B5A8BAB326}" name="Table2" displayName="Table2" ref="A1:T64" totalsRowShown="0">
  <autoFilter ref="A1:T64" xr:uid="{80F3E59D-79C5-4B7B-9568-C30BCF944036}"/>
  <tableColumns count="20">
    <tableColumn id="1" xr3:uid="{2198BB88-6605-48FF-B11D-ABBAC4DF32C9}" name="Column1"/>
    <tableColumn id="2" xr3:uid="{ECA138EF-DFE0-4FA2-8395-F326AA2F3EC0}" name="J1,2"/>
    <tableColumn id="3" xr3:uid="{B9719F06-DA97-4A47-A1D7-7DB788F1468E}" name="J2,3"/>
    <tableColumn id="4" xr3:uid="{433F98E4-42A0-4622-9B85-6ED7E3978782}" name="J34"/>
    <tableColumn id="5" xr3:uid="{0D07CCDF-37DB-4EE9-8CAB-117F3F1CC3F9}" name="J45"/>
    <tableColumn id="6" xr3:uid="{35492A16-3276-4B47-BBDF-0FEDEEFEA748}" name="J56"/>
    <tableColumn id="7" xr3:uid="{CAAE7FE1-3744-44F8-AF5E-3389DFAB73C4}" name="J67"/>
    <tableColumn id="8" xr3:uid="{9D491360-065E-4CBB-9EB5-7812C352DDD6}" name="J77'"/>
    <tableColumn id="9" xr3:uid="{16E42B76-E02F-4E7A-B038-1A1894011742}" name="J67'"/>
    <tableColumn id="10" xr3:uid="{A5ABFF3F-34FD-4AA6-A6B0-B78B399F171C}" name="weight" dataDxfId="22">
      <calculatedColumnFormula>chloroform!J7</calculatedColumnFormula>
    </tableColumn>
    <tableColumn id="11" xr3:uid="{F5D86611-FEEF-4B78-86A2-EDD564E6E521}" name="classification">
      <calculatedColumnFormula>chloroform!F7</calculatedColumnFormula>
    </tableColumn>
    <tableColumn id="12" xr3:uid="{BA3D2A2B-257F-4BF1-8E9D-90AD4EBF46A9}" name="Column2"/>
    <tableColumn id="13" xr3:uid="{5F435E63-4F32-4514-99E6-0CED455594F8}" name="J1,23">
      <calculatedColumnFormula>0.9155*Table2[[#This Row],[J1,2]]*Table2[[#This Row],[weight]]</calculatedColumnFormula>
    </tableColumn>
    <tableColumn id="14" xr3:uid="{D5A178FE-CB99-47E9-8362-119DC69FD52C}" name="J2,34">
      <calculatedColumnFormula>0.9155*Table2[[#This Row],[J2,3]]*Table2[[#This Row],[weight]]</calculatedColumnFormula>
    </tableColumn>
    <tableColumn id="15" xr3:uid="{8DCD0B45-C5C6-4C5E-B29A-BB6B1BB901BE}" name="J345">
      <calculatedColumnFormula>0.9155*Table2[[#This Row],[J34]]*Table2[[#This Row],[weight]]</calculatedColumnFormula>
    </tableColumn>
    <tableColumn id="16" xr3:uid="{38299B99-8E91-4F27-81EB-5940CBE11CD5}" name="J456">
      <calculatedColumnFormula>0.9155*Table2[[#This Row],[J45]]*Table2[[#This Row],[weight]]</calculatedColumnFormula>
    </tableColumn>
    <tableColumn id="17" xr3:uid="{ABCC17F3-244D-4473-80F1-D83E9E5DB0D9}" name="J567">
      <calculatedColumnFormula>0.9155*Table2[[#This Row],[J56]]*Table2[[#This Row],[weight]]</calculatedColumnFormula>
    </tableColumn>
    <tableColumn id="18" xr3:uid="{31B4933A-A11E-45C2-895C-F766E90CEA50}" name="J678">
      <calculatedColumnFormula>0.9155*Table2[[#This Row],[J67]]*Table2[[#This Row],[weight]]</calculatedColumnFormula>
    </tableColumn>
    <tableColumn id="19" xr3:uid="{91FA6AC6-01C4-442E-910F-0358D29D2E39}" name="J67'9">
      <calculatedColumnFormula>0.9155*Table2[[#This Row],[J67'']]*Table2[[#This Row],[weight]]</calculatedColumnFormula>
    </tableColumn>
    <tableColumn id="20" xr3:uid="{5A98559C-FB8A-42AD-8563-88BCBF6953A2}" name="J77'10">
      <calculatedColumnFormula>0.9155*Table2[[#This Row],[J77'']]*Table2[[#This Row],[weight]]</calculatedColumnFormula>
    </tableColumn>
  </tableColumns>
  <tableStyleInfo name="TableStyleLight8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FC9683B3-1EAE-460D-8A60-9BB936A5D5B7}" name="Table3" displayName="Table3" ref="K1:T64" totalsRowShown="0">
  <autoFilter ref="K1:T64" xr:uid="{D8941E95-9795-4A93-81A8-7906E931066E}"/>
  <tableColumns count="10">
    <tableColumn id="1" xr3:uid="{502316A8-00C9-483C-A55E-042B44DAC480}" name="Column1">
      <calculatedColumnFormula>Table2[[#This Row],[Column1]]</calculatedColumnFormula>
    </tableColumn>
    <tableColumn id="2" xr3:uid="{0E2E6069-2A77-412C-ADA4-C97F3F31DD5A}" name="J1,2" dataDxfId="21">
      <calculatedColumnFormula>Table3[[#This Row],[weight]]*(0.9155*Table2[[#This Row],[J1,2]]-A$9)^2</calculatedColumnFormula>
    </tableColumn>
    <tableColumn id="3" xr3:uid="{99C8AE46-1D36-4558-BECE-2A9182B49057}" name="J2,3" dataDxfId="20">
      <calculatedColumnFormula>Table3[[#This Row],[weight]]*(0.9155*Table2[[#This Row],[J2,3]]-B$9)^2</calculatedColumnFormula>
    </tableColumn>
    <tableColumn id="4" xr3:uid="{803275AF-CFEE-4850-AA59-B7DB234A210B}" name="J34" dataDxfId="19">
      <calculatedColumnFormula>Table3[[#This Row],[weight]]*(0.9155*Table2[[#This Row],[J34]]-C$9)^2</calculatedColumnFormula>
    </tableColumn>
    <tableColumn id="5" xr3:uid="{AD807DCB-A3B0-4EB1-BD30-22361475CD38}" name="J45" dataDxfId="18">
      <calculatedColumnFormula>Table3[[#This Row],[weight]]*(0.9155*Table2[[#This Row],[J45]]-D$9)^2</calculatedColumnFormula>
    </tableColumn>
    <tableColumn id="6" xr3:uid="{37B27F45-4581-4973-9AE8-D34D9029691D}" name="J56" dataDxfId="17">
      <calculatedColumnFormula>Table3[[#This Row],[weight]]*(0.9155*Table2[[#This Row],[J56]]-E$9)^2</calculatedColumnFormula>
    </tableColumn>
    <tableColumn id="7" xr3:uid="{BF4C5F4D-3601-4174-8A18-5C730E7E580B}" name="J67" dataDxfId="16">
      <calculatedColumnFormula>Table3[[#This Row],[weight]]*(0.9155*Table2[[#This Row],[J67]]-F$9)^2</calculatedColumnFormula>
    </tableColumn>
    <tableColumn id="8" xr3:uid="{8B48EF87-E5AD-478B-B6EE-9EF474E2BF1E}" name="J67'" dataDxfId="15">
      <calculatedColumnFormula>Table3[[#This Row],[weight]]*(0.9155*Table2[[#This Row],[J67'']]-G$9)^2</calculatedColumnFormula>
    </tableColumn>
    <tableColumn id="9" xr3:uid="{23ACD263-BA0B-4F2B-A70A-089C885DE580}" name="weight">
      <calculatedColumnFormula>Table2[[#This Row],[weight]]</calculatedColumnFormula>
    </tableColumn>
    <tableColumn id="10" xr3:uid="{B8477986-80BC-40E3-A47B-C498CC76E9FD}" name="classification">
      <calculatedColumnFormula>Table2[[#This Row],[classification]]</calculatedColumnFormula>
    </tableColumn>
  </tableColumns>
  <tableStyleInfo name="TableStyleLight8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59990A7D-F08D-45EC-8330-F088888D87E7}" name="Table4" displayName="Table4" ref="K1:T64" totalsRowShown="0">
  <autoFilter ref="K1:T64" xr:uid="{4F6235A9-2023-4B62-B342-F82B4F81652B}"/>
  <tableColumns count="10">
    <tableColumn id="1" xr3:uid="{5B9CA255-F4EB-4BA1-9F23-B3010FB265F8}" name="Column1">
      <calculatedColumnFormula>Table2[[#This Row],[Column1]]</calculatedColumnFormula>
    </tableColumn>
    <tableColumn id="2" xr3:uid="{AFCE0D9A-0221-486C-9779-B132188E694D}" name="J1,2" dataDxfId="14">
      <calculatedColumnFormula>Table4[[#This Row],[weight]]*(0.9155*Table2[[#This Row],[J1,2]]-A$9)^2</calculatedColumnFormula>
    </tableColumn>
    <tableColumn id="3" xr3:uid="{BC0FF307-497E-4FCE-8FED-D07A264094F7}" name="J2,3" dataDxfId="13">
      <calculatedColumnFormula>Table4[[#This Row],[weight]]*(0.9155*Table2[[#This Row],[J2,3]]-B$9)^2</calculatedColumnFormula>
    </tableColumn>
    <tableColumn id="4" xr3:uid="{42A112DC-DE7A-4ED7-BE47-C9179C10D485}" name="J34" dataDxfId="12">
      <calculatedColumnFormula>Table4[[#This Row],[weight]]*(0.9155*Table2[[#This Row],[J34]]-C$9)^2</calculatedColumnFormula>
    </tableColumn>
    <tableColumn id="5" xr3:uid="{E539553D-57EB-4732-A8E5-359F42069025}" name="J45" dataDxfId="11">
      <calculatedColumnFormula>Table4[[#This Row],[weight]]*(0.9155*Table2[[#This Row],[J45]]-D$9)^2</calculatedColumnFormula>
    </tableColumn>
    <tableColumn id="6" xr3:uid="{37B63D85-DB86-4579-B791-957465BF93B6}" name="J56" dataDxfId="10">
      <calculatedColumnFormula>Table4[[#This Row],[weight]]*(0.9155*Table2[[#This Row],[J56]]-E$9)^2</calculatedColumnFormula>
    </tableColumn>
    <tableColumn id="7" xr3:uid="{8F331390-F594-461F-984E-59C28C29DB64}" name="J67" dataDxfId="9">
      <calculatedColumnFormula>Table4[[#This Row],[weight]]*(0.9155*Table2[[#This Row],[J67]]-F$9)^2</calculatedColumnFormula>
    </tableColumn>
    <tableColumn id="8" xr3:uid="{10E7EDE2-9C64-4F79-A89A-2F9F4A7441CB}" name="J67'" dataDxfId="8">
      <calculatedColumnFormula>Table4[[#This Row],[weight]]*(0.9155*Table2[[#This Row],[J67'']]-G$9)^2</calculatedColumnFormula>
    </tableColumn>
    <tableColumn id="9" xr3:uid="{5DC7A02F-F6F6-40A5-AF33-C35C8FA56DBB}" name="weight">
      <calculatedColumnFormula>Table2[[#This Row],[weight]]</calculatedColumnFormula>
    </tableColumn>
    <tableColumn id="10" xr3:uid="{98B8F559-A649-4983-8224-F55C307297F5}" name="classification">
      <calculatedColumnFormula>Table2[[#This Row],[classification]]</calculatedColumnFormula>
    </tableColumn>
  </tableColumns>
  <tableStyleInfo name="TableStyleLight8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241CADD4-BC5A-4C62-A1DD-8B2ACB42A230}" name="Table412" displayName="Table412" ref="K1:T64" totalsRowShown="0">
  <autoFilter ref="K1:T64" xr:uid="{1806F2C9-8FD9-4610-A72B-2F8BDF927ED4}"/>
  <tableColumns count="10">
    <tableColumn id="1" xr3:uid="{89A33290-2469-4E8E-BD7B-5BA4CA99D366}" name="Column1">
      <calculatedColumnFormula>Table2[[#This Row],[Column1]]</calculatedColumnFormula>
    </tableColumn>
    <tableColumn id="2" xr3:uid="{94F061F3-AB05-4D67-AA4A-2028D7B5CD10}" name="J1,2" dataDxfId="6">
      <calculatedColumnFormula>Table3[[#This Row],[weight]]*(0.9155*Table2[[#This Row],[J1,2]]-A$9)^2</calculatedColumnFormula>
    </tableColumn>
    <tableColumn id="3" xr3:uid="{2D7C7D69-3E91-4640-AF04-B9CC191C2A07}" name="J2,3" dataDxfId="5">
      <calculatedColumnFormula>Table3[[#This Row],[weight]]*(0.9155*Table2[[#This Row],[J2,3]]-B$9)^2</calculatedColumnFormula>
    </tableColumn>
    <tableColumn id="4" xr3:uid="{A97DBE92-A35B-4666-BF5E-6AEC54E9B882}" name="J34" dataDxfId="4">
      <calculatedColumnFormula>Table3[[#This Row],[weight]]*(0.9155*Table2[[#This Row],[J34]]-C$9)^2</calculatedColumnFormula>
    </tableColumn>
    <tableColumn id="5" xr3:uid="{9A2341B3-24AE-4078-8254-F52F4524C242}" name="J45" dataDxfId="3">
      <calculatedColumnFormula>Table3[[#This Row],[weight]]*(0.9155*Table2[[#This Row],[J45]]-D$9)^2</calculatedColumnFormula>
    </tableColumn>
    <tableColumn id="6" xr3:uid="{5A4E9992-292D-49F5-9013-B8D2F5B01F8A}" name="J56" dataDxfId="2">
      <calculatedColumnFormula>Table3[[#This Row],[weight]]*(0.9155*Table2[[#This Row],[J56]]-E$9)^2</calculatedColumnFormula>
    </tableColumn>
    <tableColumn id="7" xr3:uid="{40297247-3FCF-4DDF-BF44-7D824AE90E7B}" name="J67" dataDxfId="1">
      <calculatedColumnFormula>Table3[[#This Row],[weight]]*(0.9155*Table2[[#This Row],[J67]]-F$9)^2</calculatedColumnFormula>
    </tableColumn>
    <tableColumn id="8" xr3:uid="{046CDBAF-0325-4EAD-AE5F-9E1CD7E09D19}" name="J67'" dataDxfId="0">
      <calculatedColumnFormula>Table3[[#This Row],[weight]]*(0.9155*Table2[[#This Row],[J67'']]-G$9)^2</calculatedColumnFormula>
    </tableColumn>
    <tableColumn id="9" xr3:uid="{C84FDD17-032C-4844-A1EB-FAC55434AC5E}" name="weight">
      <calculatedColumnFormula>Table2[[#This Row],[weight]]</calculatedColumnFormula>
    </tableColumn>
    <tableColumn id="10" xr3:uid="{39377053-392F-4CFC-B2C6-4E63FCAA601D}" name="classification">
      <calculatedColumnFormula>Table2[[#This Row],[classification]]</calculatedColumnFormula>
    </tableColumn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0C78BB-2BC0-4325-8544-70B963963355}">
  <dimension ref="A1:Z101"/>
  <sheetViews>
    <sheetView zoomScale="85" zoomScaleNormal="85" workbookViewId="0">
      <selection activeCell="O9" sqref="O9:O11"/>
    </sheetView>
  </sheetViews>
  <sheetFormatPr defaultRowHeight="15" x14ac:dyDescent="0.25"/>
  <cols>
    <col min="1" max="1" width="16.7109375" customWidth="1"/>
    <col min="2" max="2" width="13.140625" customWidth="1"/>
    <col min="4" max="4" width="20.7109375" customWidth="1"/>
    <col min="5" max="5" width="11.7109375" customWidth="1"/>
    <col min="6" max="6" width="13.7109375" customWidth="1"/>
    <col min="7" max="7" width="10" customWidth="1"/>
    <col min="8" max="8" width="11.140625" bestFit="1" customWidth="1"/>
    <col min="9" max="10" width="9.7109375" bestFit="1" customWidth="1"/>
    <col min="24" max="24" width="11" bestFit="1" customWidth="1"/>
  </cols>
  <sheetData>
    <row r="1" spans="1:26" x14ac:dyDescent="0.25">
      <c r="A1" s="1" t="s">
        <v>0</v>
      </c>
      <c r="B1" s="2"/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Z1">
        <v>-1260.02581780845</v>
      </c>
    </row>
    <row r="2" spans="1:26" x14ac:dyDescent="0.25">
      <c r="A2" s="3"/>
      <c r="B2" s="2"/>
      <c r="C2" s="2">
        <v>627.51</v>
      </c>
      <c r="D2" s="2">
        <v>1.9858800000000002E-3</v>
      </c>
      <c r="E2" s="2">
        <v>298.2</v>
      </c>
      <c r="F2">
        <f>SUMIF(Table1[rel G],"&lt;5",Table1[rel Pop])</f>
        <v>4.9242315647851038</v>
      </c>
      <c r="G2">
        <f>SUM(J7:J103)</f>
        <v>1.0000000000000004</v>
      </c>
      <c r="Z2">
        <v>-1260.0259146165699</v>
      </c>
    </row>
    <row r="3" spans="1:26" x14ac:dyDescent="0.25">
      <c r="Z3">
        <v>-1260.0261169744199</v>
      </c>
    </row>
    <row r="4" spans="1:26" x14ac:dyDescent="0.25">
      <c r="Z4">
        <v>-1260.02675840853</v>
      </c>
    </row>
    <row r="5" spans="1:26" x14ac:dyDescent="0.25">
      <c r="Z5">
        <v>-1260.0271541965899</v>
      </c>
    </row>
    <row r="6" spans="1:26" x14ac:dyDescent="0.25">
      <c r="A6" t="s">
        <v>6</v>
      </c>
      <c r="B6" t="s">
        <v>7</v>
      </c>
      <c r="C6" t="s">
        <v>8</v>
      </c>
      <c r="D6" t="s">
        <v>9</v>
      </c>
      <c r="E6" t="s">
        <v>10</v>
      </c>
      <c r="F6" t="s">
        <v>11</v>
      </c>
      <c r="G6" t="s">
        <v>12</v>
      </c>
      <c r="H6" t="s">
        <v>13</v>
      </c>
      <c r="I6" t="s">
        <v>14</v>
      </c>
      <c r="J6" t="s">
        <v>15</v>
      </c>
      <c r="K6" t="s">
        <v>16</v>
      </c>
      <c r="O6" t="s">
        <v>22</v>
      </c>
      <c r="P6" t="s">
        <v>23</v>
      </c>
      <c r="Z6">
        <v>-1260.02414022827</v>
      </c>
    </row>
    <row r="7" spans="1:26" x14ac:dyDescent="0.25">
      <c r="A7">
        <v>-1260.02771560017</v>
      </c>
      <c r="B7">
        <f>Table1[[#This Row],[Energy (hartrees)]]*$C$2</f>
        <v>-790679.99181626271</v>
      </c>
      <c r="C7" s="4">
        <f>Table1[[#This Row],[Energy (kcal)]]-MIN(Table1[Energy (kcal)])</f>
        <v>1.7671356612117961</v>
      </c>
      <c r="D7">
        <v>-1260.02771560017</v>
      </c>
      <c r="E7">
        <v>1</v>
      </c>
      <c r="F7" t="s">
        <v>18</v>
      </c>
      <c r="H7" s="10">
        <f>Table1[[#This Row],[Rel E]]</f>
        <v>1.7671356612117961</v>
      </c>
      <c r="I7" s="10">
        <f>IF(Table1[[#This Row],[rel G]]&lt;5,EXP(-H7/(D$2*E$2)),0)</f>
        <v>5.0586442529442402E-2</v>
      </c>
      <c r="J7" s="10">
        <f>IF(Table1[[#This Row],[rel G]]&lt;5,I7/$F$2,0)</f>
        <v>1.0272961753302522E-2</v>
      </c>
      <c r="M7">
        <f>COUNTIF(Table1[Classification],N7)</f>
        <v>26</v>
      </c>
      <c r="N7" t="s">
        <v>17</v>
      </c>
      <c r="O7">
        <f>SUMIF(Table1[Classification],N7,Table1[weight])</f>
        <v>0.6041471727249127</v>
      </c>
      <c r="P7">
        <f>AVERAGEIF(Table1[Classification],N7,Table1[rel G])</f>
        <v>2.918681267644458</v>
      </c>
      <c r="Z7">
        <v>-1260.0266743550501</v>
      </c>
    </row>
    <row r="8" spans="1:26" x14ac:dyDescent="0.25">
      <c r="A8">
        <v>-1260.02903134761</v>
      </c>
      <c r="B8">
        <f>Table1[[#This Row],[Energy (hartrees)]]*$C$2</f>
        <v>-790680.81746093882</v>
      </c>
      <c r="C8" s="4">
        <f>Table1[[#This Row],[Energy (kcal)]]-MIN(Table1[Energy (kcal)])</f>
        <v>0.94149098510388285</v>
      </c>
      <c r="D8">
        <v>-1260.02903134761</v>
      </c>
      <c r="E8">
        <v>2</v>
      </c>
      <c r="F8" t="s">
        <v>17</v>
      </c>
      <c r="H8" s="10">
        <f>Table1[[#This Row],[Rel E]]</f>
        <v>0.94149098510388285</v>
      </c>
      <c r="I8" s="10">
        <f>IF(Table1[[#This Row],[rel G]]&lt;5,EXP(-H8/(D$2*E$2)),0)</f>
        <v>0.20395667055385944</v>
      </c>
      <c r="J8" s="10">
        <f>IF(Table1[[#This Row],[rel G]]&lt;5,I8/$F$2,0)</f>
        <v>4.1418984438592342E-2</v>
      </c>
      <c r="M8">
        <f>COUNTIF(Table1[Classification],N8)</f>
        <v>13</v>
      </c>
      <c r="N8" t="s">
        <v>20</v>
      </c>
      <c r="O8">
        <f>SUMIF(Table1[Classification],N8,Table1[weight])</f>
        <v>0.33905463306596056</v>
      </c>
      <c r="P8">
        <f>AVERAGEIF(Table1[Classification],N8,Table1[rel G])</f>
        <v>2.9178817289111274</v>
      </c>
      <c r="Z8">
        <v>-1260.02614573506</v>
      </c>
    </row>
    <row r="9" spans="1:26" x14ac:dyDescent="0.25">
      <c r="A9">
        <v>-1260.03010437682</v>
      </c>
      <c r="B9">
        <f>Table1[[#This Row],[Energy (hartrees)]]*$C$2</f>
        <v>-790681.49079749826</v>
      </c>
      <c r="C9" s="4">
        <f>Table1[[#This Row],[Energy (kcal)]]-MIN(Table1[Energy (kcal)])</f>
        <v>0.26815442566294223</v>
      </c>
      <c r="D9">
        <v>-1260.03010437682</v>
      </c>
      <c r="E9">
        <v>4</v>
      </c>
      <c r="F9" t="s">
        <v>17</v>
      </c>
      <c r="H9" s="10">
        <f>Table1[[#This Row],[Rel E]]</f>
        <v>0.26815442566294223</v>
      </c>
      <c r="I9" s="10">
        <f>IF(Table1[[#This Row],[rel G]]&lt;5,EXP(-H9/(D$2*E$2)),0)</f>
        <v>0.63583341678422656</v>
      </c>
      <c r="J9" s="10">
        <f>IF(Table1[[#This Row],[rel G]]&lt;5,I9/$F$2,0)</f>
        <v>0.12912337862648315</v>
      </c>
      <c r="M9">
        <f>COUNTIF(Table1[Classification],N9)</f>
        <v>10</v>
      </c>
      <c r="N9" t="s">
        <v>18</v>
      </c>
      <c r="O9">
        <f>SUMIF(Table1[Classification],N9,Table1[weight])</f>
        <v>3.6758211701558893E-2</v>
      </c>
      <c r="P9">
        <f>AVERAGEIF(Table1[Classification],N9,Table1[rel G])</f>
        <v>4.2001638363464737</v>
      </c>
      <c r="Z9">
        <v>-1260.02532964908</v>
      </c>
    </row>
    <row r="10" spans="1:26" x14ac:dyDescent="0.25">
      <c r="A10">
        <v>-1260.0210957126201</v>
      </c>
      <c r="B10">
        <f>Table1[[#This Row],[Energy (hartrees)]]*$C$2</f>
        <v>-790675.83777062618</v>
      </c>
      <c r="C10" s="4">
        <f>Table1[[#This Row],[Energy (kcal)]]-MIN(Table1[Energy (kcal)])</f>
        <v>5.9211812977446243</v>
      </c>
      <c r="D10">
        <v>-1260.0210957126201</v>
      </c>
      <c r="E10">
        <v>5</v>
      </c>
      <c r="F10" t="s">
        <v>18</v>
      </c>
      <c r="H10" s="10">
        <f>Table1[[#This Row],[Rel E]]</f>
        <v>5.9211812977446243</v>
      </c>
      <c r="I10" s="10">
        <f>IF(Table1[[#This Row],[rel G]]&lt;5,EXP(-H10/(D$2*E$2)),0)</f>
        <v>0</v>
      </c>
      <c r="J10" s="10">
        <f>IF(Table1[[#This Row],[rel G]]&lt;5,I10/$F$2,0)</f>
        <v>0</v>
      </c>
      <c r="M10">
        <f>COUNTIF(Table1[Classification],N10)</f>
        <v>9</v>
      </c>
      <c r="N10" t="s">
        <v>21</v>
      </c>
      <c r="O10">
        <f>SUMIF(Table1[Classification],N10,Table1[weight])</f>
        <v>1.9310175511010538E-2</v>
      </c>
      <c r="P10">
        <f>AVERAGEIF(Table1[Classification],N10,Table1[rel G])</f>
        <v>4.3846065543540238</v>
      </c>
      <c r="Z10">
        <v>-1260.02642086232</v>
      </c>
    </row>
    <row r="11" spans="1:26" x14ac:dyDescent="0.25">
      <c r="A11">
        <v>-1260.02110507625</v>
      </c>
      <c r="B11">
        <f>Table1[[#This Row],[Energy (hartrees)]]*$C$2</f>
        <v>-790675.8436463977</v>
      </c>
      <c r="C11" s="4">
        <f>Table1[[#This Row],[Energy (kcal)]]-MIN(Table1[Energy (kcal)])</f>
        <v>5.9153055262286216</v>
      </c>
      <c r="D11">
        <v>-1260.02110507625</v>
      </c>
      <c r="E11">
        <v>8</v>
      </c>
      <c r="F11" t="s">
        <v>18</v>
      </c>
      <c r="H11" s="10">
        <f>Table1[[#This Row],[Rel E]]</f>
        <v>5.9153055262286216</v>
      </c>
      <c r="I11" s="10">
        <f>IF(Table1[[#This Row],[rel G]]&lt;5,EXP(-H11/(D$2*E$2)),0)</f>
        <v>0</v>
      </c>
      <c r="J11" s="10">
        <f>IF(Table1[[#This Row],[rel G]]&lt;5,I11/$F$2,0)</f>
        <v>0</v>
      </c>
      <c r="M11">
        <f>COUNTIF(Table1[Classification],N11)</f>
        <v>2</v>
      </c>
      <c r="N11" t="s">
        <v>19</v>
      </c>
      <c r="O11">
        <f>SUMIF(Table1[Classification],N11,Table1[weight])</f>
        <v>7.2980699655732142E-4</v>
      </c>
      <c r="P11">
        <f>AVERAGEIF(Table1[Classification],N11,Table1[rel G])</f>
        <v>4.0720784135046415</v>
      </c>
      <c r="Z11">
        <v>-1260.01689277942</v>
      </c>
    </row>
    <row r="12" spans="1:26" x14ac:dyDescent="0.25">
      <c r="A12">
        <v>-1260.0253040652301</v>
      </c>
      <c r="B12">
        <f>Table1[[#This Row],[Energy (hartrees)]]*$C$2</f>
        <v>-790678.47855397256</v>
      </c>
      <c r="C12" s="4">
        <f>Table1[[#This Row],[Energy (kcal)]]-MIN(Table1[Energy (kcal)])</f>
        <v>3.2803979513701051</v>
      </c>
      <c r="D12">
        <v>-1260.0253040652301</v>
      </c>
      <c r="E12">
        <v>14</v>
      </c>
      <c r="F12" t="s">
        <v>17</v>
      </c>
      <c r="H12" s="10">
        <f>Table1[[#This Row],[Rel E]]</f>
        <v>3.2803979513701051</v>
      </c>
      <c r="I12" s="10">
        <f>IF(Table1[[#This Row],[rel G]]&lt;5,EXP(-H12/(D$2*E$2)),0)</f>
        <v>3.9287248973432195E-3</v>
      </c>
      <c r="J12" s="10">
        <f>IF(Table1[[#This Row],[rel G]]&lt;5,I12/$F$2,0)</f>
        <v>7.9783512323809073E-4</v>
      </c>
      <c r="Z12">
        <v>-1260.0233344199301</v>
      </c>
    </row>
    <row r="13" spans="1:26" x14ac:dyDescent="0.25">
      <c r="A13">
        <v>-1260.02844525347</v>
      </c>
      <c r="B13">
        <f>Table1[[#This Row],[Energy (hartrees)]]*$C$2</f>
        <v>-790680.44968100497</v>
      </c>
      <c r="C13" s="4">
        <f>Table1[[#This Row],[Energy (kcal)]]-MIN(Table1[Energy (kcal)])</f>
        <v>1.3092709189513698</v>
      </c>
      <c r="D13">
        <v>-1260.02844525347</v>
      </c>
      <c r="E13">
        <v>20</v>
      </c>
      <c r="F13" t="s">
        <v>18</v>
      </c>
      <c r="H13" s="10">
        <f>Table1[[#This Row],[Rel E]]</f>
        <v>1.3092709189513698</v>
      </c>
      <c r="I13" s="10">
        <f>IF(Table1[[#This Row],[rel G]]&lt;5,EXP(-H13/(D$2*E$2)),0)</f>
        <v>0.10960208466307643</v>
      </c>
      <c r="J13" s="10">
        <f>IF(Table1[[#This Row],[rel G]]&lt;5,I13/$F$2,0)</f>
        <v>2.2257703201222123E-2</v>
      </c>
      <c r="Z13">
        <v>-1260.0267438800799</v>
      </c>
    </row>
    <row r="14" spans="1:26" x14ac:dyDescent="0.25">
      <c r="A14">
        <v>-1260.0294917671699</v>
      </c>
      <c r="B14">
        <f>Table1[[#This Row],[Energy (hartrees)]]*$C$2</f>
        <v>-790681.10637881677</v>
      </c>
      <c r="C14" s="4">
        <f>Table1[[#This Row],[Energy (kcal)]]-MIN(Table1[Energy (kcal)])</f>
        <v>0.65257310715969652</v>
      </c>
      <c r="D14">
        <v>-1260.0294917671699</v>
      </c>
      <c r="E14">
        <v>21</v>
      </c>
      <c r="F14" t="s">
        <v>17</v>
      </c>
      <c r="H14" s="10">
        <f>Table1[[#This Row],[Rel E]]</f>
        <v>0.65257310715969652</v>
      </c>
      <c r="I14" s="10">
        <f>IF(Table1[[#This Row],[rel G]]&lt;5,EXP(-H14/(D$2*E$2)),0)</f>
        <v>0.33221701862727554</v>
      </c>
      <c r="J14" s="10">
        <f>IF(Table1[[#This Row],[rel G]]&lt;5,I14/$F$2,0)</f>
        <v>6.7465758719203059E-2</v>
      </c>
      <c r="O14">
        <f>SUM(O7:O13)</f>
        <v>1</v>
      </c>
      <c r="Z14">
        <v>-1260.0196300456701</v>
      </c>
    </row>
    <row r="15" spans="1:26" x14ac:dyDescent="0.25">
      <c r="A15">
        <v>-1260.02476960065</v>
      </c>
      <c r="B15">
        <f>Table1[[#This Row],[Energy (hartrees)]]*$C$2</f>
        <v>-790678.1431721038</v>
      </c>
      <c r="C15" s="4">
        <f>Table1[[#This Row],[Energy (kcal)]]-MIN(Table1[Energy (kcal)])</f>
        <v>3.615779820131138</v>
      </c>
      <c r="D15">
        <v>-1260.02476960065</v>
      </c>
      <c r="E15">
        <v>25</v>
      </c>
      <c r="F15" t="s">
        <v>17</v>
      </c>
      <c r="H15" s="10">
        <f>Table1[[#This Row],[Rel E]]</f>
        <v>3.615779820131138</v>
      </c>
      <c r="I15" s="10">
        <f>IF(Table1[[#This Row],[rel G]]&lt;5,EXP(-H15/(D$2*E$2)),0)</f>
        <v>2.2299355845927711E-3</v>
      </c>
      <c r="J15" s="10">
        <f>IF(Table1[[#This Row],[rel G]]&lt;5,I15/$F$2,0)</f>
        <v>4.5284945585008989E-4</v>
      </c>
      <c r="Z15">
        <v>-1260.02186508768</v>
      </c>
    </row>
    <row r="16" spans="1:26" x14ac:dyDescent="0.25">
      <c r="A16">
        <v>-1260.0238926474699</v>
      </c>
      <c r="B16">
        <f>Table1[[#This Row],[Energy (hartrees)]]*$C$2</f>
        <v>-790677.59287521383</v>
      </c>
      <c r="C16" s="4">
        <f>Table1[[#This Row],[Energy (kcal)]]-MIN(Table1[Energy (kcal)])</f>
        <v>4.1660767100984231</v>
      </c>
      <c r="D16">
        <v>-1260.0238926474699</v>
      </c>
      <c r="E16">
        <v>27</v>
      </c>
      <c r="F16" t="s">
        <v>17</v>
      </c>
      <c r="H16" s="10">
        <f>Table1[[#This Row],[Rel E]]</f>
        <v>4.1660767100984231</v>
      </c>
      <c r="I16" s="10">
        <f>IF(Table1[[#This Row],[rel G]]&lt;5,EXP(-H16/(D$2*E$2)),0)</f>
        <v>8.8048222979838803E-4</v>
      </c>
      <c r="J16" s="10">
        <f>IF(Table1[[#This Row],[rel G]]&lt;5,I16/$F$2,0)</f>
        <v>1.7880601637319888E-4</v>
      </c>
      <c r="Z16">
        <v>-1260.0241615009299</v>
      </c>
    </row>
    <row r="17" spans="1:26" x14ac:dyDescent="0.25">
      <c r="A17">
        <v>-1260.0277182801599</v>
      </c>
      <c r="B17">
        <f>Table1[[#This Row],[Energy (hartrees)]]*$C$2</f>
        <v>-790679.99349798309</v>
      </c>
      <c r="C17" s="4">
        <f>Table1[[#This Row],[Energy (kcal)]]-MIN(Table1[Energy (kcal)])</f>
        <v>1.7654539408395067</v>
      </c>
      <c r="D17">
        <v>-1260.0277182801599</v>
      </c>
      <c r="E17">
        <v>29</v>
      </c>
      <c r="F17" t="s">
        <v>17</v>
      </c>
      <c r="H17" s="10">
        <f>Table1[[#This Row],[Rel E]]</f>
        <v>1.7654539408395067</v>
      </c>
      <c r="I17" s="10">
        <f>IF(Table1[[#This Row],[rel G]]&lt;5,EXP(-H17/(D$2*E$2)),0)</f>
        <v>5.0730303866165921E-2</v>
      </c>
      <c r="J17" s="10">
        <f>IF(Table1[[#This Row],[rel G]]&lt;5,I17/$F$2,0)</f>
        <v>1.0302176735342018E-2</v>
      </c>
      <c r="O17">
        <f>SUM(O7:O9)</f>
        <v>0.97996001749243222</v>
      </c>
      <c r="Z17">
        <v>-1260.02648803533</v>
      </c>
    </row>
    <row r="18" spans="1:26" x14ac:dyDescent="0.25">
      <c r="A18">
        <v>-1260.02678530757</v>
      </c>
      <c r="B18">
        <f>Table1[[#This Row],[Energy (hartrees)]]*$C$2</f>
        <v>-790679.40804835327</v>
      </c>
      <c r="C18" s="4">
        <f>Table1[[#This Row],[Energy (kcal)]]-MIN(Table1[Energy (kcal)])</f>
        <v>2.3509035706520081</v>
      </c>
      <c r="D18">
        <v>-1260.02678530757</v>
      </c>
      <c r="E18">
        <v>30</v>
      </c>
      <c r="F18" t="s">
        <v>18</v>
      </c>
      <c r="H18" s="10">
        <f>Table1[[#This Row],[Rel E]]</f>
        <v>2.3509035706520081</v>
      </c>
      <c r="I18" s="10">
        <f>IF(Table1[[#This Row],[rel G]]&lt;5,EXP(-H18/(D$2*E$2)),0)</f>
        <v>1.8876251053075329E-2</v>
      </c>
      <c r="J18" s="10">
        <f>IF(Table1[[#This Row],[rel G]]&lt;5,I18/$F$2,0)</f>
        <v>3.8333394367693792E-3</v>
      </c>
      <c r="Z18">
        <v>-1260.0221767632099</v>
      </c>
    </row>
    <row r="19" spans="1:26" x14ac:dyDescent="0.25">
      <c r="A19">
        <v>-1260.02533683928</v>
      </c>
      <c r="B19">
        <f>Table1[[#This Row],[Energy (hartrees)]]*$C$2</f>
        <v>-790678.49912001658</v>
      </c>
      <c r="C19" s="4">
        <f>Table1[[#This Row],[Energy (kcal)]]-MIN(Table1[Energy (kcal)])</f>
        <v>3.2598319073440507</v>
      </c>
      <c r="D19">
        <v>-1260.02533683928</v>
      </c>
      <c r="E19">
        <v>32</v>
      </c>
      <c r="F19" t="s">
        <v>17</v>
      </c>
      <c r="H19" s="10">
        <f>Table1[[#This Row],[Rel E]]</f>
        <v>3.2598319073440507</v>
      </c>
      <c r="I19" s="10">
        <f>IF(Table1[[#This Row],[rel G]]&lt;5,EXP(-H19/(D$2*E$2)),0)</f>
        <v>4.0675617733384713E-3</v>
      </c>
      <c r="J19" s="10">
        <f>IF(Table1[[#This Row],[rel G]]&lt;5,I19/$F$2,0)</f>
        <v>8.2602975100257733E-4</v>
      </c>
      <c r="Z19">
        <v>-1260.0218439801099</v>
      </c>
    </row>
    <row r="20" spans="1:26" x14ac:dyDescent="0.25">
      <c r="A20">
        <v>-1260.0230769064001</v>
      </c>
      <c r="B20">
        <f>Table1[[#This Row],[Energy (hartrees)]]*$C$2</f>
        <v>-790677.08098953508</v>
      </c>
      <c r="C20" s="4">
        <f>Table1[[#This Row],[Energy (kcal)]]-MIN(Table1[Energy (kcal)])</f>
        <v>4.677962388843298</v>
      </c>
      <c r="D20">
        <v>-1260.0230769064001</v>
      </c>
      <c r="E20">
        <v>35</v>
      </c>
      <c r="F20" t="s">
        <v>18</v>
      </c>
      <c r="H20" s="10">
        <f>Table1[[#This Row],[Rel E]]</f>
        <v>4.677962388843298</v>
      </c>
      <c r="I20" s="10">
        <f>IF(Table1[[#This Row],[rel G]]&lt;5,EXP(-H20/(D$2*E$2)),0)</f>
        <v>3.7095270050065306E-4</v>
      </c>
      <c r="J20" s="10">
        <f>IF(Table1[[#This Row],[rel G]]&lt;5,I20/$F$2,0)</f>
        <v>7.5332099155016408E-5</v>
      </c>
      <c r="Z20">
        <v>-1260.02578853671</v>
      </c>
    </row>
    <row r="21" spans="1:26" x14ac:dyDescent="0.25">
      <c r="A21">
        <v>-1260.0263089810401</v>
      </c>
      <c r="B21">
        <f>Table1[[#This Row],[Energy (hartrees)]]*$C$2</f>
        <v>-790679.10914869246</v>
      </c>
      <c r="C21" s="4">
        <f>Table1[[#This Row],[Energy (kcal)]]-MIN(Table1[Energy (kcal)])</f>
        <v>2.6498032314702868</v>
      </c>
      <c r="D21">
        <v>-1260.0263089810401</v>
      </c>
      <c r="E21">
        <v>36</v>
      </c>
      <c r="F21" t="s">
        <v>17</v>
      </c>
      <c r="H21" s="10">
        <f>Table1[[#This Row],[Rel E]]</f>
        <v>2.6498032314702868</v>
      </c>
      <c r="I21" s="10">
        <f>IF(Table1[[#This Row],[rel G]]&lt;5,EXP(-H21/(D$2*E$2)),0)</f>
        <v>1.1394924003984341E-2</v>
      </c>
      <c r="J21" s="10">
        <f>IF(Table1[[#This Row],[rel G]]&lt;5,I21/$F$2,0)</f>
        <v>2.3140512086136269E-3</v>
      </c>
      <c r="Z21">
        <v>-1260.02662407966</v>
      </c>
    </row>
    <row r="22" spans="1:26" x14ac:dyDescent="0.25">
      <c r="A22">
        <v>-1260.0239533451199</v>
      </c>
      <c r="B22">
        <f>Table1[[#This Row],[Energy (hartrees)]]*$C$2</f>
        <v>-790677.63096359617</v>
      </c>
      <c r="C22" s="4">
        <f>Table1[[#This Row],[Energy (kcal)]]-MIN(Table1[Energy (kcal)])</f>
        <v>4.1279883277602494</v>
      </c>
      <c r="D22">
        <v>-1260.0239533451199</v>
      </c>
      <c r="E22">
        <v>40</v>
      </c>
      <c r="F22" t="s">
        <v>17</v>
      </c>
      <c r="H22" s="10">
        <f>Table1[[#This Row],[Rel E]]</f>
        <v>4.1279883277602494</v>
      </c>
      <c r="I22" s="10">
        <f>IF(Table1[[#This Row],[rel G]]&lt;5,EXP(-H22/(D$2*E$2)),0)</f>
        <v>9.3897386906199561E-4</v>
      </c>
      <c r="J22" s="10">
        <f>IF(Table1[[#This Row],[rel G]]&lt;5,I22/$F$2,0)</f>
        <v>1.9068434469591663E-4</v>
      </c>
      <c r="V22" t="s">
        <v>65</v>
      </c>
      <c r="W22" t="s">
        <v>66</v>
      </c>
      <c r="Z22">
        <v>-1260.0225180753</v>
      </c>
    </row>
    <row r="23" spans="1:26" x14ac:dyDescent="0.25">
      <c r="A23">
        <v>-1260.0205167952399</v>
      </c>
      <c r="B23">
        <f>Table1[[#This Row],[Energy (hartrees)]]*$C$2</f>
        <v>-790675.47449418099</v>
      </c>
      <c r="C23" s="4">
        <f>Table1[[#This Row],[Energy (kcal)]]-MIN(Table1[Energy (kcal)])</f>
        <v>6.2844577429350466</v>
      </c>
      <c r="D23">
        <v>-1260.0205167952399</v>
      </c>
      <c r="E23">
        <v>42</v>
      </c>
      <c r="F23" t="s">
        <v>18</v>
      </c>
      <c r="H23" s="10">
        <f>Table1[[#This Row],[Rel E]]</f>
        <v>6.2844577429350466</v>
      </c>
      <c r="I23" s="10">
        <f>IF(Table1[[#This Row],[rel G]]&lt;5,EXP(-H23/(D$2*E$2)),0)</f>
        <v>0</v>
      </c>
      <c r="J23" s="10">
        <f>IF(Table1[[#This Row],[rel G]]&lt;5,I23/$F$2,0)</f>
        <v>0</v>
      </c>
      <c r="V23">
        <v>1</v>
      </c>
      <c r="W23">
        <v>-790678.89914107695</v>
      </c>
      <c r="X23">
        <v>1</v>
      </c>
      <c r="Z23">
        <v>-1260.0261358057401</v>
      </c>
    </row>
    <row r="24" spans="1:26" x14ac:dyDescent="0.25">
      <c r="A24">
        <v>-1260.0265133159301</v>
      </c>
      <c r="B24">
        <f>Table1[[#This Row],[Energy (hartrees)]]*$C$2</f>
        <v>-790679.23737087927</v>
      </c>
      <c r="C24" s="4">
        <f>Table1[[#This Row],[Energy (kcal)]]-MIN(Table1[Energy (kcal)])</f>
        <v>2.5215810446534306</v>
      </c>
      <c r="D24">
        <v>-1260.0265133159301</v>
      </c>
      <c r="E24">
        <v>43</v>
      </c>
      <c r="F24" t="s">
        <v>21</v>
      </c>
      <c r="H24" s="10">
        <f>Table1[[#This Row],[Rel E]]</f>
        <v>2.5215810446534306</v>
      </c>
      <c r="I24" s="10">
        <f>IF(Table1[[#This Row],[rel G]]&lt;5,EXP(-H24/(D$2*E$2)),0)</f>
        <v>1.4149655066625466E-2</v>
      </c>
      <c r="J24" s="10">
        <f>IF(Table1[[#This Row],[rel G]]&lt;5,I24/$F$2,0)</f>
        <v>2.8734747504188434E-3</v>
      </c>
      <c r="V24">
        <v>3</v>
      </c>
      <c r="W24">
        <v>-790680.15349804505</v>
      </c>
      <c r="X24">
        <v>4</v>
      </c>
      <c r="Z24">
        <v>-1260.0236023153</v>
      </c>
    </row>
    <row r="25" spans="1:26" x14ac:dyDescent="0.25">
      <c r="A25">
        <v>-1260.02945918055</v>
      </c>
      <c r="B25">
        <f>Table1[[#This Row],[Energy (hartrees)]]*$C$2</f>
        <v>-790681.08593038691</v>
      </c>
      <c r="C25" s="4">
        <f>Table1[[#This Row],[Energy (kcal)]]-MIN(Table1[Energy (kcal)])</f>
        <v>0.67302153701893985</v>
      </c>
      <c r="D25">
        <v>-1260.02945918055</v>
      </c>
      <c r="E25">
        <v>44</v>
      </c>
      <c r="F25" t="s">
        <v>17</v>
      </c>
      <c r="H25" s="10">
        <f>Table1[[#This Row],[Rel E]]</f>
        <v>0.67302153701893985</v>
      </c>
      <c r="I25" s="10">
        <f>IF(Table1[[#This Row],[rel G]]&lt;5,EXP(-H25/(D$2*E$2)),0)</f>
        <v>0.32094128946752104</v>
      </c>
      <c r="J25" s="10">
        <f>IF(Table1[[#This Row],[rel G]]&lt;5,I25/$F$2,0)</f>
        <v>6.5175913286183385E-2</v>
      </c>
      <c r="V25">
        <v>6</v>
      </c>
      <c r="W25">
        <v>-790678.842351428</v>
      </c>
      <c r="X25">
        <v>9</v>
      </c>
    </row>
    <row r="26" spans="1:26" x14ac:dyDescent="0.25">
      <c r="A26">
        <v>-1260.022073779</v>
      </c>
      <c r="B26">
        <f>Table1[[#This Row],[Energy (hartrees)]]*$C$2</f>
        <v>-790676.45151706028</v>
      </c>
      <c r="C26" s="4">
        <f>Table1[[#This Row],[Energy (kcal)]]-MIN(Table1[Energy (kcal)])</f>
        <v>5.3074348636437207</v>
      </c>
      <c r="D26">
        <v>-1260.022073779</v>
      </c>
      <c r="E26">
        <v>47</v>
      </c>
      <c r="F26" t="s">
        <v>18</v>
      </c>
      <c r="H26" s="10">
        <f>Table1[[#This Row],[Rel E]]</f>
        <v>5.3074348636437207</v>
      </c>
      <c r="I26" s="10">
        <f>IF(Table1[[#This Row],[rel G]]&lt;5,EXP(-H26/(D$2*E$2)),0)</f>
        <v>0</v>
      </c>
      <c r="J26" s="10">
        <f>IF(Table1[[#This Row],[rel G]]&lt;5,I26/$F$2,0)</f>
        <v>0</v>
      </c>
      <c r="V26">
        <v>7</v>
      </c>
      <c r="W26">
        <v>-790677.34666576295</v>
      </c>
      <c r="X26">
        <v>14</v>
      </c>
    </row>
    <row r="27" spans="1:26" x14ac:dyDescent="0.25">
      <c r="A27">
        <v>-1260.0201355883</v>
      </c>
      <c r="B27">
        <f>Table1[[#This Row],[Energy (hartrees)]]*$C$2</f>
        <v>-790675.23528301413</v>
      </c>
      <c r="C27" s="4">
        <f>Table1[[#This Row],[Energy (kcal)]]-MIN(Table1[Energy (kcal)])</f>
        <v>6.523668909794651</v>
      </c>
      <c r="D27">
        <v>-1260.0201355883</v>
      </c>
      <c r="E27">
        <v>51</v>
      </c>
      <c r="F27" t="s">
        <v>101</v>
      </c>
      <c r="H27" s="10">
        <f>Table1[[#This Row],[Rel E]]</f>
        <v>6.523668909794651</v>
      </c>
      <c r="I27" s="10">
        <f>IF(Table1[[#This Row],[rel G]]&lt;5,EXP(-H27/(D$2*E$2)),0)</f>
        <v>0</v>
      </c>
      <c r="J27" s="10">
        <f>IF(Table1[[#This Row],[rel G]]&lt;5,I27/$F$2,0)</f>
        <v>0</v>
      </c>
      <c r="V27">
        <v>8</v>
      </c>
      <c r="W27">
        <v>-790679.07558346202</v>
      </c>
      <c r="X27">
        <v>20</v>
      </c>
    </row>
    <row r="28" spans="1:26" x14ac:dyDescent="0.25">
      <c r="A28">
        <v>-1260.02951834706</v>
      </c>
      <c r="B28">
        <f>Table1[[#This Row],[Energy (hartrees)]]*$C$2</f>
        <v>-790681.12305796368</v>
      </c>
      <c r="C28" s="4">
        <f>Table1[[#This Row],[Energy (kcal)]]-MIN(Table1[Energy (kcal)])</f>
        <v>0.63589396025054157</v>
      </c>
      <c r="D28">
        <v>-1260.02951834706</v>
      </c>
      <c r="E28">
        <v>52</v>
      </c>
      <c r="F28" t="s">
        <v>17</v>
      </c>
      <c r="H28" s="10">
        <f>Table1[[#This Row],[Rel E]]</f>
        <v>0.63589396025054157</v>
      </c>
      <c r="I28" s="10">
        <f>IF(Table1[[#This Row],[rel G]]&lt;5,EXP(-H28/(D$2*E$2)),0)</f>
        <v>0.34170700141046056</v>
      </c>
      <c r="J28" s="10">
        <f>IF(Table1[[#This Row],[rel G]]&lt;5,I28/$F$2,0)</f>
        <v>6.9392959472931046E-2</v>
      </c>
      <c r="V28">
        <v>9</v>
      </c>
      <c r="W28">
        <v>-790680.00378859497</v>
      </c>
      <c r="X28">
        <v>21</v>
      </c>
    </row>
    <row r="29" spans="1:26" x14ac:dyDescent="0.25">
      <c r="A29">
        <v>-1260.0300795231501</v>
      </c>
      <c r="B29">
        <f>Table1[[#This Row],[Energy (hartrees)]]*$C$2</f>
        <v>-790681.47520157194</v>
      </c>
      <c r="C29" s="4">
        <f>Table1[[#This Row],[Energy (kcal)]]-MIN(Table1[Energy (kcal)])</f>
        <v>0.28375035198405385</v>
      </c>
      <c r="D29">
        <v>-1260.0300795231501</v>
      </c>
      <c r="E29">
        <v>54</v>
      </c>
      <c r="F29" t="s">
        <v>17</v>
      </c>
      <c r="H29" s="10">
        <f>Table1[[#This Row],[Rel E]]</f>
        <v>0.28375035198405385</v>
      </c>
      <c r="I29" s="10">
        <f>IF(Table1[[#This Row],[rel G]]&lt;5,EXP(-H29/(D$2*E$2)),0)</f>
        <v>0.6193066600637227</v>
      </c>
      <c r="J29" s="10">
        <f>IF(Table1[[#This Row],[rel G]]&lt;5,I29/$F$2,0)</f>
        <v>0.1257671683217744</v>
      </c>
      <c r="V29">
        <v>10</v>
      </c>
      <c r="W29">
        <v>-790676.97722792695</v>
      </c>
      <c r="X29">
        <v>25</v>
      </c>
    </row>
    <row r="30" spans="1:26" x14ac:dyDescent="0.25">
      <c r="A30">
        <v>-1260.0258353551301</v>
      </c>
      <c r="B30">
        <f>Table1[[#This Row],[Energy (hartrees)]]*$C$2</f>
        <v>-790678.81194369763</v>
      </c>
      <c r="C30" s="4">
        <f>Table1[[#This Row],[Energy (kcal)]]-MIN(Table1[Energy (kcal)])</f>
        <v>2.9470082262996584</v>
      </c>
      <c r="D30">
        <v>-1260.0258353551301</v>
      </c>
      <c r="E30">
        <v>55</v>
      </c>
      <c r="F30" t="s">
        <v>21</v>
      </c>
      <c r="H30" s="10">
        <f>Table1[[#This Row],[Rel E]]</f>
        <v>2.9470082262996584</v>
      </c>
      <c r="I30" s="10">
        <f>IF(Table1[[#This Row],[rel G]]&lt;5,EXP(-H30/(D$2*E$2)),0)</f>
        <v>6.8984248905424464E-3</v>
      </c>
      <c r="J30" s="10">
        <f>IF(Table1[[#This Row],[rel G]]&lt;5,I30/$F$2,0)</f>
        <v>1.4009139902914978E-3</v>
      </c>
      <c r="V30">
        <v>11</v>
      </c>
      <c r="W30">
        <v>-790676.37638384802</v>
      </c>
      <c r="X30">
        <v>27</v>
      </c>
    </row>
    <row r="31" spans="1:26" x14ac:dyDescent="0.25">
      <c r="A31">
        <v>-1260.02398623152</v>
      </c>
      <c r="B31">
        <f>Table1[[#This Row],[Energy (hartrees)]]*$C$2</f>
        <v>-790677.65160014108</v>
      </c>
      <c r="C31" s="4">
        <f>Table1[[#This Row],[Energy (kcal)]]-MIN(Table1[Energy (kcal)])</f>
        <v>4.1073517828481272</v>
      </c>
      <c r="D31">
        <v>-1260.02398623152</v>
      </c>
      <c r="E31">
        <v>57</v>
      </c>
      <c r="F31" t="s">
        <v>17</v>
      </c>
      <c r="H31" s="10">
        <f>Table1[[#This Row],[Rel E]]</f>
        <v>4.1073517828481272</v>
      </c>
      <c r="I31" s="10">
        <f>IF(Table1[[#This Row],[rel G]]&lt;5,EXP(-H31/(D$2*E$2)),0)</f>
        <v>9.7227193028873724E-4</v>
      </c>
      <c r="J31" s="10">
        <f>IF(Table1[[#This Row],[rel G]]&lt;5,I31/$F$2,0)</f>
        <v>1.9744642742672638E-4</v>
      </c>
      <c r="V31">
        <v>12</v>
      </c>
      <c r="W31">
        <v>-790678.84117616597</v>
      </c>
      <c r="X31">
        <v>29</v>
      </c>
    </row>
    <row r="32" spans="1:26" x14ac:dyDescent="0.25">
      <c r="A32">
        <v>-1260.0245051357599</v>
      </c>
      <c r="B32">
        <f>Table1[[#This Row],[Energy (hartrees)]]*$C$2</f>
        <v>-790677.97721774073</v>
      </c>
      <c r="C32" s="4">
        <f>Table1[[#This Row],[Energy (kcal)]]-MIN(Table1[Energy (kcal)])</f>
        <v>3.781734183197841</v>
      </c>
      <c r="D32">
        <v>-1260.0245051357599</v>
      </c>
      <c r="E32">
        <v>58</v>
      </c>
      <c r="F32" t="s">
        <v>17</v>
      </c>
      <c r="H32" s="10">
        <f>Table1[[#This Row],[Rel E]]</f>
        <v>3.781734183197841</v>
      </c>
      <c r="I32" s="10">
        <f>IF(Table1[[#This Row],[rel G]]&lt;5,EXP(-H32/(D$2*E$2)),0)</f>
        <v>1.6849468971079046E-3</v>
      </c>
      <c r="J32" s="10">
        <f>IF(Table1[[#This Row],[rel G]]&lt;5,I32/$F$2,0)</f>
        <v>3.4217458601206878E-4</v>
      </c>
      <c r="V32">
        <v>13</v>
      </c>
      <c r="W32">
        <v>-790678.78000602301</v>
      </c>
      <c r="X32">
        <v>30</v>
      </c>
    </row>
    <row r="33" spans="1:24" x14ac:dyDescent="0.25">
      <c r="A33">
        <v>-1260.02697319719</v>
      </c>
      <c r="B33">
        <f>Table1[[#This Row],[Energy (hartrees)]]*$C$2</f>
        <v>-790679.52595096873</v>
      </c>
      <c r="C33" s="4">
        <f>Table1[[#This Row],[Energy (kcal)]]-MIN(Table1[Energy (kcal)])</f>
        <v>2.2330009551951662</v>
      </c>
      <c r="D33">
        <v>-1260.02697319719</v>
      </c>
      <c r="E33">
        <v>60</v>
      </c>
      <c r="F33" t="s">
        <v>21</v>
      </c>
      <c r="H33" s="10">
        <f>Table1[[#This Row],[Rel E]]</f>
        <v>2.2330009551951662</v>
      </c>
      <c r="I33" s="10">
        <f>IF(Table1[[#This Row],[rel G]]&lt;5,EXP(-H33/(D$2*E$2)),0)</f>
        <v>2.3034675121903395E-2</v>
      </c>
      <c r="J33" s="10">
        <f>IF(Table1[[#This Row],[rel G]]&lt;5,I33/$F$2,0)</f>
        <v>4.6778212638561483E-3</v>
      </c>
      <c r="V33">
        <v>14</v>
      </c>
      <c r="W33">
        <v>-790677.20662513503</v>
      </c>
      <c r="X33">
        <v>32</v>
      </c>
    </row>
    <row r="34" spans="1:24" x14ac:dyDescent="0.25">
      <c r="A34">
        <v>-1260.0272461322299</v>
      </c>
      <c r="B34">
        <f>Table1[[#This Row],[Energy (hartrees)]]*$C$2</f>
        <v>-790679.6972204356</v>
      </c>
      <c r="C34" s="4">
        <f>Table1[[#This Row],[Energy (kcal)]]-MIN(Table1[Energy (kcal)])</f>
        <v>2.0617314883274958</v>
      </c>
      <c r="D34">
        <v>-1260.0272461322299</v>
      </c>
      <c r="E34">
        <v>65</v>
      </c>
      <c r="F34" t="s">
        <v>17</v>
      </c>
      <c r="H34" s="10">
        <f>Table1[[#This Row],[Rel E]]</f>
        <v>2.0617314883274958</v>
      </c>
      <c r="I34" s="10">
        <f>IF(Table1[[#This Row],[rel G]]&lt;5,EXP(-H34/(D$2*E$2)),0)</f>
        <v>3.0759986007155328E-2</v>
      </c>
      <c r="J34" s="10">
        <f>IF(Table1[[#This Row],[rel G]]&lt;5,I34/$F$2,0)</f>
        <v>6.2466570880075397E-3</v>
      </c>
      <c r="V34">
        <v>15</v>
      </c>
      <c r="W34">
        <v>-790675.92308782204</v>
      </c>
      <c r="X34">
        <v>35</v>
      </c>
    </row>
    <row r="35" spans="1:24" x14ac:dyDescent="0.25">
      <c r="A35">
        <v>-1260.0237761619301</v>
      </c>
      <c r="B35">
        <f>Table1[[#This Row],[Energy (hartrees)]]*$C$2</f>
        <v>-790677.51977937273</v>
      </c>
      <c r="C35" s="4">
        <f>Table1[[#This Row],[Energy (kcal)]]-MIN(Table1[Energy (kcal)])</f>
        <v>4.2391725511988625</v>
      </c>
      <c r="D35">
        <v>-1260.0237761619301</v>
      </c>
      <c r="E35">
        <v>69</v>
      </c>
      <c r="F35" t="s">
        <v>18</v>
      </c>
      <c r="H35" s="10">
        <f>Table1[[#This Row],[Rel E]]</f>
        <v>4.2391725511988625</v>
      </c>
      <c r="I35" s="10">
        <f>IF(Table1[[#This Row],[rel G]]&lt;5,EXP(-H35/(D$2*E$2)),0)</f>
        <v>7.7824122569230918E-4</v>
      </c>
      <c r="J35" s="10">
        <f>IF(Table1[[#This Row],[rel G]]&lt;5,I35/$F$2,0)</f>
        <v>1.5804318205865528E-4</v>
      </c>
      <c r="V35">
        <v>16</v>
      </c>
      <c r="W35">
        <v>-790677.93098481605</v>
      </c>
      <c r="X35">
        <v>36</v>
      </c>
    </row>
    <row r="36" spans="1:24" x14ac:dyDescent="0.25">
      <c r="A36">
        <v>-1260.0294453794199</v>
      </c>
      <c r="B36">
        <f>Table1[[#This Row],[Energy (hartrees)]]*$C$2</f>
        <v>-790681.07727003982</v>
      </c>
      <c r="C36" s="4">
        <f>Table1[[#This Row],[Energy (kcal)]]-MIN(Table1[Energy (kcal)])</f>
        <v>0.68168188410345465</v>
      </c>
      <c r="D36">
        <v>-1260.0294453794199</v>
      </c>
      <c r="E36">
        <v>70</v>
      </c>
      <c r="F36" t="s">
        <v>17</v>
      </c>
      <c r="H36" s="10">
        <f>Table1[[#This Row],[Rel E]]</f>
        <v>0.68168188410345465</v>
      </c>
      <c r="I36" s="10">
        <f>IF(Table1[[#This Row],[rel G]]&lt;5,EXP(-H36/(D$2*E$2)),0)</f>
        <v>0.31628190554620667</v>
      </c>
      <c r="J36" s="10">
        <f>IF(Table1[[#This Row],[rel G]]&lt;5,I36/$F$2,0)</f>
        <v>6.4229697849314968E-2</v>
      </c>
      <c r="V36">
        <v>17</v>
      </c>
      <c r="W36">
        <v>-790676.36348976195</v>
      </c>
      <c r="X36">
        <v>40</v>
      </c>
    </row>
    <row r="37" spans="1:24" x14ac:dyDescent="0.25">
      <c r="A37">
        <v>-1260.0251302542099</v>
      </c>
      <c r="B37">
        <f>Table1[[#This Row],[Energy (hartrees)]]*$C$2</f>
        <v>-790678.36948581925</v>
      </c>
      <c r="C37" s="4">
        <f>Table1[[#This Row],[Energy (kcal)]]-MIN(Table1[Energy (kcal)])</f>
        <v>3.389466104679741</v>
      </c>
      <c r="D37">
        <v>-1260.0251302542099</v>
      </c>
      <c r="E37">
        <v>86</v>
      </c>
      <c r="F37" t="s">
        <v>19</v>
      </c>
      <c r="H37" s="10">
        <f>Table1[[#This Row],[Rel E]]</f>
        <v>3.389466104679741</v>
      </c>
      <c r="I37" s="10">
        <f>IF(Table1[[#This Row],[rel G]]&lt;5,EXP(-H37/(D$2*E$2)),0)</f>
        <v>3.2678657749301756E-3</v>
      </c>
      <c r="J37" s="10">
        <f>IF(Table1[[#This Row],[rel G]]&lt;5,I37/$F$2,0)</f>
        <v>6.6362959010697685E-4</v>
      </c>
      <c r="V37">
        <v>20</v>
      </c>
      <c r="W37">
        <v>-790679.98919482797</v>
      </c>
      <c r="X37">
        <v>44</v>
      </c>
    </row>
    <row r="38" spans="1:24" x14ac:dyDescent="0.25">
      <c r="A38">
        <v>-1260.0216103707301</v>
      </c>
      <c r="B38">
        <f>Table1[[#This Row],[Energy (hartrees)]]*$C$2</f>
        <v>-790676.16072373686</v>
      </c>
      <c r="C38" s="4">
        <f>Table1[[#This Row],[Energy (kcal)]]-MIN(Table1[Energy (kcal)])</f>
        <v>5.5982281870674342</v>
      </c>
      <c r="D38">
        <v>-1260.0216103707301</v>
      </c>
      <c r="E38">
        <v>89</v>
      </c>
      <c r="F38" t="s">
        <v>17</v>
      </c>
      <c r="H38" s="10">
        <f>Table1[[#This Row],[Rel E]]</f>
        <v>5.5982281870674342</v>
      </c>
      <c r="I38" s="10">
        <f>IF(Table1[[#This Row],[rel G]]&lt;5,EXP(-H38/(D$2*E$2)),0)</f>
        <v>0</v>
      </c>
      <c r="J38" s="10">
        <f>IF(Table1[[#This Row],[rel G]]&lt;5,I38/$F$2,0)</f>
        <v>0</v>
      </c>
      <c r="V38">
        <v>21</v>
      </c>
      <c r="W38">
        <v>-790675.65115440404</v>
      </c>
      <c r="X38">
        <v>47</v>
      </c>
    </row>
    <row r="39" spans="1:24" x14ac:dyDescent="0.25">
      <c r="A39">
        <v>-1260.02084537474</v>
      </c>
      <c r="B39">
        <f>Table1[[#This Row],[Energy (hartrees)]]*$C$2</f>
        <v>-790675.68068110314</v>
      </c>
      <c r="C39" s="4">
        <f>Table1[[#This Row],[Energy (kcal)]]-MIN(Table1[Energy (kcal)])</f>
        <v>6.0782708207843825</v>
      </c>
      <c r="D39">
        <v>-1260.02084537474</v>
      </c>
      <c r="E39">
        <v>90</v>
      </c>
      <c r="F39" t="s">
        <v>17</v>
      </c>
      <c r="H39" s="10">
        <f>Table1[[#This Row],[Rel E]]</f>
        <v>6.0782708207843825</v>
      </c>
      <c r="I39" s="10">
        <f>IF(Table1[[#This Row],[rel G]]&lt;5,EXP(-H39/(D$2*E$2)),0)</f>
        <v>0</v>
      </c>
      <c r="J39" s="10">
        <f>IF(Table1[[#This Row],[rel G]]&lt;5,I39/$F$2,0)</f>
        <v>0</v>
      </c>
      <c r="N39">
        <v>1</v>
      </c>
      <c r="O39">
        <v>-1260.02771560017</v>
      </c>
      <c r="P39" t="s">
        <v>100</v>
      </c>
      <c r="Q39" s="11" t="s">
        <v>18</v>
      </c>
      <c r="V39">
        <v>23</v>
      </c>
      <c r="W39">
        <v>-790679.78221375297</v>
      </c>
      <c r="X39">
        <v>52</v>
      </c>
    </row>
    <row r="40" spans="1:24" x14ac:dyDescent="0.25">
      <c r="A40">
        <v>-1260.03053170774</v>
      </c>
      <c r="B40">
        <f>Table1[[#This Row],[Energy (hartrees)]]*$C$2</f>
        <v>-790681.75895192393</v>
      </c>
      <c r="C40" s="4">
        <f>Table1[[#This Row],[Energy (kcal)]]-MIN(Table1[Energy (kcal)])</f>
        <v>0</v>
      </c>
      <c r="D40">
        <v>-1260.03053170774</v>
      </c>
      <c r="E40">
        <v>92</v>
      </c>
      <c r="F40" t="s">
        <v>20</v>
      </c>
      <c r="H40" s="10">
        <f>Table1[[#This Row],[Rel E]]</f>
        <v>0</v>
      </c>
      <c r="I40" s="10">
        <f>IF(Table1[[#This Row],[rel G]]&lt;5,EXP(-H40/(D$2*E$2)),0)</f>
        <v>1</v>
      </c>
      <c r="J40" s="10">
        <f>IF(Table1[[#This Row],[rel G]]&lt;5,I40/$F$2,0)</f>
        <v>0.2030773709245009</v>
      </c>
      <c r="N40">
        <v>2</v>
      </c>
      <c r="O40">
        <v>-1260.02903134761</v>
      </c>
      <c r="P40" t="s">
        <v>100</v>
      </c>
      <c r="Q40" s="11" t="s">
        <v>17</v>
      </c>
      <c r="V40">
        <v>24</v>
      </c>
      <c r="W40">
        <v>-790680.16567596199</v>
      </c>
      <c r="X40">
        <v>54</v>
      </c>
    </row>
    <row r="41" spans="1:24" x14ac:dyDescent="0.25">
      <c r="A41">
        <v>-1260.02540341695</v>
      </c>
      <c r="B41">
        <f>Table1[[#This Row],[Energy (hartrees)]]*$C$2</f>
        <v>-790678.54089817032</v>
      </c>
      <c r="C41" s="4">
        <f>Table1[[#This Row],[Energy (kcal)]]-MIN(Table1[Energy (kcal)])</f>
        <v>3.2180537536041811</v>
      </c>
      <c r="D41">
        <v>-1260.02540341695</v>
      </c>
      <c r="E41">
        <v>93</v>
      </c>
      <c r="F41" t="s">
        <v>21</v>
      </c>
      <c r="H41" s="10">
        <f>Table1[[#This Row],[Rel E]]</f>
        <v>3.2180537536041811</v>
      </c>
      <c r="I41" s="10">
        <f>IF(Table1[[#This Row],[rel G]]&lt;5,EXP(-H41/(D$2*E$2)),0)</f>
        <v>4.3648873438439113E-3</v>
      </c>
      <c r="J41" s="10">
        <f>IF(Table1[[#This Row],[rel G]]&lt;5,I41/$F$2,0)</f>
        <v>8.8640984616944951E-4</v>
      </c>
      <c r="N41">
        <v>4</v>
      </c>
      <c r="O41">
        <v>-1260.03010437682</v>
      </c>
      <c r="P41" t="s">
        <v>100</v>
      </c>
      <c r="Q41" s="11" t="s">
        <v>18</v>
      </c>
      <c r="V41">
        <v>25</v>
      </c>
      <c r="W41">
        <v>-790677.48241754505</v>
      </c>
      <c r="X41">
        <v>55</v>
      </c>
    </row>
    <row r="42" spans="1:24" x14ac:dyDescent="0.25">
      <c r="A42">
        <v>-1260.02379266957</v>
      </c>
      <c r="B42">
        <f>Table1[[#This Row],[Energy (hartrees)]]*$C$2</f>
        <v>-790677.53013808187</v>
      </c>
      <c r="C42" s="4">
        <f>Table1[[#This Row],[Energy (kcal)]]-MIN(Table1[Energy (kcal)])</f>
        <v>4.2288138420553878</v>
      </c>
      <c r="D42">
        <v>-1260.02379266957</v>
      </c>
      <c r="E42">
        <v>95</v>
      </c>
      <c r="F42" t="s">
        <v>18</v>
      </c>
      <c r="H42" s="10">
        <f>Table1[[#This Row],[Rel E]]</f>
        <v>4.2288138420553878</v>
      </c>
      <c r="I42" s="10">
        <f>IF(Table1[[#This Row],[rel G]]&lt;5,EXP(-H42/(D$2*E$2)),0)</f>
        <v>7.9197415408239612E-4</v>
      </c>
      <c r="J42" s="10">
        <f>IF(Table1[[#This Row],[rel G]]&lt;5,I42/$F$2,0)</f>
        <v>1.6083202905120859E-4</v>
      </c>
      <c r="N42">
        <v>5</v>
      </c>
      <c r="O42">
        <v>-1260.0210957126201</v>
      </c>
      <c r="P42" t="s">
        <v>100</v>
      </c>
      <c r="Q42" s="11" t="s">
        <v>17</v>
      </c>
      <c r="V42">
        <v>26</v>
      </c>
      <c r="W42">
        <v>-790676.40038292098</v>
      </c>
      <c r="X42">
        <v>57</v>
      </c>
    </row>
    <row r="43" spans="1:24" x14ac:dyDescent="0.25">
      <c r="A43">
        <v>-1260.0289877254099</v>
      </c>
      <c r="B43">
        <f>Table1[[#This Row],[Energy (hartrees)]]*$C$2</f>
        <v>-790680.79008757195</v>
      </c>
      <c r="C43" s="4">
        <f>Table1[[#This Row],[Energy (kcal)]]-MIN(Table1[Energy (kcal)])</f>
        <v>0.96886435197666287</v>
      </c>
      <c r="D43">
        <v>-1260.0289877254099</v>
      </c>
      <c r="E43">
        <v>100</v>
      </c>
      <c r="F43" t="s">
        <v>20</v>
      </c>
      <c r="H43" s="10">
        <f>Table1[[#This Row],[Rel E]]</f>
        <v>0.96886435197666287</v>
      </c>
      <c r="I43" s="10">
        <f>IF(Table1[[#This Row],[rel G]]&lt;5,EXP(-H43/(D$2*E$2)),0)</f>
        <v>0.19474355031832258</v>
      </c>
      <c r="J43" s="10">
        <f>IF(Table1[[#This Row],[rel G]]&lt;5,I43/$F$2,0)</f>
        <v>3.9548008203148202E-2</v>
      </c>
      <c r="N43">
        <v>8</v>
      </c>
      <c r="O43">
        <v>-1260.02110507625</v>
      </c>
      <c r="P43" t="s">
        <v>100</v>
      </c>
      <c r="Q43" s="11" t="s">
        <v>18</v>
      </c>
      <c r="V43">
        <v>27</v>
      </c>
      <c r="W43">
        <v>-790676.39810489898</v>
      </c>
      <c r="X43">
        <v>58</v>
      </c>
    </row>
    <row r="44" spans="1:24" x14ac:dyDescent="0.25">
      <c r="A44">
        <v>-1260.0221114073199</v>
      </c>
      <c r="B44">
        <f>Table1[[#This Row],[Energy (hartrees)]]*$C$2</f>
        <v>-790676.47512920736</v>
      </c>
      <c r="C44" s="4">
        <f>Table1[[#This Row],[Energy (kcal)]]-MIN(Table1[Energy (kcal)])</f>
        <v>5.2838227165630087</v>
      </c>
      <c r="D44">
        <v>-1260.0221114073199</v>
      </c>
      <c r="E44">
        <v>112</v>
      </c>
      <c r="F44" t="s">
        <v>17</v>
      </c>
      <c r="H44" s="10">
        <f>Table1[[#This Row],[Rel E]]</f>
        <v>5.2838227165630087</v>
      </c>
      <c r="I44" s="10">
        <f>IF(Table1[[#This Row],[rel G]]&lt;5,EXP(-H44/(D$2*E$2)),0)</f>
        <v>0</v>
      </c>
      <c r="J44" s="10">
        <f>IF(Table1[[#This Row],[rel G]]&lt;5,I44/$F$2,0)</f>
        <v>0</v>
      </c>
      <c r="N44">
        <v>14</v>
      </c>
      <c r="O44">
        <v>-1260.0253040652301</v>
      </c>
      <c r="P44" t="s">
        <v>100</v>
      </c>
      <c r="Q44" s="11" t="s">
        <v>17</v>
      </c>
      <c r="V44">
        <v>28</v>
      </c>
      <c r="W44">
        <v>-790678.26313489699</v>
      </c>
      <c r="X44">
        <v>60</v>
      </c>
    </row>
    <row r="45" spans="1:24" x14ac:dyDescent="0.25">
      <c r="A45">
        <v>-1260.020744742</v>
      </c>
      <c r="B45">
        <f>Table1[[#This Row],[Energy (hartrees)]]*$C$2</f>
        <v>-790675.61753305246</v>
      </c>
      <c r="C45" s="4">
        <f>Table1[[#This Row],[Energy (kcal)]]-MIN(Table1[Energy (kcal)])</f>
        <v>6.1414188714697957</v>
      </c>
      <c r="D45">
        <v>-1260.020744742</v>
      </c>
      <c r="E45">
        <v>115</v>
      </c>
      <c r="F45" t="s">
        <v>21</v>
      </c>
      <c r="H45" s="10">
        <f>Table1[[#This Row],[Rel E]]</f>
        <v>6.1414188714697957</v>
      </c>
      <c r="I45" s="10">
        <f>IF(Table1[[#This Row],[rel G]]&lt;5,EXP(-H45/(D$2*E$2)),0)</f>
        <v>0</v>
      </c>
      <c r="J45" s="10">
        <f>IF(Table1[[#This Row],[rel G]]&lt;5,I45/$F$2,0)</f>
        <v>0</v>
      </c>
      <c r="N45">
        <v>20</v>
      </c>
      <c r="O45">
        <v>-1260.02844525347</v>
      </c>
      <c r="P45" t="s">
        <v>100</v>
      </c>
      <c r="Q45" s="11" t="s">
        <v>17</v>
      </c>
      <c r="V45">
        <v>31</v>
      </c>
      <c r="W45">
        <v>-790679.98301528196</v>
      </c>
      <c r="X45">
        <v>70</v>
      </c>
    </row>
    <row r="46" spans="1:24" x14ac:dyDescent="0.25">
      <c r="A46">
        <v>-1260.0195847871901</v>
      </c>
      <c r="B46">
        <f>Table1[[#This Row],[Energy (hartrees)]]*$C$2</f>
        <v>-790674.88964980957</v>
      </c>
      <c r="C46" s="4">
        <f>Table1[[#This Row],[Energy (kcal)]]-MIN(Table1[Energy (kcal)])</f>
        <v>6.8693021143553779</v>
      </c>
      <c r="D46">
        <v>-1260.0195847871901</v>
      </c>
      <c r="E46">
        <v>117</v>
      </c>
      <c r="F46" t="s">
        <v>21</v>
      </c>
      <c r="H46" s="10">
        <f>Table1[[#This Row],[Rel E]]</f>
        <v>6.8693021143553779</v>
      </c>
      <c r="I46" s="10">
        <f>IF(Table1[[#This Row],[rel G]]&lt;5,EXP(-H46/(D$2*E$2)),0)</f>
        <v>0</v>
      </c>
      <c r="J46" s="10">
        <f>IF(Table1[[#This Row],[rel G]]&lt;5,I46/$F$2,0)</f>
        <v>0</v>
      </c>
      <c r="N46">
        <v>21</v>
      </c>
      <c r="O46">
        <v>-1260.0294917671699</v>
      </c>
      <c r="P46" t="s">
        <v>100</v>
      </c>
      <c r="Q46" s="11" t="s">
        <v>17</v>
      </c>
      <c r="V46">
        <v>32</v>
      </c>
      <c r="W46">
        <v>-790677.28727907303</v>
      </c>
      <c r="X46">
        <v>86</v>
      </c>
    </row>
    <row r="47" spans="1:24" x14ac:dyDescent="0.25">
      <c r="A47">
        <v>-1260.0263376478699</v>
      </c>
      <c r="B47">
        <f>Table1[[#This Row],[Energy (hartrees)]]*$C$2</f>
        <v>-790679.12713741488</v>
      </c>
      <c r="C47" s="4">
        <f>Table1[[#This Row],[Energy (kcal)]]-MIN(Table1[Energy (kcal)])</f>
        <v>2.6318145090481266</v>
      </c>
      <c r="D47">
        <v>-1260.0263376478699</v>
      </c>
      <c r="E47">
        <v>118</v>
      </c>
      <c r="F47" t="s">
        <v>20</v>
      </c>
      <c r="H47" s="10">
        <f>Table1[[#This Row],[Rel E]]</f>
        <v>2.6318145090481266</v>
      </c>
      <c r="I47" s="10">
        <f>IF(Table1[[#This Row],[rel G]]&lt;5,EXP(-H47/(D$2*E$2)),0)</f>
        <v>1.1746374380158154E-2</v>
      </c>
      <c r="J47" s="10">
        <f>IF(Table1[[#This Row],[rel G]]&lt;5,I47/$F$2,0)</f>
        <v>2.3854228270174319E-3</v>
      </c>
      <c r="N47">
        <v>25</v>
      </c>
      <c r="O47">
        <v>-1260.02476960065</v>
      </c>
      <c r="P47" t="s">
        <v>100</v>
      </c>
      <c r="Q47" s="11" t="s">
        <v>17</v>
      </c>
      <c r="V47">
        <v>34</v>
      </c>
      <c r="W47">
        <v>-790680.15461944905</v>
      </c>
      <c r="X47">
        <v>90</v>
      </c>
    </row>
    <row r="48" spans="1:24" x14ac:dyDescent="0.25">
      <c r="A48">
        <v>-1260.02736968609</v>
      </c>
      <c r="B48">
        <f>Table1[[#This Row],[Energy (hartrees)]]*$C$2</f>
        <v>-790679.77475171827</v>
      </c>
      <c r="C48" s="4">
        <f>Table1[[#This Row],[Energy (kcal)]]-MIN(Table1[Energy (kcal)])</f>
        <v>1.9842002056539059</v>
      </c>
      <c r="D48">
        <v>-1260.02736968609</v>
      </c>
      <c r="E48">
        <v>120</v>
      </c>
      <c r="F48" t="s">
        <v>17</v>
      </c>
      <c r="H48" s="10">
        <f>Table1[[#This Row],[Rel E]]</f>
        <v>1.9842002056539059</v>
      </c>
      <c r="I48" s="10">
        <f>IF(Table1[[#This Row],[rel G]]&lt;5,EXP(-H48/(D$2*E$2)),0)</f>
        <v>3.5062697082580974E-2</v>
      </c>
      <c r="J48" s="10">
        <f>IF(Table1[[#This Row],[rel G]]&lt;5,I48/$F$2,0)</f>
        <v>7.1204403410527117E-3</v>
      </c>
      <c r="N48">
        <v>27</v>
      </c>
      <c r="O48">
        <v>-1260.0238926474699</v>
      </c>
      <c r="P48" t="s">
        <v>100</v>
      </c>
      <c r="Q48" s="11" t="s">
        <v>18</v>
      </c>
      <c r="V48">
        <v>35</v>
      </c>
      <c r="W48">
        <v>-790680.57066237798</v>
      </c>
      <c r="X48">
        <v>92</v>
      </c>
    </row>
    <row r="49" spans="1:24" x14ac:dyDescent="0.25">
      <c r="A49">
        <v>-1260.0288420490101</v>
      </c>
      <c r="B49">
        <f>Table1[[#This Row],[Energy (hartrees)]]*$C$2</f>
        <v>-790680.69867417437</v>
      </c>
      <c r="C49" s="4">
        <f>Table1[[#This Row],[Energy (kcal)]]-MIN(Table1[Energy (kcal)])</f>
        <v>1.0602777495514601</v>
      </c>
      <c r="D49">
        <v>-1260.0288420490101</v>
      </c>
      <c r="E49">
        <v>122</v>
      </c>
      <c r="F49" t="s">
        <v>20</v>
      </c>
      <c r="H49" s="10">
        <f>Table1[[#This Row],[Rel E]]</f>
        <v>1.0602777495514601</v>
      </c>
      <c r="I49" s="10">
        <f>IF(Table1[[#This Row],[rel G]]&lt;5,EXP(-H49/(D$2*E$2)),0)</f>
        <v>0.16688724990105075</v>
      </c>
      <c r="J49" s="10">
        <f>IF(Table1[[#This Row],[rel G]]&lt;5,I49/$F$2,0)</f>
        <v>3.389102395072556E-2</v>
      </c>
      <c r="N49">
        <v>29</v>
      </c>
      <c r="O49">
        <v>-1260.0277182801599</v>
      </c>
      <c r="P49" t="s">
        <v>100</v>
      </c>
      <c r="Q49" s="11" t="s">
        <v>17</v>
      </c>
      <c r="V49">
        <v>36</v>
      </c>
      <c r="W49">
        <v>-790677.26322379301</v>
      </c>
      <c r="X49">
        <v>93</v>
      </c>
    </row>
    <row r="50" spans="1:24" x14ac:dyDescent="0.25">
      <c r="A50">
        <v>-1260.01897477495</v>
      </c>
      <c r="B50">
        <f>Table1[[#This Row],[Energy (hartrees)]]*$C$2</f>
        <v>-790674.50686102884</v>
      </c>
      <c r="C50" s="4">
        <f>Table1[[#This Row],[Energy (kcal)]]-MIN(Table1[Energy (kcal)])</f>
        <v>7.2520908950828016</v>
      </c>
      <c r="D50">
        <v>-1260.01897477495</v>
      </c>
      <c r="E50">
        <v>124</v>
      </c>
      <c r="F50" t="s">
        <v>21</v>
      </c>
      <c r="H50" s="10">
        <f>Table1[[#This Row],[Rel E]]</f>
        <v>7.2520908950828016</v>
      </c>
      <c r="I50" s="10">
        <f>IF(Table1[[#This Row],[rel G]]&lt;5,EXP(-H50/(D$2*E$2)),0)</f>
        <v>0</v>
      </c>
      <c r="J50" s="10">
        <f>IF(Table1[[#This Row],[rel G]]&lt;5,I50/$F$2,0)</f>
        <v>0</v>
      </c>
      <c r="N50">
        <v>30</v>
      </c>
      <c r="O50">
        <v>-1260.02678530757</v>
      </c>
      <c r="P50" t="s">
        <v>100</v>
      </c>
      <c r="Q50" s="11" t="s">
        <v>19</v>
      </c>
      <c r="V50">
        <v>37</v>
      </c>
      <c r="W50">
        <v>-790675.91059691994</v>
      </c>
      <c r="X50">
        <v>95</v>
      </c>
    </row>
    <row r="51" spans="1:24" x14ac:dyDescent="0.25">
      <c r="A51">
        <v>-1260.02023104554</v>
      </c>
      <c r="B51">
        <f>Table1[[#This Row],[Energy (hartrees)]]*$C$2</f>
        <v>-790675.29518338677</v>
      </c>
      <c r="C51" s="4">
        <f>Table1[[#This Row],[Energy (kcal)]]-MIN(Table1[Energy (kcal)])</f>
        <v>6.4637685371562839</v>
      </c>
      <c r="D51">
        <v>-1260.02023104554</v>
      </c>
      <c r="E51">
        <v>125</v>
      </c>
      <c r="F51" t="s">
        <v>21</v>
      </c>
      <c r="H51" s="10">
        <f>Table1[[#This Row],[Rel E]]</f>
        <v>6.4637685371562839</v>
      </c>
      <c r="I51" s="10">
        <f>IF(Table1[[#This Row],[rel G]]&lt;5,EXP(-H51/(D$2*E$2)),0)</f>
        <v>0</v>
      </c>
      <c r="J51" s="10">
        <f>IF(Table1[[#This Row],[rel G]]&lt;5,I51/$F$2,0)</f>
        <v>0</v>
      </c>
      <c r="N51">
        <v>32</v>
      </c>
      <c r="O51">
        <v>-1260.02533683928</v>
      </c>
      <c r="P51" t="s">
        <v>100</v>
      </c>
      <c r="Q51" s="11" t="s">
        <v>17</v>
      </c>
      <c r="V51">
        <v>38</v>
      </c>
      <c r="W51">
        <v>-790679.44662785297</v>
      </c>
      <c r="X51">
        <v>100</v>
      </c>
    </row>
    <row r="52" spans="1:24" x14ac:dyDescent="0.25">
      <c r="A52">
        <v>-1260.01873925114</v>
      </c>
      <c r="B52">
        <f>Table1[[#This Row],[Energy (hartrees)]]*$C$2</f>
        <v>-790674.35906748287</v>
      </c>
      <c r="C52" s="4">
        <f>Table1[[#This Row],[Energy (kcal)]]-MIN(Table1[Energy (kcal)])</f>
        <v>7.3998844410525635</v>
      </c>
      <c r="D52">
        <v>-1260.01873925114</v>
      </c>
      <c r="E52">
        <v>126</v>
      </c>
      <c r="F52" t="s">
        <v>20</v>
      </c>
      <c r="H52" s="10">
        <f>Table1[[#This Row],[Rel E]]</f>
        <v>7.3998844410525635</v>
      </c>
      <c r="I52" s="10">
        <f>IF(Table1[[#This Row],[rel G]]&lt;5,EXP(-H52/(D$2*E$2)),0)</f>
        <v>0</v>
      </c>
      <c r="J52" s="10">
        <f>IF(Table1[[#This Row],[rel G]]&lt;5,I52/$F$2,0)</f>
        <v>0</v>
      </c>
      <c r="N52">
        <v>35</v>
      </c>
      <c r="O52">
        <v>-1260.0230769064001</v>
      </c>
      <c r="P52" t="s">
        <v>100</v>
      </c>
      <c r="Q52" s="11" t="s">
        <v>17</v>
      </c>
      <c r="V52">
        <v>42</v>
      </c>
      <c r="W52">
        <v>-790677.87573927396</v>
      </c>
      <c r="X52">
        <v>118</v>
      </c>
    </row>
    <row r="53" spans="1:24" x14ac:dyDescent="0.25">
      <c r="A53">
        <v>-1260.02738445616</v>
      </c>
      <c r="B53">
        <f>Table1[[#This Row],[Energy (hartrees)]]*$C$2</f>
        <v>-790679.784020085</v>
      </c>
      <c r="C53" s="4">
        <f>Table1[[#This Row],[Energy (kcal)]]-MIN(Table1[Energy (kcal)])</f>
        <v>1.9749318389222026</v>
      </c>
      <c r="D53">
        <v>-1260.02738445616</v>
      </c>
      <c r="E53">
        <v>129</v>
      </c>
      <c r="F53" t="s">
        <v>20</v>
      </c>
      <c r="H53" s="10">
        <f>Table1[[#This Row],[Rel E]]</f>
        <v>1.9749318389222026</v>
      </c>
      <c r="I53" s="10">
        <f>IF(Table1[[#This Row],[rel G]]&lt;5,EXP(-H53/(D$2*E$2)),0)</f>
        <v>3.5615780829112952E-2</v>
      </c>
      <c r="J53" s="10">
        <f>IF(Table1[[#This Row],[rel G]]&lt;5,I53/$F$2,0)</f>
        <v>7.2327591341994988E-3</v>
      </c>
      <c r="N53">
        <v>36</v>
      </c>
      <c r="O53">
        <v>-1260.0263089810401</v>
      </c>
      <c r="P53" t="s">
        <v>100</v>
      </c>
      <c r="Q53" s="11" t="s">
        <v>17</v>
      </c>
      <c r="V53">
        <v>43</v>
      </c>
      <c r="W53">
        <v>-790678.66297168005</v>
      </c>
      <c r="X53">
        <v>120</v>
      </c>
    </row>
    <row r="54" spans="1:24" x14ac:dyDescent="0.25">
      <c r="A54">
        <v>-1260.0240370711299</v>
      </c>
      <c r="B54">
        <f>Table1[[#This Row],[Energy (hartrees)]]*$C$2</f>
        <v>-790677.68350250472</v>
      </c>
      <c r="C54" s="4">
        <f>Table1[[#This Row],[Energy (kcal)]]-MIN(Table1[Energy (kcal)])</f>
        <v>4.075449419207871</v>
      </c>
      <c r="D54">
        <v>-1260.0240370711299</v>
      </c>
      <c r="E54">
        <v>144</v>
      </c>
      <c r="F54" t="s">
        <v>20</v>
      </c>
      <c r="H54" s="10">
        <f>Table1[[#This Row],[Rel E]]</f>
        <v>4.075449419207871</v>
      </c>
      <c r="I54" s="10">
        <f>IF(Table1[[#This Row],[rel G]]&lt;5,EXP(-H54/(D$2*E$2)),0)</f>
        <v>1.0260865921280181E-3</v>
      </c>
      <c r="J54" s="10">
        <f>IF(Table1[[#This Row],[rel G]]&lt;5,I54/$F$2,0)</f>
        <v>2.083749674702386E-4</v>
      </c>
      <c r="N54">
        <v>40</v>
      </c>
      <c r="O54">
        <v>-1260.0239533451199</v>
      </c>
      <c r="P54" t="s">
        <v>100</v>
      </c>
      <c r="Q54" s="11" t="s">
        <v>18</v>
      </c>
      <c r="V54">
        <v>44</v>
      </c>
      <c r="W54">
        <v>-790679.40189496998</v>
      </c>
      <c r="X54">
        <v>122</v>
      </c>
    </row>
    <row r="55" spans="1:24" x14ac:dyDescent="0.25">
      <c r="A55">
        <v>-1260.0292102901999</v>
      </c>
      <c r="B55">
        <f>Table1[[#This Row],[Energy (hartrees)]]*$C$2</f>
        <v>-790680.92974920338</v>
      </c>
      <c r="C55" s="4">
        <f>Table1[[#This Row],[Energy (kcal)]]-MIN(Table1[Energy (kcal)])</f>
        <v>0.82920272054616362</v>
      </c>
      <c r="D55">
        <v>-1260.0292102901999</v>
      </c>
      <c r="E55">
        <v>155</v>
      </c>
      <c r="F55" t="s">
        <v>20</v>
      </c>
      <c r="H55" s="10">
        <f>Table1[[#This Row],[Rel E]]</f>
        <v>0.82920272054616362</v>
      </c>
      <c r="I55" s="10">
        <f>IF(Table1[[#This Row],[rel G]]&lt;5,EXP(-H55/(D$2*E$2)),0)</f>
        <v>0.24653969755006902</v>
      </c>
      <c r="J55" s="10">
        <f>IF(Table1[[#This Row],[rel G]]&lt;5,I55/$F$2,0)</f>
        <v>5.0066633606989631E-2</v>
      </c>
      <c r="N55">
        <v>42</v>
      </c>
      <c r="O55">
        <v>-1260.0205167952399</v>
      </c>
      <c r="P55" t="s">
        <v>100</v>
      </c>
      <c r="Q55" s="11" t="s">
        <v>17</v>
      </c>
      <c r="V55">
        <v>48</v>
      </c>
      <c r="W55">
        <v>-790678.37569925003</v>
      </c>
      <c r="X55">
        <v>129</v>
      </c>
    </row>
    <row r="56" spans="1:24" x14ac:dyDescent="0.25">
      <c r="A56">
        <v>-1260.02457085124</v>
      </c>
      <c r="B56">
        <f>Table1[[#This Row],[Energy (hartrees)]]*$C$2</f>
        <v>-790678.01845486159</v>
      </c>
      <c r="C56" s="4">
        <f>Table1[[#This Row],[Energy (kcal)]]-MIN(Table1[Energy (kcal)])</f>
        <v>3.7404970623319969</v>
      </c>
      <c r="D56">
        <v>-1260.02457085124</v>
      </c>
      <c r="E56">
        <v>159</v>
      </c>
      <c r="F56" t="s">
        <v>20</v>
      </c>
      <c r="H56" s="10">
        <f>Table1[[#This Row],[Rel E]]</f>
        <v>3.7404970623319969</v>
      </c>
      <c r="I56" s="10">
        <f>IF(Table1[[#This Row],[rel G]]&lt;5,EXP(-H56/(D$2*E$2)),0)</f>
        <v>1.8064598871303712E-3</v>
      </c>
      <c r="J56" s="10">
        <f>IF(Table1[[#This Row],[rel G]]&lt;5,I56/$F$2,0)</f>
        <v>3.6685112455900641E-4</v>
      </c>
      <c r="N56">
        <v>43</v>
      </c>
      <c r="O56">
        <v>-1260.0265133159301</v>
      </c>
      <c r="P56" t="s">
        <v>100</v>
      </c>
      <c r="Q56" s="11" t="s">
        <v>17</v>
      </c>
      <c r="V56">
        <v>49</v>
      </c>
      <c r="W56">
        <v>-790677.87135149201</v>
      </c>
      <c r="X56">
        <v>137</v>
      </c>
    </row>
    <row r="57" spans="1:24" x14ac:dyDescent="0.25">
      <c r="A57">
        <v>-1260.02553220696</v>
      </c>
      <c r="B57">
        <f>Table1[[#This Row],[Energy (hartrees)]]*$C$2</f>
        <v>-790678.62171518942</v>
      </c>
      <c r="C57" s="4">
        <f>Table1[[#This Row],[Energy (kcal)]]-MIN(Table1[Energy (kcal)])</f>
        <v>3.1372367345029488</v>
      </c>
      <c r="D57">
        <v>-1260.02553220696</v>
      </c>
      <c r="E57">
        <v>164</v>
      </c>
      <c r="F57" t="s">
        <v>20</v>
      </c>
      <c r="H57" s="10">
        <f>Table1[[#This Row],[Rel E]]</f>
        <v>3.1372367345029488</v>
      </c>
      <c r="I57" s="10">
        <f>IF(Table1[[#This Row],[rel G]]&lt;5,EXP(-H57/(D$2*E$2)),0)</f>
        <v>5.0031311657737793E-3</v>
      </c>
      <c r="J57" s="10">
        <f>IF(Table1[[#This Row],[rel G]]&lt;5,I57/$F$2,0)</f>
        <v>1.0160227235357724E-3</v>
      </c>
      <c r="N57">
        <v>44</v>
      </c>
      <c r="O57">
        <v>-1260.02945918055</v>
      </c>
      <c r="P57" t="s">
        <v>100</v>
      </c>
      <c r="Q57" s="11" t="s">
        <v>21</v>
      </c>
      <c r="V57">
        <v>50</v>
      </c>
      <c r="W57">
        <v>-790676.51607207896</v>
      </c>
      <c r="X57">
        <v>144</v>
      </c>
    </row>
    <row r="58" spans="1:24" x14ac:dyDescent="0.25">
      <c r="A58">
        <v>-1260.02295463212</v>
      </c>
      <c r="B58">
        <f>Table1[[#This Row],[Energy (hartrees)]]*$C$2</f>
        <v>-790677.0042612016</v>
      </c>
      <c r="C58" s="4">
        <f>Table1[[#This Row],[Energy (kcal)]]-MIN(Table1[Energy (kcal)])</f>
        <v>4.754690722329542</v>
      </c>
      <c r="D58">
        <v>-1260.02295463212</v>
      </c>
      <c r="E58">
        <v>170</v>
      </c>
      <c r="F58" t="s">
        <v>19</v>
      </c>
      <c r="H58" s="10">
        <f>Table1[[#This Row],[Rel E]]</f>
        <v>4.754690722329542</v>
      </c>
      <c r="I58" s="10">
        <f>IF(Table1[[#This Row],[rel G]]&lt;5,EXP(-H58/(D$2*E$2)),0)</f>
        <v>3.2587287371839993E-4</v>
      </c>
      <c r="J58" s="10">
        <f>IF(Table1[[#This Row],[rel G]]&lt;5,I58/$F$2,0)</f>
        <v>6.6177406450344546E-5</v>
      </c>
      <c r="N58">
        <v>47</v>
      </c>
      <c r="O58">
        <v>-1260.022073779</v>
      </c>
      <c r="P58" t="s">
        <v>100</v>
      </c>
      <c r="Q58" s="11" t="s">
        <v>17</v>
      </c>
      <c r="V58">
        <v>51</v>
      </c>
      <c r="W58">
        <v>-790679.48983746499</v>
      </c>
      <c r="X58">
        <v>155</v>
      </c>
    </row>
    <row r="59" spans="1:24" x14ac:dyDescent="0.25">
      <c r="A59">
        <v>-1260.02771829984</v>
      </c>
      <c r="B59">
        <f>Table1[[#This Row],[Energy (hartrees)]]*$C$2</f>
        <v>-790679.99351033254</v>
      </c>
      <c r="C59" s="4">
        <f>Table1[[#This Row],[Energy (kcal)]]-MIN(Table1[Energy (kcal)])</f>
        <v>1.765441591385752</v>
      </c>
      <c r="D59">
        <v>-1260.02771829984</v>
      </c>
      <c r="E59">
        <v>184</v>
      </c>
      <c r="F59" t="s">
        <v>17</v>
      </c>
      <c r="H59" s="10">
        <f>Table1[[#This Row],[Rel E]]</f>
        <v>1.765441591385752</v>
      </c>
      <c r="I59" s="10">
        <f>IF(Table1[[#This Row],[rel G]]&lt;5,EXP(-H59/(D$2*E$2)),0)</f>
        <v>5.0731361801443171E-2</v>
      </c>
      <c r="J59" s="10">
        <f>IF(Table1[[#This Row],[rel G]]&lt;5,I59/$F$2,0)</f>
        <v>1.030239157805673E-2</v>
      </c>
      <c r="N59">
        <v>51</v>
      </c>
      <c r="O59">
        <v>-1260.0201355883</v>
      </c>
      <c r="P59" t="s">
        <v>100</v>
      </c>
      <c r="Q59" s="11" t="s">
        <v>17</v>
      </c>
      <c r="V59">
        <v>52</v>
      </c>
      <c r="W59">
        <v>-790676.83944106998</v>
      </c>
      <c r="X59">
        <v>159</v>
      </c>
    </row>
    <row r="60" spans="1:24" x14ac:dyDescent="0.25">
      <c r="A60">
        <v>-1260.02555632346</v>
      </c>
      <c r="B60">
        <f>Table1[[#This Row],[Energy (hartrees)]]*$C$2</f>
        <v>-790678.63684853434</v>
      </c>
      <c r="C60" s="4">
        <f>Table1[[#This Row],[Energy (kcal)]]-MIN(Table1[Energy (kcal)])</f>
        <v>3.1221033895853907</v>
      </c>
      <c r="D60">
        <v>-1260.02555632346</v>
      </c>
      <c r="E60">
        <v>189</v>
      </c>
      <c r="F60" t="s">
        <v>20</v>
      </c>
      <c r="H60" s="10">
        <f>Table1[[#This Row],[Rel E]]</f>
        <v>3.1221033895853907</v>
      </c>
      <c r="I60" s="10">
        <f>IF(Table1[[#This Row],[rel G]]&lt;5,EXP(-H60/(D$2*E$2)),0)</f>
        <v>5.1326333737118802E-3</v>
      </c>
      <c r="J60" s="10">
        <f>IF(Table1[[#This Row],[rel G]]&lt;5,I60/$F$2,0)</f>
        <v>1.04232169145276E-3</v>
      </c>
      <c r="N60">
        <v>52</v>
      </c>
      <c r="O60">
        <v>-1260.02951834706</v>
      </c>
      <c r="P60" t="s">
        <v>100</v>
      </c>
      <c r="Q60" s="11" t="s">
        <v>21</v>
      </c>
      <c r="V60">
        <v>53</v>
      </c>
      <c r="W60">
        <v>-790677.06560819503</v>
      </c>
      <c r="X60">
        <v>164</v>
      </c>
    </row>
    <row r="61" spans="1:24" x14ac:dyDescent="0.25">
      <c r="A61">
        <v>-1260.0262776019699</v>
      </c>
      <c r="B61">
        <f>Table1[[#This Row],[Energy (hartrees)]]*$C$2</f>
        <v>-790679.08945801214</v>
      </c>
      <c r="C61" s="4">
        <f>Table1[[#This Row],[Energy (kcal)]]-MIN(Table1[Energy (kcal)])</f>
        <v>2.6694939117878675</v>
      </c>
      <c r="D61">
        <v>-1260.0262776019699</v>
      </c>
      <c r="E61">
        <v>190</v>
      </c>
      <c r="F61" t="s">
        <v>17</v>
      </c>
      <c r="H61" s="10">
        <f>Table1[[#This Row],[Rel E]]</f>
        <v>2.6694939117878675</v>
      </c>
      <c r="I61" s="10">
        <f>IF(Table1[[#This Row],[rel G]]&lt;5,EXP(-H61/(D$2*E$2)),0)</f>
        <v>1.1022265330403265E-2</v>
      </c>
      <c r="J61" s="10">
        <f>IF(Table1[[#This Row],[rel G]]&lt;5,I61/$F$2,0)</f>
        <v>2.2383726649305704E-3</v>
      </c>
      <c r="N61">
        <v>54</v>
      </c>
      <c r="O61">
        <v>-1260.0300795231501</v>
      </c>
      <c r="P61" t="s">
        <v>100</v>
      </c>
      <c r="Q61" s="11" t="s">
        <v>17</v>
      </c>
      <c r="V61">
        <v>54</v>
      </c>
      <c r="W61">
        <v>-790675.57158549898</v>
      </c>
      <c r="X61">
        <v>170</v>
      </c>
    </row>
    <row r="62" spans="1:24" x14ac:dyDescent="0.25">
      <c r="A62">
        <v>-1260.0216339124599</v>
      </c>
      <c r="B62">
        <f>Table1[[#This Row],[Energy (hartrees)]]*$C$2</f>
        <v>-790676.17549640778</v>
      </c>
      <c r="C62" s="4">
        <f>Table1[[#This Row],[Energy (kcal)]]-MIN(Table1[Energy (kcal)])</f>
        <v>5.5834555161418393</v>
      </c>
      <c r="D62">
        <v>-1260.0216339124599</v>
      </c>
      <c r="E62">
        <v>199</v>
      </c>
      <c r="F62" t="s">
        <v>17</v>
      </c>
      <c r="H62" s="10">
        <f>Table1[[#This Row],[Rel E]]</f>
        <v>5.5834555161418393</v>
      </c>
      <c r="I62" s="10">
        <f>IF(Table1[[#This Row],[rel G]]&lt;5,EXP(-H62/(D$2*E$2)),0)</f>
        <v>0</v>
      </c>
      <c r="J62" s="10">
        <f>IF(Table1[[#This Row],[rel G]]&lt;5,I62/$F$2,0)</f>
        <v>0</v>
      </c>
      <c r="N62">
        <v>55</v>
      </c>
      <c r="O62">
        <v>-1260.0258353551301</v>
      </c>
      <c r="P62" t="s">
        <v>100</v>
      </c>
      <c r="Q62" s="11" t="s">
        <v>19</v>
      </c>
      <c r="V62">
        <v>55</v>
      </c>
      <c r="W62">
        <v>-790678.84717336996</v>
      </c>
      <c r="X62">
        <v>184</v>
      </c>
    </row>
    <row r="63" spans="1:24" x14ac:dyDescent="0.25">
      <c r="A63">
        <v>-1260.02226096703</v>
      </c>
      <c r="B63">
        <f>Table1[[#This Row],[Energy (hartrees)]]*$C$2</f>
        <v>-790676.56897942093</v>
      </c>
      <c r="C63" s="4">
        <f>Table1[[#This Row],[Energy (kcal)]]-MIN(Table1[Energy (kcal)])</f>
        <v>5.1899725029943511</v>
      </c>
      <c r="D63">
        <v>-1260.02226096703</v>
      </c>
      <c r="E63">
        <v>201</v>
      </c>
      <c r="F63" t="s">
        <v>17</v>
      </c>
      <c r="H63" s="10">
        <f>Table1[[#This Row],[Rel E]]</f>
        <v>5.1899725029943511</v>
      </c>
      <c r="I63" s="10">
        <f>IF(Table1[[#This Row],[rel G]]&lt;5,EXP(-H63/(D$2*E$2)),0)</f>
        <v>0</v>
      </c>
      <c r="J63" s="10">
        <f>IF(Table1[[#This Row],[rel G]]&lt;5,I63/$F$2,0)</f>
        <v>0</v>
      </c>
      <c r="N63">
        <v>57</v>
      </c>
      <c r="O63">
        <v>-1260.02398623152</v>
      </c>
      <c r="P63" t="s">
        <v>100</v>
      </c>
      <c r="Q63" s="11" t="s">
        <v>17</v>
      </c>
      <c r="V63">
        <v>56</v>
      </c>
      <c r="W63">
        <v>-790678.03324032796</v>
      </c>
      <c r="X63">
        <v>189</v>
      </c>
    </row>
    <row r="64" spans="1:24" x14ac:dyDescent="0.25">
      <c r="A64">
        <v>-1260.02372594744</v>
      </c>
      <c r="B64">
        <f>Table1[[#This Row],[Energy (hartrees)]]*$C$2</f>
        <v>-790677.48826927808</v>
      </c>
      <c r="C64" s="4">
        <f>Table1[[#This Row],[Energy (kcal)]]-MIN(Table1[Energy (kcal)])</f>
        <v>4.2706826458452269</v>
      </c>
      <c r="D64">
        <v>-1260.02372594744</v>
      </c>
      <c r="E64">
        <v>205</v>
      </c>
      <c r="F64" t="s">
        <v>20</v>
      </c>
      <c r="H64" s="10">
        <f>Table1[[#This Row],[Rel E]]</f>
        <v>4.2706826458452269</v>
      </c>
      <c r="I64" s="10">
        <f>IF(Table1[[#This Row],[rel G]]&lt;5,EXP(-H64/(D$2*E$2)),0)</f>
        <v>7.3791382427114318E-4</v>
      </c>
      <c r="J64" s="10">
        <f>IF(Table1[[#This Row],[rel G]]&lt;5,I64/$F$2,0)</f>
        <v>1.4985359940182793E-4</v>
      </c>
      <c r="N64">
        <v>58</v>
      </c>
      <c r="O64">
        <v>-1260.0245051357599</v>
      </c>
      <c r="P64" t="s">
        <v>100</v>
      </c>
      <c r="Q64" s="11" t="s">
        <v>20</v>
      </c>
      <c r="V64">
        <v>57</v>
      </c>
      <c r="W64">
        <v>-790677.93277725799</v>
      </c>
      <c r="X64">
        <v>190</v>
      </c>
    </row>
    <row r="65" spans="1:24" x14ac:dyDescent="0.25">
      <c r="A65">
        <v>-1260.0217043374601</v>
      </c>
      <c r="B65">
        <f>Table1[[#This Row],[Energy (hartrees)]]*$C$2</f>
        <v>-790676.21968879958</v>
      </c>
      <c r="C65" s="4">
        <f>Table1[[#This Row],[Energy (kcal)]]-MIN(Table1[Energy (kcal)])</f>
        <v>5.5392631243448704</v>
      </c>
      <c r="D65">
        <v>-1260.0217043374601</v>
      </c>
      <c r="E65">
        <v>217</v>
      </c>
      <c r="F65" t="s">
        <v>102</v>
      </c>
      <c r="H65" s="10">
        <f>Table1[[#This Row],[Rel E]]</f>
        <v>5.5392631243448704</v>
      </c>
      <c r="I65" s="10">
        <f>IF(Table1[[#This Row],[rel G]]&lt;5,EXP(-H65/(D$2*E$2)),0)</f>
        <v>0</v>
      </c>
      <c r="J65" s="10">
        <f>IF(Table1[[#This Row],[rel G]]&lt;5,I65/$F$2,0)</f>
        <v>0</v>
      </c>
      <c r="N65">
        <v>60</v>
      </c>
      <c r="O65">
        <v>-1260.02697319719</v>
      </c>
      <c r="P65" t="s">
        <v>100</v>
      </c>
      <c r="Q65" s="11" t="s">
        <v>21</v>
      </c>
      <c r="V65">
        <v>60</v>
      </c>
      <c r="W65">
        <v>-790676.03099690506</v>
      </c>
      <c r="X65">
        <v>205</v>
      </c>
    </row>
    <row r="66" spans="1:24" x14ac:dyDescent="0.25">
      <c r="A66">
        <v>-1260.02151636236</v>
      </c>
      <c r="B66">
        <f>Table1[[#This Row],[Energy (hartrees)]]*$C$2</f>
        <v>-790676.10173254448</v>
      </c>
      <c r="C66" s="4">
        <f>Table1[[#This Row],[Energy (kcal)]]-MIN(Table1[Energy (kcal)])</f>
        <v>5.6572193794418126</v>
      </c>
      <c r="D66">
        <v>-1260.02151636236</v>
      </c>
      <c r="E66">
        <v>225</v>
      </c>
      <c r="F66" t="s">
        <v>102</v>
      </c>
      <c r="H66" s="10">
        <f>Table1[[#This Row],[Rel E]]</f>
        <v>5.6572193794418126</v>
      </c>
      <c r="I66" s="10">
        <f>IF(Table1[[#This Row],[rel G]]&lt;5,EXP(-H66/(D$2*E$2)),0)</f>
        <v>0</v>
      </c>
      <c r="J66" s="10">
        <f>IF(Table1[[#This Row],[rel G]]&lt;5,I66/$F$2,0)</f>
        <v>0</v>
      </c>
      <c r="N66">
        <v>65</v>
      </c>
      <c r="O66">
        <v>-1260.0272461322299</v>
      </c>
      <c r="P66" t="s">
        <v>100</v>
      </c>
      <c r="Q66" s="11" t="s">
        <v>18</v>
      </c>
      <c r="V66">
        <v>63</v>
      </c>
      <c r="W66">
        <v>-790675.72068930895</v>
      </c>
      <c r="X66">
        <v>247</v>
      </c>
    </row>
    <row r="67" spans="1:24" x14ac:dyDescent="0.25">
      <c r="A67">
        <v>-1260.0230074967899</v>
      </c>
      <c r="B67">
        <f>Table1[[#This Row],[Energy (hartrees)]]*$C$2</f>
        <v>-790677.03743431065</v>
      </c>
      <c r="C67" s="4">
        <f>Table1[[#This Row],[Energy (kcal)]]-MIN(Table1[Energy (kcal)])</f>
        <v>4.7215176132740453</v>
      </c>
      <c r="D67">
        <v>-1260.0230074967899</v>
      </c>
      <c r="E67">
        <v>247</v>
      </c>
      <c r="F67" t="s">
        <v>20</v>
      </c>
      <c r="H67" s="10">
        <f>Table1[[#This Row],[Rel E]]</f>
        <v>4.7215176132740453</v>
      </c>
      <c r="I67" s="10">
        <f>IF(Table1[[#This Row],[rel G]]&lt;5,EXP(-H67/(D$2*E$2)),0)</f>
        <v>3.4464850830536039E-4</v>
      </c>
      <c r="J67" s="10">
        <f>IF(Table1[[#This Row],[rel G]]&lt;5,I67/$F$2,0)</f>
        <v>6.9990312959703602E-5</v>
      </c>
      <c r="N67">
        <v>69</v>
      </c>
      <c r="O67">
        <v>-1260.0237761619301</v>
      </c>
      <c r="P67" t="s">
        <v>100</v>
      </c>
      <c r="Q67" s="11" t="s">
        <v>20</v>
      </c>
      <c r="V67">
        <v>65</v>
      </c>
      <c r="W67">
        <v>-790678.60882617999</v>
      </c>
      <c r="X67">
        <v>387</v>
      </c>
    </row>
    <row r="68" spans="1:24" x14ac:dyDescent="0.25">
      <c r="A68">
        <v>-1260.0229141209099</v>
      </c>
      <c r="B68">
        <f>Table1[[#This Row],[Energy (hartrees)]]*$C$2</f>
        <v>-790676.97884001222</v>
      </c>
      <c r="C68" s="4">
        <f>Table1[[#This Row],[Energy (kcal)]]-MIN(Table1[Energy (kcal)])</f>
        <v>4.7801119117066264</v>
      </c>
      <c r="D68">
        <v>-1260.0229141209099</v>
      </c>
      <c r="E68">
        <v>376</v>
      </c>
      <c r="F68" t="s">
        <v>17</v>
      </c>
      <c r="H68" s="10">
        <f>Table1[[#This Row],[Rel E]]</f>
        <v>4.7801119117066264</v>
      </c>
      <c r="I68" s="10">
        <f>IF(Table1[[#This Row],[rel G]]&lt;5,EXP(-H68/(D$2*E$2)),0)</f>
        <v>3.1217998115678071E-4</v>
      </c>
      <c r="J68" s="10">
        <f>IF(Table1[[#This Row],[rel G]]&lt;5,I68/$F$2,0)</f>
        <v>6.3396689828579256E-5</v>
      </c>
      <c r="N68">
        <v>70</v>
      </c>
      <c r="O68">
        <v>-1260.0294453794199</v>
      </c>
      <c r="P68" t="s">
        <v>100</v>
      </c>
      <c r="Q68" s="11" t="s">
        <v>20</v>
      </c>
    </row>
    <row r="69" spans="1:24" x14ac:dyDescent="0.25">
      <c r="A69">
        <v>-1260.0276389497101</v>
      </c>
      <c r="B69">
        <f>Table1[[#This Row],[Energy (hartrees)]]*$C$2</f>
        <v>-790679.94371733256</v>
      </c>
      <c r="C69" s="4">
        <f>Table1[[#This Row],[Energy (kcal)]]-MIN(Table1[Energy (kcal)])</f>
        <v>1.8152345913695171</v>
      </c>
      <c r="D69">
        <v>-1260.0276389497101</v>
      </c>
      <c r="E69">
        <v>387</v>
      </c>
      <c r="F69" t="s">
        <v>21</v>
      </c>
      <c r="H69" s="10">
        <f>Table1[[#This Row],[Rel E]]</f>
        <v>1.8152345913695171</v>
      </c>
      <c r="I69" s="10">
        <f>IF(Table1[[#This Row],[rel G]]&lt;5,EXP(-H69/(D$2*E$2)),0)</f>
        <v>4.6640133349943214E-2</v>
      </c>
      <c r="J69" s="10">
        <f>IF(Table1[[#This Row],[rel G]]&lt;5,I69/$F$2,0)</f>
        <v>9.4715556602746019E-3</v>
      </c>
      <c r="N69">
        <v>86</v>
      </c>
      <c r="O69">
        <v>-1260.0251302542099</v>
      </c>
      <c r="P69" t="s">
        <v>100</v>
      </c>
      <c r="Q69" s="11" t="s">
        <v>17</v>
      </c>
    </row>
    <row r="70" spans="1:24" x14ac:dyDescent="0.25">
      <c r="C70" s="4"/>
      <c r="D70" s="4"/>
      <c r="H70" s="4"/>
      <c r="I70" s="4"/>
      <c r="J70" s="4"/>
      <c r="N70">
        <v>89</v>
      </c>
      <c r="O70">
        <v>-1260.0216103707301</v>
      </c>
      <c r="P70" t="s">
        <v>100</v>
      </c>
      <c r="Q70" s="11" t="s">
        <v>20</v>
      </c>
    </row>
    <row r="71" spans="1:24" x14ac:dyDescent="0.25">
      <c r="C71" s="4"/>
      <c r="D71" s="4"/>
      <c r="H71" s="4"/>
      <c r="I71" s="4"/>
      <c r="J71" s="4"/>
      <c r="N71">
        <v>90</v>
      </c>
      <c r="O71">
        <v>-1260.02084537474</v>
      </c>
      <c r="P71" t="s">
        <v>100</v>
      </c>
      <c r="Q71" s="11" t="s">
        <v>20</v>
      </c>
    </row>
    <row r="72" spans="1:24" x14ac:dyDescent="0.25">
      <c r="C72" s="4"/>
      <c r="D72" s="4"/>
      <c r="H72" s="4"/>
      <c r="I72" s="4"/>
      <c r="J72" s="4"/>
      <c r="N72">
        <v>92</v>
      </c>
      <c r="O72">
        <v>-1260.03053170774</v>
      </c>
      <c r="P72" t="s">
        <v>100</v>
      </c>
      <c r="Q72" s="11" t="s">
        <v>19</v>
      </c>
    </row>
    <row r="73" spans="1:24" x14ac:dyDescent="0.25">
      <c r="C73" s="4"/>
      <c r="D73" s="4"/>
      <c r="H73" s="4"/>
      <c r="I73" s="4"/>
      <c r="J73" s="4"/>
      <c r="N73">
        <v>93</v>
      </c>
      <c r="O73">
        <v>-1260.02540341695</v>
      </c>
      <c r="P73" t="s">
        <v>100</v>
      </c>
      <c r="Q73" s="11" t="s">
        <v>20</v>
      </c>
    </row>
    <row r="74" spans="1:24" x14ac:dyDescent="0.25">
      <c r="N74">
        <v>95</v>
      </c>
      <c r="O74">
        <v>-1260.02379266957</v>
      </c>
      <c r="P74" t="s">
        <v>100</v>
      </c>
      <c r="Q74" s="11" t="s">
        <v>20</v>
      </c>
    </row>
    <row r="75" spans="1:24" x14ac:dyDescent="0.25">
      <c r="N75">
        <v>100</v>
      </c>
      <c r="O75">
        <v>-1260.0289877254099</v>
      </c>
      <c r="P75" t="s">
        <v>100</v>
      </c>
      <c r="Q75" s="11" t="s">
        <v>20</v>
      </c>
    </row>
    <row r="76" spans="1:24" x14ac:dyDescent="0.25">
      <c r="N76">
        <v>112</v>
      </c>
      <c r="O76">
        <v>-1260.0221114073199</v>
      </c>
      <c r="P76" t="s">
        <v>100</v>
      </c>
      <c r="Q76" s="11" t="s">
        <v>20</v>
      </c>
    </row>
    <row r="77" spans="1:24" x14ac:dyDescent="0.25">
      <c r="N77">
        <v>115</v>
      </c>
      <c r="O77">
        <v>-1260.020744742</v>
      </c>
      <c r="P77" t="s">
        <v>100</v>
      </c>
      <c r="Q77" s="11" t="s">
        <v>19</v>
      </c>
    </row>
    <row r="78" spans="1:24" x14ac:dyDescent="0.25">
      <c r="N78">
        <v>117</v>
      </c>
      <c r="O78">
        <v>-1260.0195847871901</v>
      </c>
      <c r="P78" t="s">
        <v>100</v>
      </c>
      <c r="Q78" s="11" t="s">
        <v>17</v>
      </c>
    </row>
    <row r="79" spans="1:24" x14ac:dyDescent="0.25">
      <c r="N79">
        <v>118</v>
      </c>
      <c r="O79">
        <v>-1260.0263376478699</v>
      </c>
      <c r="P79" t="s">
        <v>100</v>
      </c>
      <c r="Q79" s="11" t="s">
        <v>20</v>
      </c>
    </row>
    <row r="80" spans="1:24" x14ac:dyDescent="0.25">
      <c r="N80">
        <v>120</v>
      </c>
      <c r="O80">
        <v>-1260.02736968609</v>
      </c>
      <c r="P80" t="s">
        <v>100</v>
      </c>
      <c r="Q80" s="11" t="s">
        <v>17</v>
      </c>
    </row>
    <row r="81" spans="14:17" x14ac:dyDescent="0.25">
      <c r="N81">
        <v>122</v>
      </c>
      <c r="O81">
        <v>-1260.0288420490101</v>
      </c>
      <c r="P81" t="s">
        <v>100</v>
      </c>
      <c r="Q81" s="11" t="s">
        <v>20</v>
      </c>
    </row>
    <row r="82" spans="14:17" x14ac:dyDescent="0.25">
      <c r="N82">
        <v>124</v>
      </c>
      <c r="O82">
        <v>-1260.01897477495</v>
      </c>
      <c r="P82" t="s">
        <v>100</v>
      </c>
      <c r="Q82" s="11" t="s">
        <v>20</v>
      </c>
    </row>
    <row r="83" spans="14:17" x14ac:dyDescent="0.25">
      <c r="N83">
        <v>125</v>
      </c>
      <c r="O83">
        <v>-1260.02023104554</v>
      </c>
      <c r="P83" t="s">
        <v>100</v>
      </c>
      <c r="Q83" s="12" t="s">
        <v>21</v>
      </c>
    </row>
    <row r="84" spans="14:17" x14ac:dyDescent="0.25">
      <c r="N84">
        <v>126</v>
      </c>
      <c r="O84">
        <v>-1260.01873925114</v>
      </c>
    </row>
    <row r="85" spans="14:17" x14ac:dyDescent="0.25">
      <c r="N85">
        <v>129</v>
      </c>
      <c r="O85">
        <v>-1260.02738445616</v>
      </c>
    </row>
    <row r="86" spans="14:17" x14ac:dyDescent="0.25">
      <c r="N86">
        <v>144</v>
      </c>
      <c r="O86">
        <v>-1260.0240370711299</v>
      </c>
    </row>
    <row r="87" spans="14:17" x14ac:dyDescent="0.25">
      <c r="N87">
        <v>155</v>
      </c>
      <c r="O87">
        <v>-1260.0292102901999</v>
      </c>
    </row>
    <row r="88" spans="14:17" x14ac:dyDescent="0.25">
      <c r="N88">
        <v>159</v>
      </c>
      <c r="O88">
        <v>-1260.02457085124</v>
      </c>
    </row>
    <row r="89" spans="14:17" x14ac:dyDescent="0.25">
      <c r="N89">
        <v>164</v>
      </c>
      <c r="O89">
        <v>-1260.02553220696</v>
      </c>
    </row>
    <row r="90" spans="14:17" x14ac:dyDescent="0.25">
      <c r="N90">
        <v>170</v>
      </c>
      <c r="O90">
        <v>-1260.02295463212</v>
      </c>
    </row>
    <row r="91" spans="14:17" x14ac:dyDescent="0.25">
      <c r="N91">
        <v>184</v>
      </c>
      <c r="O91">
        <v>-1260.02771829984</v>
      </c>
    </row>
    <row r="92" spans="14:17" x14ac:dyDescent="0.25">
      <c r="N92">
        <v>189</v>
      </c>
      <c r="O92">
        <v>-1260.02555632346</v>
      </c>
    </row>
    <row r="93" spans="14:17" x14ac:dyDescent="0.25">
      <c r="N93">
        <v>190</v>
      </c>
      <c r="O93">
        <v>-1260.0262776019699</v>
      </c>
    </row>
    <row r="94" spans="14:17" x14ac:dyDescent="0.25">
      <c r="N94">
        <v>199</v>
      </c>
      <c r="O94">
        <v>-1260.0216339124599</v>
      </c>
    </row>
    <row r="95" spans="14:17" x14ac:dyDescent="0.25">
      <c r="N95">
        <v>201</v>
      </c>
      <c r="O95">
        <v>-1260.02226096703</v>
      </c>
    </row>
    <row r="96" spans="14:17" x14ac:dyDescent="0.25">
      <c r="N96">
        <v>205</v>
      </c>
      <c r="O96">
        <v>-1260.02372594744</v>
      </c>
    </row>
    <row r="97" spans="14:15" x14ac:dyDescent="0.25">
      <c r="N97">
        <v>217</v>
      </c>
      <c r="O97">
        <v>-1260.0217043374601</v>
      </c>
    </row>
    <row r="98" spans="14:15" x14ac:dyDescent="0.25">
      <c r="N98">
        <v>225</v>
      </c>
      <c r="O98">
        <v>-1260.02151636236</v>
      </c>
    </row>
    <row r="99" spans="14:15" x14ac:dyDescent="0.25">
      <c r="N99">
        <v>247</v>
      </c>
      <c r="O99">
        <v>-1260.0230074967899</v>
      </c>
    </row>
    <row r="100" spans="14:15" x14ac:dyDescent="0.25">
      <c r="N100">
        <v>376</v>
      </c>
      <c r="O100">
        <v>-1260.0229141209099</v>
      </c>
    </row>
    <row r="101" spans="14:15" x14ac:dyDescent="0.25">
      <c r="N101">
        <v>387</v>
      </c>
      <c r="O101">
        <v>-1260.0276389497101</v>
      </c>
    </row>
  </sheetData>
  <sortState xmlns:xlrd2="http://schemas.microsoft.com/office/spreadsheetml/2017/richdata2" ref="N7:P11">
    <sortCondition descending="1" ref="O7:O11"/>
  </sortState>
  <phoneticPr fontId="4" type="noConversion"/>
  <conditionalFormatting sqref="H7:H69">
    <cfRule type="cellIs" dxfId="30" priority="3" operator="lessThan">
      <formula>5</formula>
    </cfRule>
    <cfRule type="cellIs" dxfId="29" priority="4" operator="greaterThan">
      <formula>5</formula>
    </cfRule>
  </conditionalFormatting>
  <conditionalFormatting sqref="X76:X79">
    <cfRule type="cellIs" dxfId="28" priority="2" operator="greaterThan">
      <formula>5</formula>
    </cfRule>
  </conditionalFormatting>
  <pageMargins left="0.7" right="0.7" top="0.75" bottom="0.75" header="0.3" footer="0.3"/>
  <drawing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0EDE23-14B5-4F34-8B41-10E18CB07CA4}">
  <dimension ref="A1:AF76"/>
  <sheetViews>
    <sheetView topLeftCell="A52" workbookViewId="0">
      <selection activeCell="S67" sqref="S67"/>
    </sheetView>
  </sheetViews>
  <sheetFormatPr defaultRowHeight="15" x14ac:dyDescent="0.25"/>
  <cols>
    <col min="1" max="1" width="10.140625" customWidth="1"/>
    <col min="11" max="11" width="13.42578125" customWidth="1"/>
  </cols>
  <sheetData>
    <row r="1" spans="1:31" x14ac:dyDescent="0.25">
      <c r="A1" t="s">
        <v>45</v>
      </c>
      <c r="B1" t="s">
        <v>36</v>
      </c>
      <c r="C1" t="s">
        <v>37</v>
      </c>
      <c r="D1" t="s">
        <v>38</v>
      </c>
      <c r="E1" t="s">
        <v>39</v>
      </c>
      <c r="F1" t="s">
        <v>40</v>
      </c>
      <c r="G1" t="s">
        <v>41</v>
      </c>
      <c r="H1" t="s">
        <v>42</v>
      </c>
      <c r="I1" t="s">
        <v>43</v>
      </c>
      <c r="J1" t="s">
        <v>15</v>
      </c>
      <c r="K1" t="s">
        <v>44</v>
      </c>
      <c r="L1" t="s">
        <v>47</v>
      </c>
      <c r="M1" t="s">
        <v>48</v>
      </c>
      <c r="N1" t="s">
        <v>49</v>
      </c>
      <c r="O1" t="s">
        <v>50</v>
      </c>
      <c r="P1" t="s">
        <v>51</v>
      </c>
      <c r="Q1" t="s">
        <v>52</v>
      </c>
      <c r="R1" t="s">
        <v>53</v>
      </c>
      <c r="S1" t="s">
        <v>54</v>
      </c>
      <c r="T1" t="s">
        <v>55</v>
      </c>
    </row>
    <row r="2" spans="1:31" x14ac:dyDescent="0.25">
      <c r="A2" t="s">
        <v>24</v>
      </c>
      <c r="B2">
        <v>8.0730000000000004</v>
      </c>
      <c r="C2">
        <v>8.7690000000000001</v>
      </c>
      <c r="D2">
        <v>2.2879999999999998</v>
      </c>
      <c r="E2">
        <v>10.023999999999999</v>
      </c>
      <c r="F2">
        <v>0.184</v>
      </c>
      <c r="G2">
        <v>11.009</v>
      </c>
      <c r="H2">
        <v>-11.462999999999999</v>
      </c>
      <c r="I2">
        <v>2.266</v>
      </c>
      <c r="J2" s="9">
        <f>chloroform!J7</f>
        <v>1.0272961753302522E-2</v>
      </c>
      <c r="K2" t="str">
        <f>chloroform!F7</f>
        <v>6H4</v>
      </c>
      <c r="M2">
        <f>0.9155*Table2[[#This Row],[J1,2]]*Table2[[#This Row],[weight]]</f>
        <v>7.5925729324603508E-2</v>
      </c>
      <c r="N2">
        <f>0.9155*Table2[[#This Row],[J2,3]]*Table2[[#This Row],[weight]]</f>
        <v>8.2471537278266824E-2</v>
      </c>
      <c r="O2">
        <f>0.9155*Table2[[#This Row],[J34]]*Table2[[#This Row],[weight]]</f>
        <v>2.1518403158019672E-2</v>
      </c>
      <c r="P2">
        <f>0.9155*Table2[[#This Row],[J45]]*Table2[[#This Row],[weight]]</f>
        <v>9.4274682367128146E-2</v>
      </c>
      <c r="Q2">
        <f>0.9155*Table2[[#This Row],[J56]]*Table2[[#This Row],[weight]]</f>
        <v>1.7305009532673163E-3</v>
      </c>
      <c r="R2">
        <f>0.9155*Table2[[#This Row],[J67]]*Table2[[#This Row],[weight]]</f>
        <v>0.10353850540499937</v>
      </c>
      <c r="S2">
        <f>0.9155*Table2[[#This Row],[J67'']]*Table2[[#This Row],[weight]]</f>
        <v>2.1311495435346408E-2</v>
      </c>
      <c r="T2">
        <f>0.9155*Table2[[#This Row],[J77'']]*Table2[[#This Row],[weight]]</f>
        <v>-0.10780832840925678</v>
      </c>
      <c r="Y2">
        <v>7.7371451697936386</v>
      </c>
      <c r="Z2">
        <v>7.6223406092934836</v>
      </c>
      <c r="AA2">
        <v>4.4114338850180577</v>
      </c>
      <c r="AB2">
        <v>3.5152098552688251</v>
      </c>
      <c r="AC2">
        <v>10.009112483138958</v>
      </c>
      <c r="AD2">
        <v>1.6169491914418774</v>
      </c>
      <c r="AE2">
        <v>3.0819887538197386</v>
      </c>
    </row>
    <row r="3" spans="1:31" x14ac:dyDescent="0.25">
      <c r="A3" t="s">
        <v>25</v>
      </c>
      <c r="B3">
        <v>8.1999999999999993</v>
      </c>
      <c r="C3">
        <v>2.1909999999999998</v>
      </c>
      <c r="D3">
        <v>2.234</v>
      </c>
      <c r="E3">
        <v>2.3290000000000002</v>
      </c>
      <c r="F3">
        <v>11.145</v>
      </c>
      <c r="G3">
        <v>0.33100000000000002</v>
      </c>
      <c r="H3">
        <v>-13.835000000000001</v>
      </c>
      <c r="I3">
        <v>8.16</v>
      </c>
      <c r="J3">
        <f>chloroform!J8</f>
        <v>4.1418984438592342E-2</v>
      </c>
      <c r="K3" t="str">
        <f>chloroform!F8</f>
        <v>4H6</v>
      </c>
      <c r="M3">
        <f>0.9155*Table2[[#This Row],[J1,2]]*Table2[[#This Row],[weight]]</f>
        <v>0.31093645807895653</v>
      </c>
      <c r="N3">
        <f>0.9155*Table2[[#This Row],[J2,3]]*Table2[[#This Row],[weight]]</f>
        <v>8.3080704835487046E-2</v>
      </c>
      <c r="O3">
        <f>0.9155*Table2[[#This Row],[J34]]*Table2[[#This Row],[weight]]</f>
        <v>8.47112252863889E-2</v>
      </c>
      <c r="P3">
        <f>0.9155*Table2[[#This Row],[J45]]*Table2[[#This Row],[weight]]</f>
        <v>8.8313537910474374E-2</v>
      </c>
      <c r="Q3">
        <f>0.9155*Table2[[#This Row],[J56]]*Table2[[#This Row],[weight]]</f>
        <v>0.42260814942560621</v>
      </c>
      <c r="R3">
        <f>0.9155*Table2[[#This Row],[J67]]*Table2[[#This Row],[weight]]</f>
        <v>1.2551215563918859E-2</v>
      </c>
      <c r="S3">
        <f>0.9155*Table2[[#This Row],[J67'']]*Table2[[#This Row],[weight]]</f>
        <v>0.30941969486881532</v>
      </c>
      <c r="T3">
        <f>0.9155*Table2[[#This Row],[J77'']]*Table2[[#This Row],[weight]]</f>
        <v>-0.52461047530760541</v>
      </c>
      <c r="Y3">
        <v>6.95</v>
      </c>
      <c r="Z3">
        <v>6.15</v>
      </c>
      <c r="AA3">
        <v>5.73</v>
      </c>
      <c r="AB3">
        <v>4.0999999999999996</v>
      </c>
      <c r="AC3">
        <v>9.66</v>
      </c>
      <c r="AD3">
        <v>2.23</v>
      </c>
      <c r="AE3">
        <v>5.15</v>
      </c>
    </row>
    <row r="4" spans="1:31" x14ac:dyDescent="0.25">
      <c r="A4" t="s">
        <v>26</v>
      </c>
      <c r="B4">
        <v>8.2710000000000008</v>
      </c>
      <c r="C4">
        <v>2.0950000000000002</v>
      </c>
      <c r="D4">
        <v>1.903</v>
      </c>
      <c r="E4">
        <v>1.7310000000000001</v>
      </c>
      <c r="F4">
        <v>11.685</v>
      </c>
      <c r="G4">
        <v>2.0059999999999998</v>
      </c>
      <c r="H4">
        <v>-13.829000000000001</v>
      </c>
      <c r="I4">
        <v>2.0499999999999998</v>
      </c>
      <c r="J4">
        <f>chloroform!J9</f>
        <v>0.12912337862648315</v>
      </c>
      <c r="K4" t="str">
        <f>chloroform!F9</f>
        <v>4H6</v>
      </c>
      <c r="M4">
        <f>0.9155*Table2[[#This Row],[J1,2]]*Table2[[#This Row],[weight]]</f>
        <v>0.97773519985928248</v>
      </c>
      <c r="N4">
        <f>0.9155*Table2[[#This Row],[J2,3]]*Table2[[#This Row],[weight]]</f>
        <v>0.24765508931268246</v>
      </c>
      <c r="O4">
        <f>0.9155*Table2[[#This Row],[J34]]*Table2[[#This Row],[weight]]</f>
        <v>0.22495829831123376</v>
      </c>
      <c r="P4">
        <f>0.9155*Table2[[#This Row],[J45]]*Table2[[#This Row],[weight]]</f>
        <v>0.20462575637243596</v>
      </c>
      <c r="Q4">
        <f>0.9155*Table2[[#This Row],[J56]]*Table2[[#This Row],[weight]]</f>
        <v>1.3813125148537921</v>
      </c>
      <c r="R4">
        <f>0.9155*Table2[[#This Row],[J67]]*Table2[[#This Row],[weight]]</f>
        <v>0.23713418098388589</v>
      </c>
      <c r="S4">
        <f>0.9155*Table2[[#This Row],[J67'']]*Table2[[#This Row],[weight]]</f>
        <v>0.24233552892171789</v>
      </c>
      <c r="T4">
        <f>0.9155*Table2[[#This Row],[J77'']]*Table2[[#This Row],[weight]]</f>
        <v>-1.6347600143699694</v>
      </c>
    </row>
    <row r="5" spans="1:31" x14ac:dyDescent="0.25">
      <c r="A5" t="s">
        <v>103</v>
      </c>
      <c r="B5">
        <v>7.8109999999999999</v>
      </c>
      <c r="C5">
        <v>8.8350000000000009</v>
      </c>
      <c r="D5">
        <v>1.446</v>
      </c>
      <c r="E5">
        <v>11.021000000000001</v>
      </c>
      <c r="F5">
        <v>0.13700000000000001</v>
      </c>
      <c r="G5">
        <v>12.536</v>
      </c>
      <c r="H5">
        <v>-10.863</v>
      </c>
      <c r="I5">
        <v>5.415</v>
      </c>
      <c r="J5">
        <f>chloroform!J10</f>
        <v>0</v>
      </c>
      <c r="K5" t="str">
        <f>chloroform!F10</f>
        <v>6H4</v>
      </c>
      <c r="M5">
        <f>0.9155*Table2[[#This Row],[J1,2]]*Table2[[#This Row],[weight]]</f>
        <v>0</v>
      </c>
      <c r="N5">
        <f>0.9155*Table2[[#This Row],[J2,3]]*Table2[[#This Row],[weight]]</f>
        <v>0</v>
      </c>
      <c r="O5">
        <f>0.9155*Table2[[#This Row],[J34]]*Table2[[#This Row],[weight]]</f>
        <v>0</v>
      </c>
      <c r="P5">
        <f>0.9155*Table2[[#This Row],[J45]]*Table2[[#This Row],[weight]]</f>
        <v>0</v>
      </c>
      <c r="Q5">
        <f>0.9155*Table2[[#This Row],[J56]]*Table2[[#This Row],[weight]]</f>
        <v>0</v>
      </c>
      <c r="R5">
        <f>0.9155*Table2[[#This Row],[J67]]*Table2[[#This Row],[weight]]</f>
        <v>0</v>
      </c>
      <c r="S5">
        <f>0.9155*Table2[[#This Row],[J67'']]*Table2[[#This Row],[weight]]</f>
        <v>0</v>
      </c>
      <c r="T5">
        <f>0.9155*Table2[[#This Row],[J77'']]*Table2[[#This Row],[weight]]</f>
        <v>0</v>
      </c>
    </row>
    <row r="6" spans="1:31" x14ac:dyDescent="0.25">
      <c r="A6" t="s">
        <v>27</v>
      </c>
      <c r="B6">
        <v>7.7110000000000003</v>
      </c>
      <c r="C6">
        <v>8.3320000000000007</v>
      </c>
      <c r="D6">
        <v>1.171</v>
      </c>
      <c r="E6">
        <v>12.009</v>
      </c>
      <c r="F6">
        <v>1.3560000000000001</v>
      </c>
      <c r="G6">
        <v>2.3730000000000002</v>
      </c>
      <c r="H6">
        <v>-12.988</v>
      </c>
      <c r="I6">
        <v>11.94</v>
      </c>
      <c r="J6">
        <f>chloroform!J11</f>
        <v>0</v>
      </c>
      <c r="K6" t="str">
        <f>chloroform!F11</f>
        <v>6H4</v>
      </c>
      <c r="M6">
        <f>0.9155*Table2[[#This Row],[J1,2]]*Table2[[#This Row],[weight]]</f>
        <v>0</v>
      </c>
      <c r="N6">
        <f>0.9155*Table2[[#This Row],[J2,3]]*Table2[[#This Row],[weight]]</f>
        <v>0</v>
      </c>
      <c r="O6">
        <f>0.9155*Table2[[#This Row],[J34]]*Table2[[#This Row],[weight]]</f>
        <v>0</v>
      </c>
      <c r="P6">
        <f>0.9155*Table2[[#This Row],[J45]]*Table2[[#This Row],[weight]]</f>
        <v>0</v>
      </c>
      <c r="Q6">
        <f>0.9155*Table2[[#This Row],[J56]]*Table2[[#This Row],[weight]]</f>
        <v>0</v>
      </c>
      <c r="R6">
        <f>0.9155*Table2[[#This Row],[J67]]*Table2[[#This Row],[weight]]</f>
        <v>0</v>
      </c>
      <c r="S6">
        <f>0.9155*Table2[[#This Row],[J67'']]*Table2[[#This Row],[weight]]</f>
        <v>0</v>
      </c>
      <c r="T6">
        <f>0.9155*Table2[[#This Row],[J77'']]*Table2[[#This Row],[weight]]</f>
        <v>0</v>
      </c>
      <c r="Z6" t="s">
        <v>57</v>
      </c>
      <c r="AA6" t="s">
        <v>58</v>
      </c>
      <c r="AB6" t="s">
        <v>59</v>
      </c>
    </row>
    <row r="7" spans="1:31" x14ac:dyDescent="0.25">
      <c r="A7" t="s">
        <v>67</v>
      </c>
      <c r="B7">
        <v>8.61</v>
      </c>
      <c r="C7">
        <v>2.1640000000000001</v>
      </c>
      <c r="D7">
        <v>3.1480000000000001</v>
      </c>
      <c r="E7">
        <v>0.66200000000000003</v>
      </c>
      <c r="F7">
        <v>11.196999999999999</v>
      </c>
      <c r="G7">
        <v>0.88700000000000001</v>
      </c>
      <c r="H7">
        <v>-14.297000000000001</v>
      </c>
      <c r="I7">
        <v>3.5390000000000001</v>
      </c>
      <c r="J7">
        <f>chloroform!J12</f>
        <v>7.9783512323809073E-4</v>
      </c>
      <c r="K7" t="str">
        <f>chloroform!F12</f>
        <v>4H6</v>
      </c>
      <c r="M7">
        <f>0.9155*Table2[[#This Row],[J1,2]]*Table2[[#This Row],[weight]]</f>
        <v>6.2888994563437038E-3</v>
      </c>
      <c r="N7">
        <f>0.9155*Table2[[#This Row],[J2,3]]*Table2[[#This Row],[weight]]</f>
        <v>1.5806246717221576E-3</v>
      </c>
      <c r="O7">
        <f>0.9155*Table2[[#This Row],[J34]]*Table2[[#This Row],[weight]]</f>
        <v>2.2993560381614382E-3</v>
      </c>
      <c r="P7">
        <f>0.9155*Table2[[#This Row],[J45]]*Table2[[#This Row],[weight]]</f>
        <v>4.8353675262480055E-4</v>
      </c>
      <c r="Q7">
        <f>0.9155*Table2[[#This Row],[J56]]*Table2[[#This Row],[weight]]</f>
        <v>8.1784909654681135E-3</v>
      </c>
      <c r="R7">
        <f>0.9155*Table2[[#This Row],[J67]]*Table2[[#This Row],[weight]]</f>
        <v>6.4788081507280665E-4</v>
      </c>
      <c r="S7">
        <f>0.9155*Table2[[#This Row],[J67'']]*Table2[[#This Row],[weight]]</f>
        <v>2.5849494977933066E-3</v>
      </c>
      <c r="T7">
        <f>0.9155*Table2[[#This Row],[J77'']]*Table2[[#This Row],[weight]]</f>
        <v>-1.0442786936973978E-2</v>
      </c>
      <c r="Z7" s="6">
        <v>6.95</v>
      </c>
      <c r="AA7" s="6">
        <f>AB7/0.9155</f>
        <v>8.4512781756347781</v>
      </c>
      <c r="AB7" s="6">
        <v>7.7371451697936386</v>
      </c>
    </row>
    <row r="8" spans="1:31" x14ac:dyDescent="0.25">
      <c r="A8" t="s">
        <v>28</v>
      </c>
      <c r="B8">
        <v>7.8579999999999997</v>
      </c>
      <c r="C8">
        <v>8.4529999999999994</v>
      </c>
      <c r="D8">
        <v>2.1970000000000001</v>
      </c>
      <c r="E8">
        <v>10.705</v>
      </c>
      <c r="F8">
        <v>0.66800000000000004</v>
      </c>
      <c r="G8">
        <v>4.4610000000000003</v>
      </c>
      <c r="H8">
        <v>-12.907999999999999</v>
      </c>
      <c r="I8">
        <v>13.257</v>
      </c>
      <c r="J8">
        <f>chloroform!J13</f>
        <v>2.2257703201222123E-2</v>
      </c>
      <c r="K8" t="str">
        <f>chloroform!F13</f>
        <v>6H4</v>
      </c>
      <c r="M8">
        <f>0.9155*Table2[[#This Row],[J1,2]]*Table2[[#This Row],[weight]]</f>
        <v>0.16012189457188875</v>
      </c>
      <c r="N8">
        <f>0.9155*Table2[[#This Row],[J2,3]]*Table2[[#This Row],[weight]]</f>
        <v>0.17224616630391645</v>
      </c>
      <c r="O8">
        <f>0.9155*Table2[[#This Row],[J34]]*Table2[[#This Row],[weight]]</f>
        <v>4.4768109235739317E-2</v>
      </c>
      <c r="P8">
        <f>0.9155*Table2[[#This Row],[J45]]*Table2[[#This Row],[weight]]</f>
        <v>0.21813500654009532</v>
      </c>
      <c r="Q8">
        <f>0.9155*Table2[[#This Row],[J56]]*Table2[[#This Row],[weight]]</f>
        <v>1.3611787423520195E-2</v>
      </c>
      <c r="R8">
        <f>0.9155*Table2[[#This Row],[J67]]*Table2[[#This Row],[weight]]</f>
        <v>9.0901472599286812E-2</v>
      </c>
      <c r="S8">
        <f>0.9155*Table2[[#This Row],[J67'']]*Table2[[#This Row],[weight]]</f>
        <v>0.27013692496048985</v>
      </c>
      <c r="T8">
        <f>0.9155*Table2[[#This Row],[J77'']]*Table2[[#This Row],[weight]]</f>
        <v>-0.26302537733951892</v>
      </c>
      <c r="Z8" s="6">
        <v>6.15</v>
      </c>
      <c r="AA8" s="6">
        <f t="shared" ref="AA8:AA13" si="0">AB8/0.9155</f>
        <v>8.3258772357110686</v>
      </c>
      <c r="AB8" s="6">
        <v>7.6223406092934836</v>
      </c>
    </row>
    <row r="9" spans="1:31" x14ac:dyDescent="0.25">
      <c r="A9" t="s">
        <v>29</v>
      </c>
      <c r="B9">
        <v>8.3949999999999996</v>
      </c>
      <c r="C9">
        <v>2.0760000000000001</v>
      </c>
      <c r="D9">
        <v>2.3719999999999999</v>
      </c>
      <c r="E9">
        <v>0.72299999999999998</v>
      </c>
      <c r="F9">
        <v>12.163</v>
      </c>
      <c r="G9">
        <v>0.91500000000000004</v>
      </c>
      <c r="H9">
        <v>-13.738</v>
      </c>
      <c r="I9">
        <v>3.391</v>
      </c>
      <c r="J9">
        <f>chloroform!J14</f>
        <v>6.7465758719203059E-2</v>
      </c>
      <c r="K9" t="str">
        <f>chloroform!F14</f>
        <v>4H6</v>
      </c>
      <c r="M9">
        <f>0.9155*Table2[[#This Row],[J1,2]]*Table2[[#This Row],[weight]]</f>
        <v>0.51851635319187817</v>
      </c>
      <c r="N9">
        <f>0.9155*Table2[[#This Row],[J2,3]]*Table2[[#This Row],[weight]]</f>
        <v>0.12822393677502553</v>
      </c>
      <c r="O9">
        <f>0.9155*Table2[[#This Row],[J34]]*Table2[[#This Row],[weight]]</f>
        <v>0.1465063477988249</v>
      </c>
      <c r="P9">
        <f>0.9155*Table2[[#This Row],[J45]]*Table2[[#This Row],[weight]]</f>
        <v>4.4656024223672174E-2</v>
      </c>
      <c r="Q9">
        <f>0.9155*Table2[[#This Row],[J56]]*Table2[[#This Row],[weight]]</f>
        <v>0.75124650433267592</v>
      </c>
      <c r="R9">
        <f>0.9155*Table2[[#This Row],[J67]]*Table2[[#This Row],[weight]]</f>
        <v>5.6514885428298814E-2</v>
      </c>
      <c r="S9">
        <f>0.9155*Table2[[#This Row],[J67'']]*Table2[[#This Row],[weight]]</f>
        <v>0.20944478304629649</v>
      </c>
      <c r="T9">
        <f>0.9155*Table2[[#This Row],[J77'']]*Table2[[#This Row],[weight]]</f>
        <v>-0.84852622515187881</v>
      </c>
      <c r="Z9" s="6">
        <v>5.73</v>
      </c>
      <c r="AA9" s="6">
        <f t="shared" si="0"/>
        <v>4.8186061005112588</v>
      </c>
      <c r="AB9" s="6">
        <v>4.4114338850180577</v>
      </c>
    </row>
    <row r="10" spans="1:31" x14ac:dyDescent="0.25">
      <c r="A10" t="s">
        <v>68</v>
      </c>
      <c r="B10">
        <v>8.4320000000000004</v>
      </c>
      <c r="C10">
        <v>2.2480000000000002</v>
      </c>
      <c r="D10">
        <v>2.879</v>
      </c>
      <c r="E10">
        <v>0.60099999999999998</v>
      </c>
      <c r="F10">
        <v>12.643000000000001</v>
      </c>
      <c r="G10">
        <v>0.252</v>
      </c>
      <c r="H10">
        <v>-12.977</v>
      </c>
      <c r="I10">
        <v>7.7229999999999999</v>
      </c>
      <c r="J10">
        <f>chloroform!J15</f>
        <v>4.5284945585008989E-4</v>
      </c>
      <c r="K10" t="str">
        <f>chloroform!F15</f>
        <v>4H6</v>
      </c>
      <c r="M10">
        <f>0.9155*Table2[[#This Row],[J1,2]]*Table2[[#This Row],[weight]]</f>
        <v>3.4957695630369458E-3</v>
      </c>
      <c r="N10">
        <f>0.9155*Table2[[#This Row],[J2,3]]*Table2[[#This Row],[weight]]</f>
        <v>9.3198410551554255E-4</v>
      </c>
      <c r="O10">
        <f>0.9155*Table2[[#This Row],[J34]]*Table2[[#This Row],[weight]]</f>
        <v>1.1935864055957501E-3</v>
      </c>
      <c r="P10">
        <f>0.9155*Table2[[#This Row],[J45]]*Table2[[#This Row],[weight]]</f>
        <v>2.4916478977528512E-4</v>
      </c>
      <c r="Q10">
        <f>0.9155*Table2[[#This Row],[J56]]*Table2[[#This Row],[weight]]</f>
        <v>5.2415814261712653E-3</v>
      </c>
      <c r="R10">
        <f>0.9155*Table2[[#This Row],[J67]]*Table2[[#This Row],[weight]]</f>
        <v>1.0447508656135084E-4</v>
      </c>
      <c r="S10">
        <f>0.9155*Table2[[#This Row],[J67'']]*Table2[[#This Row],[weight]]</f>
        <v>3.2018297361639386E-3</v>
      </c>
      <c r="T10">
        <f>0.9155*Table2[[#This Row],[J77'']]*Table2[[#This Row],[weight]]</f>
        <v>-5.3800523742327374E-3</v>
      </c>
      <c r="Z10" s="6">
        <v>4.0999999999999996</v>
      </c>
      <c r="AA10" s="6">
        <f t="shared" si="0"/>
        <v>3.8396612291303387</v>
      </c>
      <c r="AB10" s="6">
        <v>3.5152098552688251</v>
      </c>
    </row>
    <row r="11" spans="1:31" x14ac:dyDescent="0.25">
      <c r="A11" t="s">
        <v>30</v>
      </c>
      <c r="B11">
        <v>8.4260000000000002</v>
      </c>
      <c r="C11">
        <v>2.1669999999999998</v>
      </c>
      <c r="D11">
        <v>3.0470000000000002</v>
      </c>
      <c r="E11">
        <v>0.56399999999999995</v>
      </c>
      <c r="F11">
        <v>11.539</v>
      </c>
      <c r="G11">
        <v>10.08</v>
      </c>
      <c r="H11">
        <v>-11.672000000000001</v>
      </c>
      <c r="I11">
        <v>1.752</v>
      </c>
      <c r="J11">
        <f>chloroform!J16</f>
        <v>1.7880601637319888E-4</v>
      </c>
      <c r="K11" t="str">
        <f>chloroform!F16</f>
        <v>4H6</v>
      </c>
      <c r="M11">
        <f>0.9155*Table2[[#This Row],[J1,2]]*Table2[[#This Row],[weight]]</f>
        <v>1.3793101467209053E-3</v>
      </c>
      <c r="N11">
        <f>0.9155*Table2[[#This Row],[J2,3]]*Table2[[#This Row],[weight]]</f>
        <v>3.5473119961360093E-4</v>
      </c>
      <c r="O11">
        <f>0.9155*Table2[[#This Row],[J34]]*Table2[[#This Row],[weight]]</f>
        <v>4.9878447864450494E-4</v>
      </c>
      <c r="P11">
        <f>0.9155*Table2[[#This Row],[J45]]*Table2[[#This Row],[weight]]</f>
        <v>9.2325056106170255E-5</v>
      </c>
      <c r="Q11">
        <f>0.9155*Table2[[#This Row],[J56]]*Table2[[#This Row],[weight]]</f>
        <v>1.888898621292728E-3</v>
      </c>
      <c r="R11">
        <f>0.9155*Table2[[#This Row],[J67]]*Table2[[#This Row],[weight]]</f>
        <v>1.6500648325358087E-3</v>
      </c>
      <c r="S11">
        <f>0.9155*Table2[[#This Row],[J67'']]*Table2[[#This Row],[weight]]</f>
        <v>2.8679698279789057E-4</v>
      </c>
      <c r="T11">
        <f>0.9155*Table2[[#This Row],[J77'']]*Table2[[#This Row],[weight]]</f>
        <v>-1.9106703100553535E-3</v>
      </c>
      <c r="Z11" s="6">
        <v>9.66</v>
      </c>
      <c r="AA11" s="6">
        <f t="shared" si="0"/>
        <v>10.932946458917487</v>
      </c>
      <c r="AB11" s="6">
        <v>10.009112483138958</v>
      </c>
    </row>
    <row r="12" spans="1:31" x14ac:dyDescent="0.25">
      <c r="A12" t="s">
        <v>69</v>
      </c>
      <c r="B12">
        <v>8.109</v>
      </c>
      <c r="C12">
        <v>2.2879999999999998</v>
      </c>
      <c r="D12">
        <v>2.1059999999999999</v>
      </c>
      <c r="E12">
        <v>3.1859999999999999</v>
      </c>
      <c r="F12">
        <v>9.2240000000000002</v>
      </c>
      <c r="G12">
        <v>12.378</v>
      </c>
      <c r="H12">
        <v>-12.343999999999999</v>
      </c>
      <c r="I12">
        <v>5.3860000000000001</v>
      </c>
      <c r="J12">
        <f>chloroform!J17</f>
        <v>1.0302176735342018E-2</v>
      </c>
      <c r="K12" t="str">
        <f>chloroform!F17</f>
        <v>4H6</v>
      </c>
      <c r="M12">
        <f>0.9155*Table2[[#This Row],[J1,2]]*Table2[[#This Row],[weight]]</f>
        <v>7.6481191474976354E-2</v>
      </c>
      <c r="N12">
        <f>0.9155*Table2[[#This Row],[J2,3]]*Table2[[#This Row],[weight]]</f>
        <v>2.1579598729158451E-2</v>
      </c>
      <c r="O12">
        <f>0.9155*Table2[[#This Row],[J34]]*Table2[[#This Row],[weight]]</f>
        <v>1.986303973933903E-2</v>
      </c>
      <c r="P12">
        <f>0.9155*Table2[[#This Row],[J45]]*Table2[[#This Row],[weight]]</f>
        <v>3.0049213964641094E-2</v>
      </c>
      <c r="Q12">
        <f>0.9155*Table2[[#This Row],[J56]]*Table2[[#This Row],[weight]]</f>
        <v>8.699747319832063E-2</v>
      </c>
      <c r="R12">
        <f>0.9155*Table2[[#This Row],[J67]]*Table2[[#This Row],[weight]]</f>
        <v>0.11674487459332313</v>
      </c>
      <c r="S12">
        <f>0.9155*Table2[[#This Row],[J67'']]*Table2[[#This Row],[weight]]</f>
        <v>5.0798828127293451E-2</v>
      </c>
      <c r="T12">
        <f>0.9155*Table2[[#This Row],[J77'']]*Table2[[#This Row],[weight]]</f>
        <v>-0.11642419873808213</v>
      </c>
      <c r="Z12" s="6">
        <v>2.23</v>
      </c>
      <c r="AA12" s="6">
        <f t="shared" si="0"/>
        <v>1.7661924537868678</v>
      </c>
      <c r="AB12" s="6">
        <v>1.6169491914418774</v>
      </c>
    </row>
    <row r="13" spans="1:31" x14ac:dyDescent="0.25">
      <c r="A13" t="s">
        <v>31</v>
      </c>
      <c r="B13">
        <v>8.2129999999999992</v>
      </c>
      <c r="C13">
        <v>8.7919999999999998</v>
      </c>
      <c r="D13">
        <v>2.431</v>
      </c>
      <c r="E13">
        <v>7.827</v>
      </c>
      <c r="F13">
        <v>0.32200000000000001</v>
      </c>
      <c r="G13">
        <v>2.6230000000000002</v>
      </c>
      <c r="H13">
        <v>-14.734</v>
      </c>
      <c r="I13">
        <v>13.638999999999999</v>
      </c>
      <c r="J13">
        <f>chloroform!J18</f>
        <v>3.8333394367693792E-3</v>
      </c>
      <c r="K13" t="str">
        <f>chloroform!F18</f>
        <v>6H4</v>
      </c>
      <c r="M13">
        <f>0.9155*Table2[[#This Row],[J1,2]]*Table2[[#This Row],[weight]]</f>
        <v>2.8822884975078112E-2</v>
      </c>
      <c r="N13">
        <f>0.9155*Table2[[#This Row],[J2,3]]*Table2[[#This Row],[weight]]</f>
        <v>3.0854840460353927E-2</v>
      </c>
      <c r="O13">
        <f>0.9155*Table2[[#This Row],[J34]]*Table2[[#This Row],[weight]]</f>
        <v>8.5314055003549126E-3</v>
      </c>
      <c r="P13">
        <f>0.9155*Table2[[#This Row],[J45]]*Table2[[#This Row],[weight]]</f>
        <v>2.7468247984894244E-2</v>
      </c>
      <c r="Q13">
        <f>0.9155*Table2[[#This Row],[J56]]*Table2[[#This Row],[weight]]</f>
        <v>1.1300339659046821E-3</v>
      </c>
      <c r="R13">
        <f>0.9155*Table2[[#This Row],[J67]]*Table2[[#This Row],[weight]]</f>
        <v>9.2052145731924898E-3</v>
      </c>
      <c r="S13">
        <f>0.9155*Table2[[#This Row],[J67'']]*Table2[[#This Row],[weight]]</f>
        <v>4.7865010127248316E-2</v>
      </c>
      <c r="T13">
        <f>0.9155*Table2[[#This Row],[J77'']]*Table2[[#This Row],[weight]]</f>
        <v>-5.1707827495775113E-2</v>
      </c>
      <c r="Z13" s="6">
        <v>5.15</v>
      </c>
      <c r="AA13" s="6">
        <f t="shared" si="0"/>
        <v>3.3664541276021174</v>
      </c>
      <c r="AB13" s="6">
        <v>3.0819887538197386</v>
      </c>
    </row>
    <row r="14" spans="1:31" x14ac:dyDescent="0.25">
      <c r="A14" t="s">
        <v>70</v>
      </c>
      <c r="B14">
        <v>8.19</v>
      </c>
      <c r="C14">
        <v>2.17</v>
      </c>
      <c r="D14">
        <v>2.6949999999999998</v>
      </c>
      <c r="E14">
        <v>0.52</v>
      </c>
      <c r="F14">
        <v>12.477</v>
      </c>
      <c r="G14">
        <v>1.218</v>
      </c>
      <c r="H14">
        <v>-14</v>
      </c>
      <c r="I14">
        <v>10.734999999999999</v>
      </c>
      <c r="J14">
        <f>chloroform!J19</f>
        <v>8.2602975100257733E-4</v>
      </c>
      <c r="K14" t="str">
        <f>chloroform!F19</f>
        <v>4H6</v>
      </c>
      <c r="M14">
        <f>0.9155*Table2[[#This Row],[J1,2]]*Table2[[#This Row],[weight]]</f>
        <v>6.1935256413810195E-3</v>
      </c>
      <c r="N14">
        <f>0.9155*Table2[[#This Row],[J2,3]]*Table2[[#This Row],[weight]]</f>
        <v>1.6410196143830053E-3</v>
      </c>
      <c r="O14">
        <f>0.9155*Table2[[#This Row],[J34]]*Table2[[#This Row],[weight]]</f>
        <v>2.0380404888305065E-3</v>
      </c>
      <c r="P14">
        <f>0.9155*Table2[[#This Row],[J45]]*Table2[[#This Row],[weight]]</f>
        <v>3.9323972326228696E-4</v>
      </c>
      <c r="Q14">
        <f>0.9155*Table2[[#This Row],[J56]]*Table2[[#This Row],[weight]]</f>
        <v>9.4354846675837583E-3</v>
      </c>
      <c r="R14">
        <f>0.9155*Table2[[#This Row],[J67]]*Table2[[#This Row],[weight]]</f>
        <v>9.2108842871820289E-4</v>
      </c>
      <c r="S14">
        <f>0.9155*Table2[[#This Row],[J67'']]*Table2[[#This Row],[weight]]</f>
        <v>8.1181315946550967E-3</v>
      </c>
      <c r="T14">
        <f>0.9155*Table2[[#This Row],[J77'']]*Table2[[#This Row],[weight]]</f>
        <v>-1.0587223318600033E-2</v>
      </c>
      <c r="Z14" t="s">
        <v>56</v>
      </c>
      <c r="AA14" s="6">
        <f>SQRT(SUMXMY2($Z$7:$Z$13,AA$7:AA$13)/7)</f>
        <v>1.357689162159023</v>
      </c>
      <c r="AB14" s="6">
        <f>SQRT(SUMXMY2($Z7:$Z13,AB7:AB13)/7)</f>
        <v>1.1736610507992684</v>
      </c>
    </row>
    <row r="15" spans="1:31" x14ac:dyDescent="0.25">
      <c r="A15" t="s">
        <v>71</v>
      </c>
      <c r="B15">
        <v>8.1219999999999999</v>
      </c>
      <c r="C15">
        <v>7.7930000000000001</v>
      </c>
      <c r="D15">
        <v>2.4849999999999999</v>
      </c>
      <c r="E15">
        <v>11.776</v>
      </c>
      <c r="F15">
        <v>2.2210000000000001</v>
      </c>
      <c r="G15">
        <v>4.4770000000000003</v>
      </c>
      <c r="H15">
        <v>-13.035</v>
      </c>
      <c r="I15">
        <v>1</v>
      </c>
      <c r="J15">
        <f>chloroform!J20</f>
        <v>7.5332099155016408E-5</v>
      </c>
      <c r="K15" t="str">
        <f>chloroform!F20</f>
        <v>6H4</v>
      </c>
      <c r="M15">
        <f>0.9155*Table2[[#This Row],[J1,2]]*Table2[[#This Row],[weight]]</f>
        <v>5.6014621169806302E-4</v>
      </c>
      <c r="N15">
        <f>0.9155*Table2[[#This Row],[J2,3]]*Table2[[#This Row],[weight]]</f>
        <v>5.3745622109862179E-4</v>
      </c>
      <c r="O15">
        <f>0.9155*Table2[[#This Row],[J34]]*Table2[[#This Row],[weight]]</f>
        <v>1.7138184388939751E-4</v>
      </c>
      <c r="P15">
        <f>0.9155*Table2[[#This Row],[J45]]*Table2[[#This Row],[weight]]</f>
        <v>8.1214993707909267E-4</v>
      </c>
      <c r="Q15">
        <f>0.9155*Table2[[#This Row],[J56]]*Table2[[#This Row],[weight]]</f>
        <v>1.5317467818042331E-4</v>
      </c>
      <c r="R15">
        <f>0.9155*Table2[[#This Row],[J67]]*Table2[[#This Row],[weight]]</f>
        <v>3.087631851480213E-4</v>
      </c>
      <c r="S15">
        <f>0.9155*Table2[[#This Row],[J67'']]*Table2[[#This Row],[weight]]</f>
        <v>6.8966536776417521E-5</v>
      </c>
      <c r="T15">
        <f>0.9155*Table2[[#This Row],[J77'']]*Table2[[#This Row],[weight]]</f>
        <v>-8.9897880688060241E-4</v>
      </c>
      <c r="AA15" s="6">
        <f>SQRT(SUMXMY2($Z$7:$Z$11,AA$7:AA$11)/5)</f>
        <v>1.3789188307102573</v>
      </c>
      <c r="AB15" s="6">
        <f>SQRT(SUMXMY2($Z$7:$Z$11,AB$7:AB$11)/5)</f>
        <v>0.99898548807686827</v>
      </c>
    </row>
    <row r="16" spans="1:31" x14ac:dyDescent="0.25">
      <c r="A16" t="s">
        <v>72</v>
      </c>
      <c r="B16">
        <v>8.2620000000000005</v>
      </c>
      <c r="C16">
        <v>2.0939999999999999</v>
      </c>
      <c r="D16">
        <v>2.2189999999999999</v>
      </c>
      <c r="E16">
        <v>0.77900000000000003</v>
      </c>
      <c r="F16">
        <v>12.337999999999999</v>
      </c>
      <c r="G16">
        <v>7.7750000000000004</v>
      </c>
      <c r="H16">
        <v>-12.617000000000001</v>
      </c>
      <c r="I16">
        <v>0.47599999999999998</v>
      </c>
      <c r="J16">
        <f>chloroform!J21</f>
        <v>2.3140512086136269E-3</v>
      </c>
      <c r="K16" t="str">
        <f>chloroform!F21</f>
        <v>4H6</v>
      </c>
      <c r="M16">
        <f>0.9155*Table2[[#This Row],[J1,2]]*Table2[[#This Row],[weight]]</f>
        <v>1.7503161688835478E-2</v>
      </c>
      <c r="N16">
        <f>0.9155*Table2[[#This Row],[J2,3]]*Table2[[#This Row],[weight]]</f>
        <v>4.4361680678312136E-3</v>
      </c>
      <c r="O16">
        <f>0.9155*Table2[[#This Row],[J34]]*Table2[[#This Row],[weight]]</f>
        <v>4.7009823030169356E-3</v>
      </c>
      <c r="P16">
        <f>0.9155*Table2[[#This Row],[J45]]*Table2[[#This Row],[weight]]</f>
        <v>1.6503223136774192E-3</v>
      </c>
      <c r="Q16">
        <f>0.9155*Table2[[#This Row],[J56]]*Table2[[#This Row],[weight]]</f>
        <v>2.6138224269771495E-2</v>
      </c>
      <c r="R16">
        <f>0.9155*Table2[[#This Row],[J67]]*Table2[[#This Row],[weight]]</f>
        <v>1.6471445428551904E-2</v>
      </c>
      <c r="S16">
        <f>0.9155*Table2[[#This Row],[J67'']]*Table2[[#This Row],[weight]]</f>
        <v>1.0084126075872292E-3</v>
      </c>
      <c r="T16">
        <f>0.9155*Table2[[#This Row],[J77'']]*Table2[[#This Row],[weight]]</f>
        <v>-2.6729289642706031E-2</v>
      </c>
    </row>
    <row r="17" spans="1:20" x14ac:dyDescent="0.25">
      <c r="A17" t="s">
        <v>32</v>
      </c>
      <c r="B17">
        <v>8.3149999999999995</v>
      </c>
      <c r="C17">
        <v>2.1819999999999999</v>
      </c>
      <c r="D17">
        <v>3.198</v>
      </c>
      <c r="E17">
        <v>0.43099999999999999</v>
      </c>
      <c r="F17">
        <v>12.646000000000001</v>
      </c>
      <c r="G17">
        <v>0.254</v>
      </c>
      <c r="H17">
        <v>-12.965</v>
      </c>
      <c r="I17">
        <v>7.6749999999999998</v>
      </c>
      <c r="J17">
        <f>chloroform!J22</f>
        <v>1.9068434469591663E-4</v>
      </c>
      <c r="K17" t="str">
        <f>chloroform!F22</f>
        <v>4H6</v>
      </c>
      <c r="M17">
        <f>0.9155*Table2[[#This Row],[J1,2]]*Table2[[#This Row],[weight]]</f>
        <v>1.4515621685871633E-3</v>
      </c>
      <c r="N17">
        <f>0.9155*Table2[[#This Row],[J2,3]]*Table2[[#This Row],[weight]]</f>
        <v>3.8091505133580167E-4</v>
      </c>
      <c r="O17">
        <f>0.9155*Table2[[#This Row],[J34]]*Table2[[#This Row],[weight]]</f>
        <v>5.5827971318601921E-4</v>
      </c>
      <c r="P17">
        <f>0.9155*Table2[[#This Row],[J45]]*Table2[[#This Row],[weight]]</f>
        <v>7.5240324072287131E-5</v>
      </c>
      <c r="Q17">
        <f>0.9155*Table2[[#This Row],[J56]]*Table2[[#This Row],[weight]]</f>
        <v>2.2076314111789861E-3</v>
      </c>
      <c r="R17">
        <f>0.9155*Table2[[#This Row],[J67]]*Table2[[#This Row],[weight]]</f>
        <v>4.4341165462554365E-5</v>
      </c>
      <c r="S17">
        <f>0.9155*Table2[[#This Row],[J67'']]*Table2[[#This Row],[weight]]</f>
        <v>1.3398363973429321E-3</v>
      </c>
      <c r="T17">
        <f>0.9155*Table2[[#This Row],[J77'']]*Table2[[#This Row],[weight]]</f>
        <v>-2.2633197252835326E-3</v>
      </c>
    </row>
    <row r="18" spans="1:20" x14ac:dyDescent="0.25">
      <c r="A18" t="s">
        <v>104</v>
      </c>
      <c r="B18">
        <v>8.0470000000000006</v>
      </c>
      <c r="C18">
        <v>9.18</v>
      </c>
      <c r="D18">
        <v>1.784</v>
      </c>
      <c r="E18">
        <v>8.9339999999999993</v>
      </c>
      <c r="F18">
        <v>0.42</v>
      </c>
      <c r="G18">
        <v>2.069</v>
      </c>
      <c r="H18">
        <v>-15.173999999999999</v>
      </c>
      <c r="I18">
        <v>12.846</v>
      </c>
      <c r="J18">
        <f>chloroform!J23</f>
        <v>0</v>
      </c>
      <c r="K18" t="str">
        <f>chloroform!F23</f>
        <v>6H4</v>
      </c>
      <c r="M18">
        <f>0.9155*Table2[[#This Row],[J1,2]]*Table2[[#This Row],[weight]]</f>
        <v>0</v>
      </c>
      <c r="N18">
        <f>0.9155*Table2[[#This Row],[J2,3]]*Table2[[#This Row],[weight]]</f>
        <v>0</v>
      </c>
      <c r="O18">
        <f>0.9155*Table2[[#This Row],[J34]]*Table2[[#This Row],[weight]]</f>
        <v>0</v>
      </c>
      <c r="P18">
        <f>0.9155*Table2[[#This Row],[J45]]*Table2[[#This Row],[weight]]</f>
        <v>0</v>
      </c>
      <c r="Q18">
        <f>0.9155*Table2[[#This Row],[J56]]*Table2[[#This Row],[weight]]</f>
        <v>0</v>
      </c>
      <c r="R18">
        <f>0.9155*Table2[[#This Row],[J67]]*Table2[[#This Row],[weight]]</f>
        <v>0</v>
      </c>
      <c r="S18">
        <f>0.9155*Table2[[#This Row],[J67'']]*Table2[[#This Row],[weight]]</f>
        <v>0</v>
      </c>
      <c r="T18">
        <f>0.9155*Table2[[#This Row],[J77'']]*Table2[[#This Row],[weight]]</f>
        <v>0</v>
      </c>
    </row>
    <row r="19" spans="1:20" x14ac:dyDescent="0.25">
      <c r="A19" t="s">
        <v>105</v>
      </c>
      <c r="B19">
        <v>8.3460000000000001</v>
      </c>
      <c r="C19">
        <v>3.1059999999999999</v>
      </c>
      <c r="D19">
        <v>2.8359999999999999</v>
      </c>
      <c r="E19">
        <v>5.4020000000000001</v>
      </c>
      <c r="F19">
        <v>2.5169999999999999</v>
      </c>
      <c r="G19">
        <v>13.286</v>
      </c>
      <c r="H19">
        <v>-11.343</v>
      </c>
      <c r="I19">
        <v>5.26</v>
      </c>
      <c r="J19">
        <f>chloroform!J24</f>
        <v>2.8734747504188434E-3</v>
      </c>
      <c r="K19" t="str">
        <f>chloroform!F24</f>
        <v>12C5</v>
      </c>
      <c r="M19">
        <f>0.9155*Table2[[#This Row],[J1,2]]*Table2[[#This Row],[weight]]</f>
        <v>2.1955539554434533E-2</v>
      </c>
      <c r="N19">
        <f>0.9155*Table2[[#This Row],[J2,3]]*Table2[[#This Row],[weight]]</f>
        <v>8.1708490122302489E-3</v>
      </c>
      <c r="O19">
        <f>0.9155*Table2[[#This Row],[J34]]*Table2[[#This Row],[weight]]</f>
        <v>7.4605691560479673E-3</v>
      </c>
      <c r="P19">
        <f>0.9155*Table2[[#This Row],[J45]]*Table2[[#This Row],[weight]]</f>
        <v>1.4210858455913652E-2</v>
      </c>
      <c r="Q19">
        <f>0.9155*Table2[[#This Row],[J56]]*Table2[[#This Row],[weight]]</f>
        <v>6.6213866592992705E-3</v>
      </c>
      <c r="R19">
        <f>0.9155*Table2[[#This Row],[J67]]*Table2[[#This Row],[weight]]</f>
        <v>3.4951030256436283E-2</v>
      </c>
      <c r="S19">
        <f>0.9155*Table2[[#This Row],[J67'']]*Table2[[#This Row],[weight]]</f>
        <v>1.3837303864884453E-2</v>
      </c>
      <c r="T19">
        <f>0.9155*Table2[[#This Row],[J77'']]*Table2[[#This Row],[weight]]</f>
        <v>-2.983964595805786E-2</v>
      </c>
    </row>
    <row r="20" spans="1:20" x14ac:dyDescent="0.25">
      <c r="A20" t="s">
        <v>73</v>
      </c>
      <c r="B20">
        <v>8.41</v>
      </c>
      <c r="C20">
        <v>2.0830000000000002</v>
      </c>
      <c r="D20">
        <v>2.3969999999999998</v>
      </c>
      <c r="E20">
        <v>0.71899999999999997</v>
      </c>
      <c r="F20">
        <v>12.201000000000001</v>
      </c>
      <c r="G20">
        <v>0.91900000000000004</v>
      </c>
      <c r="H20">
        <v>-13.66</v>
      </c>
      <c r="I20">
        <v>3.415</v>
      </c>
      <c r="J20">
        <f>chloroform!J25</f>
        <v>6.5175913286183385E-2</v>
      </c>
      <c r="K20" t="str">
        <f>chloroform!F25</f>
        <v>4H6</v>
      </c>
      <c r="M20">
        <f>0.9155*Table2[[#This Row],[J1,2]]*Table2[[#This Row],[weight]]</f>
        <v>0.50181249383954241</v>
      </c>
      <c r="N20">
        <f>0.9155*Table2[[#This Row],[J2,3]]*Table2[[#This Row],[weight]]</f>
        <v>0.12428958676192237</v>
      </c>
      <c r="O20">
        <f>0.9155*Table2[[#This Row],[J34]]*Table2[[#This Row],[weight]]</f>
        <v>0.14302551102656161</v>
      </c>
      <c r="P20">
        <f>0.9155*Table2[[#This Row],[J45]]*Table2[[#This Row],[weight]]</f>
        <v>4.2901686453107137E-2</v>
      </c>
      <c r="Q20">
        <f>0.9155*Table2[[#This Row],[J56]]*Table2[[#This Row],[weight]]</f>
        <v>0.72801596163332438</v>
      </c>
      <c r="R20">
        <f>0.9155*Table2[[#This Row],[J67]]*Table2[[#This Row],[weight]]</f>
        <v>5.4835396175807322E-2</v>
      </c>
      <c r="S20">
        <f>0.9155*Table2[[#This Row],[J67'']]*Table2[[#This Row],[weight]]</f>
        <v>0.20376809351510553</v>
      </c>
      <c r="T20">
        <f>0.9155*Table2[[#This Row],[J77'']]*Table2[[#This Row],[weight]]</f>
        <v>-0.8150723740604221</v>
      </c>
    </row>
    <row r="21" spans="1:20" x14ac:dyDescent="0.25">
      <c r="A21" t="s">
        <v>74</v>
      </c>
      <c r="B21">
        <v>8.1310000000000002</v>
      </c>
      <c r="C21">
        <v>8.8940000000000001</v>
      </c>
      <c r="D21">
        <v>2.1059999999999999</v>
      </c>
      <c r="E21">
        <v>10.941000000000001</v>
      </c>
      <c r="F21">
        <v>0.71499999999999997</v>
      </c>
      <c r="G21">
        <v>11.638999999999999</v>
      </c>
      <c r="H21">
        <v>-11.02</v>
      </c>
      <c r="I21">
        <v>2.81</v>
      </c>
      <c r="J21">
        <f>chloroform!J26</f>
        <v>0</v>
      </c>
      <c r="K21" t="str">
        <f>chloroform!F26</f>
        <v>6H4</v>
      </c>
      <c r="M21">
        <f>0.9155*Table2[[#This Row],[J1,2]]*Table2[[#This Row],[weight]]</f>
        <v>0</v>
      </c>
      <c r="N21">
        <f>0.9155*Table2[[#This Row],[J2,3]]*Table2[[#This Row],[weight]]</f>
        <v>0</v>
      </c>
      <c r="O21">
        <f>0.9155*Table2[[#This Row],[J34]]*Table2[[#This Row],[weight]]</f>
        <v>0</v>
      </c>
      <c r="P21">
        <f>0.9155*Table2[[#This Row],[J45]]*Table2[[#This Row],[weight]]</f>
        <v>0</v>
      </c>
      <c r="Q21">
        <f>0.9155*Table2[[#This Row],[J56]]*Table2[[#This Row],[weight]]</f>
        <v>0</v>
      </c>
      <c r="R21">
        <f>0.9155*Table2[[#This Row],[J67]]*Table2[[#This Row],[weight]]</f>
        <v>0</v>
      </c>
      <c r="S21">
        <f>0.9155*Table2[[#This Row],[J67'']]*Table2[[#This Row],[weight]]</f>
        <v>0</v>
      </c>
      <c r="T21">
        <f>0.9155*Table2[[#This Row],[J77'']]*Table2[[#This Row],[weight]]</f>
        <v>0</v>
      </c>
    </row>
    <row r="22" spans="1:20" x14ac:dyDescent="0.25">
      <c r="A22" t="s">
        <v>106</v>
      </c>
      <c r="B22">
        <v>9.5830000000000002</v>
      </c>
      <c r="C22">
        <v>3.2109999999999999</v>
      </c>
      <c r="D22">
        <v>8.532</v>
      </c>
      <c r="E22">
        <v>9.1910000000000007</v>
      </c>
      <c r="F22">
        <v>9.67</v>
      </c>
      <c r="G22">
        <v>2.113</v>
      </c>
      <c r="H22">
        <v>-12.8</v>
      </c>
      <c r="I22">
        <v>1.7909999999999999</v>
      </c>
      <c r="J22">
        <f>chloroform!J27</f>
        <v>0</v>
      </c>
      <c r="K22" t="str">
        <f>chloroform!F27</f>
        <v>45E</v>
      </c>
      <c r="M22">
        <f>0.9155*Table2[[#This Row],[J1,2]]*Table2[[#This Row],[weight]]</f>
        <v>0</v>
      </c>
      <c r="N22">
        <f>0.9155*Table2[[#This Row],[J2,3]]*Table2[[#This Row],[weight]]</f>
        <v>0</v>
      </c>
      <c r="O22">
        <f>0.9155*Table2[[#This Row],[J34]]*Table2[[#This Row],[weight]]</f>
        <v>0</v>
      </c>
      <c r="P22">
        <f>0.9155*Table2[[#This Row],[J45]]*Table2[[#This Row],[weight]]</f>
        <v>0</v>
      </c>
      <c r="Q22">
        <f>0.9155*Table2[[#This Row],[J56]]*Table2[[#This Row],[weight]]</f>
        <v>0</v>
      </c>
      <c r="R22">
        <f>0.9155*Table2[[#This Row],[J67]]*Table2[[#This Row],[weight]]</f>
        <v>0</v>
      </c>
      <c r="S22">
        <f>0.9155*Table2[[#This Row],[J67'']]*Table2[[#This Row],[weight]]</f>
        <v>0</v>
      </c>
      <c r="T22">
        <f>0.9155*Table2[[#This Row],[J77'']]*Table2[[#This Row],[weight]]</f>
        <v>0</v>
      </c>
    </row>
    <row r="23" spans="1:20" x14ac:dyDescent="0.25">
      <c r="A23" t="s">
        <v>75</v>
      </c>
      <c r="B23">
        <v>8.16</v>
      </c>
      <c r="C23">
        <v>2.1040000000000001</v>
      </c>
      <c r="D23">
        <v>1.86</v>
      </c>
      <c r="E23">
        <v>1.8220000000000001</v>
      </c>
      <c r="F23">
        <v>11.571</v>
      </c>
      <c r="G23">
        <v>2.6469999999999998</v>
      </c>
      <c r="H23">
        <v>-12.95</v>
      </c>
      <c r="I23">
        <v>1.226</v>
      </c>
      <c r="J23">
        <f>chloroform!J28</f>
        <v>6.9392959472931046E-2</v>
      </c>
      <c r="K23" t="str">
        <f>chloroform!F28</f>
        <v>4H6</v>
      </c>
      <c r="M23">
        <f>0.9155*Table2[[#This Row],[J1,2]]*Table2[[#This Row],[weight]]</f>
        <v>0.51839871588334197</v>
      </c>
      <c r="N23">
        <f>0.9155*Table2[[#This Row],[J2,3]]*Table2[[#This Row],[weight]]</f>
        <v>0.13366555125227345</v>
      </c>
      <c r="O23">
        <f>0.9155*Table2[[#This Row],[J34]]*Table2[[#This Row],[weight]]</f>
        <v>0.11816441317929118</v>
      </c>
      <c r="P23">
        <f>0.9155*Table2[[#This Row],[J45]]*Table2[[#This Row],[weight]]</f>
        <v>0.11575030151218738</v>
      </c>
      <c r="Q23">
        <f>0.9155*Table2[[#This Row],[J56]]*Table2[[#This Row],[weight]]</f>
        <v>0.73509700263310651</v>
      </c>
      <c r="R23">
        <f>0.9155*Table2[[#This Row],[J67]]*Table2[[#This Row],[weight]]</f>
        <v>0.16816193639009877</v>
      </c>
      <c r="S23">
        <f>0.9155*Table2[[#This Row],[J67'']]*Table2[[#This Row],[weight]]</f>
        <v>7.7886865891296231E-2</v>
      </c>
      <c r="T23">
        <f>0.9155*Table2[[#This Row],[J77'']]*Table2[[#This Row],[weight]]</f>
        <v>-0.82270384444721545</v>
      </c>
    </row>
    <row r="24" spans="1:20" x14ac:dyDescent="0.25">
      <c r="A24" t="s">
        <v>76</v>
      </c>
      <c r="B24">
        <v>8.16</v>
      </c>
      <c r="C24">
        <v>2.1150000000000002</v>
      </c>
      <c r="D24">
        <v>1.81</v>
      </c>
      <c r="E24">
        <v>2.0510000000000002</v>
      </c>
      <c r="F24">
        <v>12.010999999999999</v>
      </c>
      <c r="G24">
        <v>1.323</v>
      </c>
      <c r="H24">
        <v>-13.62</v>
      </c>
      <c r="I24">
        <v>10.718999999999999</v>
      </c>
      <c r="J24">
        <f>chloroform!J29</f>
        <v>0.1257671683217744</v>
      </c>
      <c r="K24" t="str">
        <f>chloroform!F29</f>
        <v>4H6</v>
      </c>
      <c r="M24">
        <f>0.9155*Table2[[#This Row],[J1,2]]*Table2[[#This Row],[weight]]</f>
        <v>0.9395411156044492</v>
      </c>
      <c r="N24">
        <f>0.9155*Table2[[#This Row],[J2,3]]*Table2[[#This Row],[weight]]</f>
        <v>0.24352076709600615</v>
      </c>
      <c r="O24">
        <f>0.9155*Table2[[#This Row],[J34]]*Table2[[#This Row],[weight]]</f>
        <v>0.20840311510343787</v>
      </c>
      <c r="P24">
        <f>0.9155*Table2[[#This Row],[J45]]*Table2[[#This Row],[weight]]</f>
        <v>0.23615181716969674</v>
      </c>
      <c r="Q24">
        <f>0.9155*Table2[[#This Row],[J56]]*Table2[[#This Row],[weight]]</f>
        <v>1.3829446494515978</v>
      </c>
      <c r="R24">
        <f>0.9155*Table2[[#This Row],[J67]]*Table2[[#This Row],[weight]]</f>
        <v>0.15233001175792724</v>
      </c>
      <c r="S24">
        <f>0.9155*Table2[[#This Row],[J67'']]*Table2[[#This Row],[weight]]</f>
        <v>1.2341839728142268</v>
      </c>
      <c r="T24">
        <f>0.9155*Table2[[#This Row],[J77'']]*Table2[[#This Row],[weight]]</f>
        <v>-1.5682046561927203</v>
      </c>
    </row>
    <row r="25" spans="1:20" x14ac:dyDescent="0.25">
      <c r="A25" t="s">
        <v>77</v>
      </c>
      <c r="B25">
        <v>8.1769999999999996</v>
      </c>
      <c r="C25">
        <v>3.2</v>
      </c>
      <c r="D25">
        <v>2.6760000000000002</v>
      </c>
      <c r="E25">
        <v>5.1059999999999999</v>
      </c>
      <c r="F25">
        <v>2.089</v>
      </c>
      <c r="G25">
        <v>12.452999999999999</v>
      </c>
      <c r="H25">
        <v>-10.368</v>
      </c>
      <c r="I25">
        <v>5.69</v>
      </c>
      <c r="J25">
        <f>chloroform!J30</f>
        <v>1.4009139902914978E-3</v>
      </c>
      <c r="K25" t="str">
        <f>chloroform!F30</f>
        <v>12C5</v>
      </c>
      <c r="M25">
        <f>0.9155*Table2[[#This Row],[J1,2]]*Table2[[#This Row],[weight]]</f>
        <v>1.048730307108073E-2</v>
      </c>
      <c r="N25">
        <f>0.9155*Table2[[#This Row],[J2,3]]*Table2[[#This Row],[weight]]</f>
        <v>4.1041176259579721E-3</v>
      </c>
      <c r="O25">
        <f>0.9155*Table2[[#This Row],[J34]]*Table2[[#This Row],[weight]]</f>
        <v>3.4320683647073541E-3</v>
      </c>
      <c r="P25">
        <f>0.9155*Table2[[#This Row],[J45]]*Table2[[#This Row],[weight]]</f>
        <v>6.5486326869191886E-3</v>
      </c>
      <c r="Q25">
        <f>0.9155*Table2[[#This Row],[J56]]*Table2[[#This Row],[weight]]</f>
        <v>2.6792192876956885E-3</v>
      </c>
      <c r="R25">
        <f>0.9155*Table2[[#This Row],[J67]]*Table2[[#This Row],[weight]]</f>
        <v>1.5971430248767071E-2</v>
      </c>
      <c r="S25">
        <f>0.9155*Table2[[#This Row],[J67'']]*Table2[[#This Row],[weight]]</f>
        <v>7.2976341536565197E-3</v>
      </c>
      <c r="T25">
        <f>0.9155*Table2[[#This Row],[J77'']]*Table2[[#This Row],[weight]]</f>
        <v>-1.3297341108103829E-2</v>
      </c>
    </row>
    <row r="26" spans="1:20" x14ac:dyDescent="0.25">
      <c r="A26" t="s">
        <v>33</v>
      </c>
      <c r="B26">
        <v>8.4190000000000005</v>
      </c>
      <c r="C26">
        <v>2.1640000000000001</v>
      </c>
      <c r="D26">
        <v>3.032</v>
      </c>
      <c r="E26">
        <v>0.56100000000000005</v>
      </c>
      <c r="F26">
        <v>11.538</v>
      </c>
      <c r="G26">
        <v>10.068</v>
      </c>
      <c r="H26">
        <v>-11.718999999999999</v>
      </c>
      <c r="I26">
        <v>1.7589999999999999</v>
      </c>
      <c r="J26">
        <f>chloroform!J31</f>
        <v>1.9744642742672638E-4</v>
      </c>
      <c r="K26" t="str">
        <f>chloroform!F31</f>
        <v>4H6</v>
      </c>
      <c r="M26">
        <f>0.9155*Table2[[#This Row],[J1,2]]*Table2[[#This Row],[weight]]</f>
        <v>1.5218369980788853E-3</v>
      </c>
      <c r="N26">
        <f>0.9155*Table2[[#This Row],[J2,3]]*Table2[[#This Row],[weight]]</f>
        <v>3.9116941012503958E-4</v>
      </c>
      <c r="O26">
        <f>0.9155*Table2[[#This Row],[J34]]*Table2[[#This Row],[weight]]</f>
        <v>5.4807100346539737E-4</v>
      </c>
      <c r="P26">
        <f>0.9155*Table2[[#This Row],[J45]]*Table2[[#This Row],[weight]]</f>
        <v>1.0140759661744327E-4</v>
      </c>
      <c r="Q26">
        <f>0.9155*Table2[[#This Row],[J56]]*Table2[[#This Row],[weight]]</f>
        <v>2.0856343133191803E-3</v>
      </c>
      <c r="R26">
        <f>0.9155*Table2[[#This Row],[J67]]*Table2[[#This Row],[weight]]</f>
        <v>1.8199138729847032E-3</v>
      </c>
      <c r="S26">
        <f>0.9155*Table2[[#This Row],[J67'']]*Table2[[#This Row],[weight]]</f>
        <v>3.1796071737982649E-4</v>
      </c>
      <c r="T26">
        <f>0.9155*Table2[[#This Row],[J77'']]*Table2[[#This Row],[weight]]</f>
        <v>-2.1183522722991398E-3</v>
      </c>
    </row>
    <row r="27" spans="1:20" x14ac:dyDescent="0.25">
      <c r="A27" t="s">
        <v>78</v>
      </c>
      <c r="B27">
        <v>8.2949999999999999</v>
      </c>
      <c r="C27">
        <v>2.1080000000000001</v>
      </c>
      <c r="D27">
        <v>3.242</v>
      </c>
      <c r="E27">
        <v>0.46600000000000003</v>
      </c>
      <c r="F27">
        <v>12.28</v>
      </c>
      <c r="G27">
        <v>1.347</v>
      </c>
      <c r="H27">
        <v>-13.996</v>
      </c>
      <c r="I27">
        <v>10.948</v>
      </c>
      <c r="J27">
        <f>chloroform!J32</f>
        <v>3.4217458601206878E-4</v>
      </c>
      <c r="K27" t="str">
        <f>chloroform!F32</f>
        <v>4H6</v>
      </c>
      <c r="M27">
        <f>0.9155*Table2[[#This Row],[J1,2]]*Table2[[#This Row],[weight]]</f>
        <v>2.5984986138331361E-3</v>
      </c>
      <c r="N27">
        <f>0.9155*Table2[[#This Row],[J2,3]]*Table2[[#This Row],[weight]]</f>
        <v>6.603538370054552E-4</v>
      </c>
      <c r="O27">
        <f>0.9155*Table2[[#This Row],[J34]]*Table2[[#This Row],[weight]]</f>
        <v>1.0155916221877067E-3</v>
      </c>
      <c r="P27">
        <f>0.9155*Table2[[#This Row],[J45]]*Table2[[#This Row],[weight]]</f>
        <v>1.4597954840822684E-4</v>
      </c>
      <c r="Q27">
        <f>0.9155*Table2[[#This Row],[J56]]*Table2[[#This Row],[weight]]</f>
        <v>3.846843035306921E-3</v>
      </c>
      <c r="R27">
        <f>0.9155*Table2[[#This Row],[J67]]*Table2[[#This Row],[weight]]</f>
        <v>4.2196234271648395E-4</v>
      </c>
      <c r="S27">
        <f>0.9155*Table2[[#This Row],[J67'']]*Table2[[#This Row],[weight]]</f>
        <v>3.4295796050928485E-3</v>
      </c>
      <c r="T27">
        <f>0.9155*Table2[[#This Row],[J77'']]*Table2[[#This Row],[weight]]</f>
        <v>-4.3843986255827092E-3</v>
      </c>
    </row>
    <row r="28" spans="1:20" x14ac:dyDescent="0.25">
      <c r="A28" t="s">
        <v>79</v>
      </c>
      <c r="B28">
        <v>7.6619999999999999</v>
      </c>
      <c r="C28">
        <v>3.738</v>
      </c>
      <c r="D28">
        <v>2.0329999999999999</v>
      </c>
      <c r="E28">
        <v>5.18</v>
      </c>
      <c r="F28">
        <v>1.9219999999999999</v>
      </c>
      <c r="G28">
        <v>2.262</v>
      </c>
      <c r="H28">
        <v>-12.999000000000001</v>
      </c>
      <c r="I28">
        <v>11.896000000000001</v>
      </c>
      <c r="J28">
        <f>chloroform!J33</f>
        <v>4.6778212638561483E-3</v>
      </c>
      <c r="K28" t="str">
        <f>chloroform!F33</f>
        <v>12C5</v>
      </c>
      <c r="M28">
        <f>0.9155*Table2[[#This Row],[J1,2]]*Table2[[#This Row],[weight]]</f>
        <v>3.2812862602416046E-2</v>
      </c>
      <c r="N28">
        <f>0.9155*Table2[[#This Row],[J2,3]]*Table2[[#This Row],[weight]]</f>
        <v>1.6008154582071416E-2</v>
      </c>
      <c r="O28">
        <f>0.9155*Table2[[#This Row],[J34]]*Table2[[#This Row],[weight]]</f>
        <v>8.7064147312335971E-3</v>
      </c>
      <c r="P28">
        <f>0.9155*Table2[[#This Row],[J45]]*Table2[[#This Row],[weight]]</f>
        <v>2.2183585001372373E-2</v>
      </c>
      <c r="Q28">
        <f>0.9155*Table2[[#This Row],[J56]]*Table2[[#This Row],[weight]]</f>
        <v>8.2310521954899029E-3</v>
      </c>
      <c r="R28">
        <f>0.9155*Table2[[#This Row],[J67]]*Table2[[#This Row],[weight]]</f>
        <v>9.6871176202904061E-3</v>
      </c>
      <c r="S28">
        <f>0.9155*Table2[[#This Row],[J67'']]*Table2[[#This Row],[weight]]</f>
        <v>5.0945159686549377E-2</v>
      </c>
      <c r="T28">
        <f>0.9155*Table2[[#This Row],[J77'']]*Table2[[#This Row],[weight]]</f>
        <v>-5.5668807226416893E-2</v>
      </c>
    </row>
    <row r="29" spans="1:20" x14ac:dyDescent="0.25">
      <c r="A29" t="s">
        <v>107</v>
      </c>
      <c r="B29">
        <v>8.0259999999999998</v>
      </c>
      <c r="C29">
        <v>2.2109999999999999</v>
      </c>
      <c r="D29">
        <v>1.679</v>
      </c>
      <c r="E29">
        <v>2.9359999999999999</v>
      </c>
      <c r="F29">
        <v>10.108000000000001</v>
      </c>
      <c r="G29">
        <v>11.25</v>
      </c>
      <c r="H29">
        <v>-11.33</v>
      </c>
      <c r="I29">
        <v>5.3440000000000003</v>
      </c>
      <c r="J29">
        <f>chloroform!J34</f>
        <v>6.2466570880075397E-3</v>
      </c>
      <c r="K29" t="str">
        <f>chloroform!F34</f>
        <v>4H6</v>
      </c>
      <c r="M29">
        <f>0.9155*Table2[[#This Row],[J1,2]]*Table2[[#This Row],[weight]]</f>
        <v>4.5899205691233062E-2</v>
      </c>
      <c r="N29">
        <f>0.9155*Table2[[#This Row],[J2,3]]*Table2[[#This Row],[weight]]</f>
        <v>1.2644299001160765E-2</v>
      </c>
      <c r="O29">
        <f>0.9155*Table2[[#This Row],[J34]]*Table2[[#This Row],[weight]]</f>
        <v>9.601889653075046E-3</v>
      </c>
      <c r="P29">
        <f>0.9155*Table2[[#This Row],[J45]]*Table2[[#This Row],[weight]]</f>
        <v>1.6790439560112169E-2</v>
      </c>
      <c r="Q29">
        <f>0.9155*Table2[[#This Row],[J56]]*Table2[[#This Row],[weight]]</f>
        <v>5.7805777613628678E-2</v>
      </c>
      <c r="R29">
        <f>0.9155*Table2[[#This Row],[J67]]*Table2[[#This Row],[weight]]</f>
        <v>6.4336663845797656E-2</v>
      </c>
      <c r="S29">
        <f>0.9155*Table2[[#This Row],[J67'']]*Table2[[#This Row],[weight]]</f>
        <v>3.0561345030394906E-2</v>
      </c>
      <c r="T29">
        <f>0.9155*Table2[[#This Row],[J77'']]*Table2[[#This Row],[weight]]</f>
        <v>-6.479416901092333E-2</v>
      </c>
    </row>
    <row r="30" spans="1:20" x14ac:dyDescent="0.25">
      <c r="A30" t="s">
        <v>108</v>
      </c>
      <c r="B30">
        <v>7.968</v>
      </c>
      <c r="C30">
        <v>8.7100000000000009</v>
      </c>
      <c r="D30">
        <v>2.157</v>
      </c>
      <c r="E30">
        <v>11.276999999999999</v>
      </c>
      <c r="F30">
        <v>1.427</v>
      </c>
      <c r="G30">
        <v>4.149</v>
      </c>
      <c r="H30">
        <v>-12.593999999999999</v>
      </c>
      <c r="I30">
        <v>12.997999999999999</v>
      </c>
      <c r="J30">
        <f>chloroform!J35</f>
        <v>1.5804318205865528E-4</v>
      </c>
      <c r="K30" t="str">
        <f>chloroform!F35</f>
        <v>6H4</v>
      </c>
      <c r="M30">
        <f>0.9155*Table2[[#This Row],[J1,2]]*Table2[[#This Row],[weight]]</f>
        <v>1.1528782323360009E-3</v>
      </c>
      <c r="N30">
        <f>0.9155*Table2[[#This Row],[J2,3]]*Table2[[#This Row],[weight]]</f>
        <v>1.2602371239516276E-3</v>
      </c>
      <c r="O30">
        <f>0.9155*Table2[[#This Row],[J34]]*Table2[[#This Row],[weight]]</f>
        <v>3.1209316605782553E-4</v>
      </c>
      <c r="P30">
        <f>0.9155*Table2[[#This Row],[J45]]*Table2[[#This Row],[weight]]</f>
        <v>1.6316525886110793E-3</v>
      </c>
      <c r="Q30">
        <f>0.9155*Table2[[#This Row],[J56]]*Table2[[#This Row],[weight]]</f>
        <v>2.0647053684029533E-4</v>
      </c>
      <c r="R30">
        <f>0.9155*Table2[[#This Row],[J67]]*Table2[[#This Row],[weight]]</f>
        <v>6.003127241418258E-4</v>
      </c>
      <c r="S30">
        <f>0.9155*Table2[[#This Row],[J67'']]*Table2[[#This Row],[weight]]</f>
        <v>1.8806615542047364E-3</v>
      </c>
      <c r="T30">
        <f>0.9155*Table2[[#This Row],[J77'']]*Table2[[#This Row],[weight]]</f>
        <v>-1.822207386802158E-3</v>
      </c>
    </row>
    <row r="31" spans="1:20" x14ac:dyDescent="0.25">
      <c r="A31" t="s">
        <v>80</v>
      </c>
      <c r="B31">
        <v>8.4149999999999991</v>
      </c>
      <c r="C31">
        <v>2.0670000000000002</v>
      </c>
      <c r="D31">
        <v>2.39</v>
      </c>
      <c r="E31">
        <v>0.70399999999999996</v>
      </c>
      <c r="F31">
        <v>12.196999999999999</v>
      </c>
      <c r="G31">
        <v>0.93899999999999995</v>
      </c>
      <c r="H31">
        <v>-13.705</v>
      </c>
      <c r="I31">
        <v>3.3719999999999999</v>
      </c>
      <c r="J31">
        <f>chloroform!J36</f>
        <v>6.4229697849314968E-2</v>
      </c>
      <c r="K31" t="str">
        <f>chloroform!F36</f>
        <v>4H6</v>
      </c>
      <c r="M31">
        <f>0.9155*Table2[[#This Row],[J1,2]]*Table2[[#This Row],[weight]]</f>
        <v>0.49482125672651761</v>
      </c>
      <c r="N31">
        <f>0.9155*Table2[[#This Row],[J2,3]]*Table2[[#This Row],[weight]]</f>
        <v>0.12154433008362592</v>
      </c>
      <c r="O31">
        <f>0.9155*Table2[[#This Row],[J34]]*Table2[[#This Row],[weight]]</f>
        <v>0.14053746923070437</v>
      </c>
      <c r="P31">
        <f>0.9155*Table2[[#This Row],[J45]]*Table2[[#This Row],[weight]]</f>
        <v>4.139681102025769E-2</v>
      </c>
      <c r="Q31">
        <f>0.9155*Table2[[#This Row],[J56]]*Table2[[#This Row],[weight]]</f>
        <v>0.71721151138364059</v>
      </c>
      <c r="R31">
        <f>0.9155*Table2[[#This Row],[J67]]*Table2[[#This Row],[weight]]</f>
        <v>5.5215348789803928E-2</v>
      </c>
      <c r="S31">
        <f>0.9155*Table2[[#This Row],[J67'']]*Table2[[#This Row],[weight]]</f>
        <v>0.19828131642089333</v>
      </c>
      <c r="T31">
        <f>0.9155*Table2[[#This Row],[J77'']]*Table2[[#This Row],[weight]]</f>
        <v>-0.80588536226226082</v>
      </c>
    </row>
    <row r="32" spans="1:20" x14ac:dyDescent="0.25">
      <c r="A32" t="s">
        <v>34</v>
      </c>
      <c r="B32">
        <v>8.07</v>
      </c>
      <c r="C32">
        <v>5.2679999999999998</v>
      </c>
      <c r="D32">
        <v>2.7320000000000002</v>
      </c>
      <c r="E32">
        <v>10.849</v>
      </c>
      <c r="F32">
        <v>9.7780000000000005</v>
      </c>
      <c r="G32">
        <v>1.8320000000000001</v>
      </c>
      <c r="H32">
        <v>-13.115</v>
      </c>
      <c r="I32">
        <v>1.946</v>
      </c>
      <c r="J32">
        <f>chloroform!J37</f>
        <v>6.6362959010697685E-4</v>
      </c>
      <c r="K32" t="str">
        <f>chloroform!F37</f>
        <v>56E</v>
      </c>
      <c r="M32">
        <f>0.9155*Table2[[#This Row],[J1,2]]*Table2[[#This Row],[weight]]</f>
        <v>4.9029518202255038E-3</v>
      </c>
      <c r="N32">
        <f>0.9155*Table2[[#This Row],[J2,3]]*Table2[[#This Row],[weight]]</f>
        <v>3.2005886231657936E-3</v>
      </c>
      <c r="O32">
        <f>0.9155*Table2[[#This Row],[J34]]*Table2[[#This Row],[weight]]</f>
        <v>1.6598344947777049E-3</v>
      </c>
      <c r="P32">
        <f>0.9155*Table2[[#This Row],[J45]]*Table2[[#This Row],[weight]]</f>
        <v>6.5913413008211272E-3</v>
      </c>
      <c r="Q32">
        <f>0.9155*Table2[[#This Row],[J56]]*Table2[[#This Row],[weight]]</f>
        <v>5.9406521559064417E-3</v>
      </c>
      <c r="R32">
        <f>0.9155*Table2[[#This Row],[J67]]*Table2[[#This Row],[weight]]</f>
        <v>1.1130368940090612E-3</v>
      </c>
      <c r="S32">
        <f>0.9155*Table2[[#This Row],[J67'']]*Table2[[#This Row],[weight]]</f>
        <v>1.182297923439756E-3</v>
      </c>
      <c r="T32">
        <f>0.9155*Table2[[#This Row],[J77'']]*Table2[[#This Row],[weight]]</f>
        <v>-7.9680561489786222E-3</v>
      </c>
    </row>
    <row r="33" spans="1:32" x14ac:dyDescent="0.25">
      <c r="A33" t="s">
        <v>109</v>
      </c>
      <c r="B33">
        <v>8.5139999999999993</v>
      </c>
      <c r="C33">
        <v>2.3559999999999999</v>
      </c>
      <c r="D33">
        <v>1.6890000000000001</v>
      </c>
      <c r="E33">
        <v>1.05</v>
      </c>
      <c r="F33">
        <v>11.929</v>
      </c>
      <c r="G33">
        <v>0.81699999999999995</v>
      </c>
      <c r="H33">
        <v>-13.756</v>
      </c>
      <c r="I33">
        <v>3.702</v>
      </c>
      <c r="J33">
        <f>chloroform!J38</f>
        <v>0</v>
      </c>
      <c r="K33" t="str">
        <f>chloroform!F38</f>
        <v>4H6</v>
      </c>
      <c r="M33">
        <f>0.9155*Table2[[#This Row],[J1,2]]*Table2[[#This Row],[weight]]</f>
        <v>0</v>
      </c>
      <c r="N33">
        <f>0.9155*Table2[[#This Row],[J2,3]]*Table2[[#This Row],[weight]]</f>
        <v>0</v>
      </c>
      <c r="O33">
        <f>0.9155*Table2[[#This Row],[J34]]*Table2[[#This Row],[weight]]</f>
        <v>0</v>
      </c>
      <c r="P33">
        <f>0.9155*Table2[[#This Row],[J45]]*Table2[[#This Row],[weight]]</f>
        <v>0</v>
      </c>
      <c r="Q33">
        <f>0.9155*Table2[[#This Row],[J56]]*Table2[[#This Row],[weight]]</f>
        <v>0</v>
      </c>
      <c r="R33">
        <f>0.9155*Table2[[#This Row],[J67]]*Table2[[#This Row],[weight]]</f>
        <v>0</v>
      </c>
      <c r="S33">
        <f>0.9155*Table2[[#This Row],[J67'']]*Table2[[#This Row],[weight]]</f>
        <v>0</v>
      </c>
      <c r="T33">
        <f>0.9155*Table2[[#This Row],[J77'']]*Table2[[#This Row],[weight]]</f>
        <v>0</v>
      </c>
    </row>
    <row r="34" spans="1:32" x14ac:dyDescent="0.25">
      <c r="A34" t="s">
        <v>81</v>
      </c>
      <c r="B34">
        <v>8.1389999999999993</v>
      </c>
      <c r="C34">
        <v>2.7370000000000001</v>
      </c>
      <c r="D34">
        <v>2.6709999999999998</v>
      </c>
      <c r="E34">
        <v>4.6319999999999997</v>
      </c>
      <c r="F34">
        <v>7.0110000000000001</v>
      </c>
      <c r="G34">
        <v>8.1300000000000008</v>
      </c>
      <c r="H34">
        <v>-12.428000000000001</v>
      </c>
      <c r="I34">
        <v>0.51200000000000001</v>
      </c>
      <c r="J34">
        <f>chloroform!J39</f>
        <v>0</v>
      </c>
      <c r="K34" t="str">
        <f>chloroform!F39</f>
        <v>4H6</v>
      </c>
      <c r="M34">
        <f>0.9155*Table2[[#This Row],[J1,2]]*Table2[[#This Row],[weight]]</f>
        <v>0</v>
      </c>
      <c r="N34">
        <f>0.9155*Table2[[#This Row],[J2,3]]*Table2[[#This Row],[weight]]</f>
        <v>0</v>
      </c>
      <c r="O34">
        <f>0.9155*Table2[[#This Row],[J34]]*Table2[[#This Row],[weight]]</f>
        <v>0</v>
      </c>
      <c r="P34">
        <f>0.9155*Table2[[#This Row],[J45]]*Table2[[#This Row],[weight]]</f>
        <v>0</v>
      </c>
      <c r="Q34">
        <f>0.9155*Table2[[#This Row],[J56]]*Table2[[#This Row],[weight]]</f>
        <v>0</v>
      </c>
      <c r="R34">
        <f>0.9155*Table2[[#This Row],[J67]]*Table2[[#This Row],[weight]]</f>
        <v>0</v>
      </c>
      <c r="S34">
        <f>0.9155*Table2[[#This Row],[J67'']]*Table2[[#This Row],[weight]]</f>
        <v>0</v>
      </c>
      <c r="T34">
        <f>0.9155*Table2[[#This Row],[J77'']]*Table2[[#This Row],[weight]]</f>
        <v>0</v>
      </c>
    </row>
    <row r="35" spans="1:32" x14ac:dyDescent="0.25">
      <c r="A35" t="s">
        <v>82</v>
      </c>
      <c r="B35">
        <v>8.2240000000000002</v>
      </c>
      <c r="C35">
        <v>9.6440000000000001</v>
      </c>
      <c r="D35">
        <v>3.1720000000000002</v>
      </c>
      <c r="E35">
        <v>11.484</v>
      </c>
      <c r="F35">
        <v>10.521000000000001</v>
      </c>
      <c r="G35">
        <v>1.5589999999999999</v>
      </c>
      <c r="H35">
        <v>-13.209</v>
      </c>
      <c r="I35">
        <v>2.2610000000000001</v>
      </c>
      <c r="J35">
        <f>chloroform!J40</f>
        <v>0.2030773709245009</v>
      </c>
      <c r="K35" t="str">
        <f>chloroform!F40</f>
        <v>5C12</v>
      </c>
      <c r="M35">
        <f>0.9155*Table2[[#This Row],[J1,2]]*Table2[[#This Row],[weight]]</f>
        <v>1.528984147261274</v>
      </c>
      <c r="N35">
        <f>0.9155*Table2[[#This Row],[J2,3]]*Table2[[#This Row],[weight]]</f>
        <v>1.7929867602368341</v>
      </c>
      <c r="O35">
        <f>0.9155*Table2[[#This Row],[J34]]*Table2[[#This Row],[weight]]</f>
        <v>0.58972978053413916</v>
      </c>
      <c r="P35">
        <f>0.9155*Table2[[#This Row],[J45]]*Table2[[#This Row],[weight]]</f>
        <v>2.1350746531065745</v>
      </c>
      <c r="Q35">
        <f>0.9155*Table2[[#This Row],[J56]]*Table2[[#This Row],[weight]]</f>
        <v>1.9560362613492053</v>
      </c>
      <c r="R35">
        <f>0.9155*Table2[[#This Row],[J67]]*Table2[[#This Row],[weight]]</f>
        <v>0.28984512227387232</v>
      </c>
      <c r="S35">
        <f>0.9155*Table2[[#This Row],[J67'']]*Table2[[#This Row],[weight]]</f>
        <v>0.42035909009700151</v>
      </c>
      <c r="T35">
        <f>0.9155*Table2[[#This Row],[J77'']]*Table2[[#This Row],[weight]]</f>
        <v>-2.4557820526719558</v>
      </c>
      <c r="Z35">
        <v>6.8367000000000004</v>
      </c>
      <c r="AA35">
        <v>3.44</v>
      </c>
      <c r="AB35">
        <v>1.77</v>
      </c>
      <c r="AC35">
        <v>4.0999999999999996</v>
      </c>
      <c r="AD35">
        <v>8.9</v>
      </c>
      <c r="AE35">
        <v>2.54</v>
      </c>
      <c r="AF35">
        <v>6.31</v>
      </c>
    </row>
    <row r="36" spans="1:32" x14ac:dyDescent="0.25">
      <c r="A36" t="s">
        <v>83</v>
      </c>
      <c r="B36">
        <v>8.2379999999999995</v>
      </c>
      <c r="C36">
        <v>3.2480000000000002</v>
      </c>
      <c r="D36">
        <v>2.8519999999999999</v>
      </c>
      <c r="E36">
        <v>5.3559999999999999</v>
      </c>
      <c r="F36">
        <v>2.3570000000000002</v>
      </c>
      <c r="G36">
        <v>12.42</v>
      </c>
      <c r="H36">
        <v>-10.585000000000001</v>
      </c>
      <c r="I36">
        <v>6.4630000000000001</v>
      </c>
      <c r="J36">
        <f>chloroform!J41</f>
        <v>8.8640984616944951E-4</v>
      </c>
      <c r="K36" t="str">
        <f>chloroform!F41</f>
        <v>12C5</v>
      </c>
      <c r="M36">
        <f>0.9155*Table2[[#This Row],[J1,2]]*Table2[[#This Row],[weight]]</f>
        <v>6.6852046683170624E-3</v>
      </c>
      <c r="N36">
        <f>0.9155*Table2[[#This Row],[J2,3]]*Table2[[#This Row],[weight]]</f>
        <v>2.6357786796180897E-3</v>
      </c>
      <c r="O36">
        <f>0.9155*Table2[[#This Row],[J34]]*Table2[[#This Row],[weight]]</f>
        <v>2.3144214268075096E-3</v>
      </c>
      <c r="P36">
        <f>0.9155*Table2[[#This Row],[J45]]*Table2[[#This Row],[weight]]</f>
        <v>4.3464379950845095E-3</v>
      </c>
      <c r="Q36">
        <f>0.9155*Table2[[#This Row],[J56]]*Table2[[#This Row],[weight]]</f>
        <v>1.912724860794285E-3</v>
      </c>
      <c r="R36">
        <f>0.9155*Table2[[#This Row],[J67]]*Table2[[#This Row],[weight]]</f>
        <v>1.0078932019968187E-2</v>
      </c>
      <c r="S36">
        <f>0.9155*Table2[[#This Row],[J67'']]*Table2[[#This Row],[weight]]</f>
        <v>5.2447775881686309E-3</v>
      </c>
      <c r="T36">
        <f>0.9155*Table2[[#This Row],[J77'']]*Table2[[#This Row],[weight]]</f>
        <v>-8.5898144469696673E-3</v>
      </c>
    </row>
    <row r="37" spans="1:32" x14ac:dyDescent="0.25">
      <c r="A37" t="s">
        <v>84</v>
      </c>
      <c r="B37">
        <v>7.9349999999999996</v>
      </c>
      <c r="C37">
        <v>8.718</v>
      </c>
      <c r="D37">
        <v>2.1720000000000002</v>
      </c>
      <c r="E37">
        <v>11.255000000000001</v>
      </c>
      <c r="F37">
        <v>1.3779999999999999</v>
      </c>
      <c r="G37">
        <v>3.5640000000000001</v>
      </c>
      <c r="H37">
        <v>-14.17</v>
      </c>
      <c r="I37">
        <v>13.733000000000001</v>
      </c>
      <c r="J37">
        <f>chloroform!J42</f>
        <v>1.6083202905120859E-4</v>
      </c>
      <c r="K37" t="str">
        <f>chloroform!F42</f>
        <v>6H4</v>
      </c>
      <c r="M37">
        <f>0.9155*Table2[[#This Row],[J1,2]]*Table2[[#This Row],[weight]]</f>
        <v>1.1683630688022867E-3</v>
      </c>
      <c r="N37">
        <f>0.9155*Table2[[#This Row],[J2,3]]*Table2[[#This Row],[weight]]</f>
        <v>1.2836533375952535E-3</v>
      </c>
      <c r="O37">
        <f>0.9155*Table2[[#This Row],[J34]]*Table2[[#This Row],[weight]]</f>
        <v>3.1980902147934055E-4</v>
      </c>
      <c r="P37">
        <f>0.9155*Table2[[#This Row],[J45]]*Table2[[#This Row],[weight]]</f>
        <v>1.6572055878222736E-3</v>
      </c>
      <c r="Q37">
        <f>0.9155*Table2[[#This Row],[J56]]*Table2[[#This Row],[weight]]</f>
        <v>2.0289909373781364E-4</v>
      </c>
      <c r="R37">
        <f>0.9155*Table2[[#This Row],[J67]]*Table2[[#This Row],[weight]]</f>
        <v>5.2476949933350349E-4</v>
      </c>
      <c r="S37">
        <f>0.9155*Table2[[#This Row],[J67'']]*Table2[[#This Row],[weight]]</f>
        <v>2.0220705764161066E-3</v>
      </c>
      <c r="T37">
        <f>0.9155*Table2[[#This Row],[J77'']]*Table2[[#This Row],[weight]]</f>
        <v>-2.0864152091907254E-3</v>
      </c>
    </row>
    <row r="38" spans="1:32" x14ac:dyDescent="0.25">
      <c r="A38" t="s">
        <v>85</v>
      </c>
      <c r="B38">
        <v>7.75</v>
      </c>
      <c r="C38">
        <v>9.6300000000000008</v>
      </c>
      <c r="D38">
        <v>3.0870000000000002</v>
      </c>
      <c r="E38">
        <v>11.297000000000001</v>
      </c>
      <c r="F38">
        <v>10.74</v>
      </c>
      <c r="G38">
        <v>2.391</v>
      </c>
      <c r="H38">
        <v>-12.073</v>
      </c>
      <c r="I38">
        <v>11.214</v>
      </c>
      <c r="J38">
        <f>chloroform!J43</f>
        <v>3.9548008203148202E-2</v>
      </c>
      <c r="K38" t="str">
        <f>chloroform!F43</f>
        <v>5C12</v>
      </c>
      <c r="M38">
        <f>0.9155*Table2[[#This Row],[J1,2]]*Table2[[#This Row],[weight]]</f>
        <v>0.28059806170236185</v>
      </c>
      <c r="N38">
        <f>0.9155*Table2[[#This Row],[J2,3]]*Table2[[#This Row],[weight]]</f>
        <v>0.34866572054112843</v>
      </c>
      <c r="O38">
        <f>0.9155*Table2[[#This Row],[J34]]*Table2[[#This Row],[weight]]</f>
        <v>0.11176854406131498</v>
      </c>
      <c r="P38">
        <f>0.9155*Table2[[#This Row],[J45]]*Table2[[#This Row],[weight]]</f>
        <v>0.40902145845826865</v>
      </c>
      <c r="Q38">
        <f>0.9155*Table2[[#This Row],[J56]]*Table2[[#This Row],[weight]]</f>
        <v>0.38885460421720863</v>
      </c>
      <c r="R38">
        <f>0.9155*Table2[[#This Row],[J67]]*Table2[[#This Row],[weight]]</f>
        <v>8.6569027810367391E-2</v>
      </c>
      <c r="S38">
        <f>0.9155*Table2[[#This Row],[J67'']]*Table2[[#This Row],[weight]]</f>
        <v>0.40601634373294015</v>
      </c>
      <c r="T38">
        <f>0.9155*Table2[[#This Row],[J77'']]*Table2[[#This Row],[weight]]</f>
        <v>-0.43711747083001484</v>
      </c>
    </row>
    <row r="39" spans="1:32" x14ac:dyDescent="0.25">
      <c r="A39" t="s">
        <v>110</v>
      </c>
      <c r="B39">
        <v>8.3089999999999993</v>
      </c>
      <c r="C39">
        <v>2.3439999999999999</v>
      </c>
      <c r="D39">
        <v>1.5389999999999999</v>
      </c>
      <c r="E39">
        <v>1.83</v>
      </c>
      <c r="F39">
        <v>11.49</v>
      </c>
      <c r="G39">
        <v>2.629</v>
      </c>
      <c r="H39">
        <v>-12.88</v>
      </c>
      <c r="I39">
        <v>1.258</v>
      </c>
      <c r="J39">
        <f>chloroform!J44</f>
        <v>0</v>
      </c>
      <c r="K39" t="str">
        <f>chloroform!F44</f>
        <v>4H6</v>
      </c>
      <c r="M39">
        <f>0.9155*Table2[[#This Row],[J1,2]]*Table2[[#This Row],[weight]]</f>
        <v>0</v>
      </c>
      <c r="N39">
        <f>0.9155*Table2[[#This Row],[J2,3]]*Table2[[#This Row],[weight]]</f>
        <v>0</v>
      </c>
      <c r="O39">
        <f>0.9155*Table2[[#This Row],[J34]]*Table2[[#This Row],[weight]]</f>
        <v>0</v>
      </c>
      <c r="P39">
        <f>0.9155*Table2[[#This Row],[J45]]*Table2[[#This Row],[weight]]</f>
        <v>0</v>
      </c>
      <c r="Q39">
        <f>0.9155*Table2[[#This Row],[J56]]*Table2[[#This Row],[weight]]</f>
        <v>0</v>
      </c>
      <c r="R39">
        <f>0.9155*Table2[[#This Row],[J67]]*Table2[[#This Row],[weight]]</f>
        <v>0</v>
      </c>
      <c r="S39">
        <f>0.9155*Table2[[#This Row],[J67'']]*Table2[[#This Row],[weight]]</f>
        <v>0</v>
      </c>
      <c r="T39">
        <f>0.9155*Table2[[#This Row],[J77'']]*Table2[[#This Row],[weight]]</f>
        <v>0</v>
      </c>
    </row>
    <row r="40" spans="1:32" x14ac:dyDescent="0.25">
      <c r="A40" t="s">
        <v>111</v>
      </c>
      <c r="B40">
        <v>8.59</v>
      </c>
      <c r="C40">
        <v>3.0419999999999998</v>
      </c>
      <c r="D40">
        <v>3.452</v>
      </c>
      <c r="E40">
        <v>4.9989999999999997</v>
      </c>
      <c r="F40">
        <v>2.226</v>
      </c>
      <c r="G40">
        <v>6.944</v>
      </c>
      <c r="H40">
        <v>-13.555</v>
      </c>
      <c r="I40">
        <v>0.35599999999999998</v>
      </c>
      <c r="J40">
        <f>chloroform!J45</f>
        <v>0</v>
      </c>
      <c r="K40" t="str">
        <f>chloroform!F45</f>
        <v>12C5</v>
      </c>
      <c r="M40">
        <f>0.9155*Table2[[#This Row],[J1,2]]*Table2[[#This Row],[weight]]</f>
        <v>0</v>
      </c>
      <c r="N40">
        <f>0.9155*Table2[[#This Row],[J2,3]]*Table2[[#This Row],[weight]]</f>
        <v>0</v>
      </c>
      <c r="O40">
        <f>0.9155*Table2[[#This Row],[J34]]*Table2[[#This Row],[weight]]</f>
        <v>0</v>
      </c>
      <c r="P40">
        <f>0.9155*Table2[[#This Row],[J45]]*Table2[[#This Row],[weight]]</f>
        <v>0</v>
      </c>
      <c r="Q40">
        <f>0.9155*Table2[[#This Row],[J56]]*Table2[[#This Row],[weight]]</f>
        <v>0</v>
      </c>
      <c r="R40">
        <f>0.9155*Table2[[#This Row],[J67]]*Table2[[#This Row],[weight]]</f>
        <v>0</v>
      </c>
      <c r="S40">
        <f>0.9155*Table2[[#This Row],[J67'']]*Table2[[#This Row],[weight]]</f>
        <v>0</v>
      </c>
      <c r="T40">
        <f>0.9155*Table2[[#This Row],[J77'']]*Table2[[#This Row],[weight]]</f>
        <v>0</v>
      </c>
    </row>
    <row r="41" spans="1:32" x14ac:dyDescent="0.25">
      <c r="A41" t="s">
        <v>112</v>
      </c>
      <c r="B41">
        <v>7.548</v>
      </c>
      <c r="C41">
        <v>4.45</v>
      </c>
      <c r="D41">
        <v>1.5860000000000001</v>
      </c>
      <c r="E41">
        <v>5.0129999999999999</v>
      </c>
      <c r="F41">
        <v>2.0579999999999998</v>
      </c>
      <c r="G41">
        <v>13.246</v>
      </c>
      <c r="H41">
        <v>-11.454000000000001</v>
      </c>
      <c r="I41">
        <v>5.1180000000000003</v>
      </c>
      <c r="J41">
        <f>chloroform!J46</f>
        <v>0</v>
      </c>
      <c r="K41" t="str">
        <f>chloroform!F46</f>
        <v>12C5</v>
      </c>
      <c r="M41">
        <f>0.9155*Table2[[#This Row],[J1,2]]*Table2[[#This Row],[weight]]</f>
        <v>0</v>
      </c>
      <c r="N41">
        <f>0.9155*Table2[[#This Row],[J2,3]]*Table2[[#This Row],[weight]]</f>
        <v>0</v>
      </c>
      <c r="O41">
        <f>0.9155*Table2[[#This Row],[J34]]*Table2[[#This Row],[weight]]</f>
        <v>0</v>
      </c>
      <c r="P41">
        <f>0.9155*Table2[[#This Row],[J45]]*Table2[[#This Row],[weight]]</f>
        <v>0</v>
      </c>
      <c r="Q41">
        <f>0.9155*Table2[[#This Row],[J56]]*Table2[[#This Row],[weight]]</f>
        <v>0</v>
      </c>
      <c r="R41">
        <f>0.9155*Table2[[#This Row],[J67]]*Table2[[#This Row],[weight]]</f>
        <v>0</v>
      </c>
      <c r="S41">
        <f>0.9155*Table2[[#This Row],[J67'']]*Table2[[#This Row],[weight]]</f>
        <v>0</v>
      </c>
      <c r="T41">
        <f>0.9155*Table2[[#This Row],[J77'']]*Table2[[#This Row],[weight]]</f>
        <v>0</v>
      </c>
    </row>
    <row r="42" spans="1:32" x14ac:dyDescent="0.25">
      <c r="A42" t="s">
        <v>86</v>
      </c>
      <c r="B42">
        <v>8.3629999999999995</v>
      </c>
      <c r="C42">
        <v>9.5879999999999992</v>
      </c>
      <c r="D42">
        <v>3.2959999999999998</v>
      </c>
      <c r="E42">
        <v>11.781000000000001</v>
      </c>
      <c r="F42">
        <v>9.2609999999999992</v>
      </c>
      <c r="G42">
        <v>1.2669999999999999</v>
      </c>
      <c r="H42">
        <v>-14.084</v>
      </c>
      <c r="I42">
        <v>2.7559999999999998</v>
      </c>
      <c r="J42">
        <f>chloroform!J47</f>
        <v>2.3854228270174319E-3</v>
      </c>
      <c r="K42" t="str">
        <f>chloroform!F47</f>
        <v>5C12</v>
      </c>
      <c r="M42">
        <f>0.9155*Table2[[#This Row],[J1,2]]*Table2[[#This Row],[weight]]</f>
        <v>1.8263576004198478E-2</v>
      </c>
      <c r="N42">
        <f>0.9155*Table2[[#This Row],[J2,3]]*Table2[[#This Row],[weight]]</f>
        <v>2.0938797886913191E-2</v>
      </c>
      <c r="O42">
        <f>0.9155*Table2[[#This Row],[J34]]*Table2[[#This Row],[weight]]</f>
        <v>7.1979847554511757E-3</v>
      </c>
      <c r="P42">
        <f>0.9155*Table2[[#This Row],[J45]]*Table2[[#This Row],[weight]]</f>
        <v>2.5727991020622062E-2</v>
      </c>
      <c r="Q42">
        <f>0.9155*Table2[[#This Row],[J56]]*Table2[[#This Row],[weight]]</f>
        <v>2.0224677433323221E-2</v>
      </c>
      <c r="R42">
        <f>0.9155*Table2[[#This Row],[J67]]*Table2[[#This Row],[weight]]</f>
        <v>2.7669437758363591E-3</v>
      </c>
      <c r="S42">
        <f>0.9155*Table2[[#This Row],[J67'']]*Table2[[#This Row],[weight]]</f>
        <v>6.0187032724585681E-3</v>
      </c>
      <c r="T42">
        <f>0.9155*Table2[[#This Row],[J77'']]*Table2[[#This Row],[weight]]</f>
        <v>-3.0757408160125715E-2</v>
      </c>
    </row>
    <row r="43" spans="1:32" x14ac:dyDescent="0.25">
      <c r="A43" t="s">
        <v>87</v>
      </c>
      <c r="B43">
        <v>8.01</v>
      </c>
      <c r="C43">
        <v>2.2090000000000001</v>
      </c>
      <c r="D43">
        <v>1.702</v>
      </c>
      <c r="E43">
        <v>2.9020000000000001</v>
      </c>
      <c r="F43">
        <v>10.210000000000001</v>
      </c>
      <c r="G43">
        <v>11.366</v>
      </c>
      <c r="H43">
        <v>-11.397</v>
      </c>
      <c r="I43">
        <v>5.4249999999999998</v>
      </c>
      <c r="J43">
        <f>chloroform!J48</f>
        <v>7.1204403410527117E-3</v>
      </c>
      <c r="K43" t="str">
        <f>chloroform!F48</f>
        <v>4H6</v>
      </c>
      <c r="M43">
        <f>0.9155*Table2[[#This Row],[J1,2]]*Table2[[#This Row],[weight]]</f>
        <v>5.2215292689192394E-2</v>
      </c>
      <c r="N43">
        <f>0.9155*Table2[[#This Row],[J2,3]]*Table2[[#This Row],[weight]]</f>
        <v>1.4399947759104371E-2</v>
      </c>
      <c r="O43">
        <f>0.9155*Table2[[#This Row],[J34]]*Table2[[#This Row],[weight]]</f>
        <v>1.1094934851061855E-2</v>
      </c>
      <c r="P43">
        <f>0.9155*Table2[[#This Row],[J45]]*Table2[[#This Row],[weight]]</f>
        <v>1.8917450609742367E-2</v>
      </c>
      <c r="Q43">
        <f>0.9155*Table2[[#This Row],[J56]]*Table2[[#This Row],[weight]]</f>
        <v>6.6556571580106666E-2</v>
      </c>
      <c r="R43">
        <f>0.9155*Table2[[#This Row],[J67]]*Table2[[#This Row],[weight]]</f>
        <v>7.4092261760968878E-2</v>
      </c>
      <c r="S43">
        <f>0.9155*Table2[[#This Row],[J67'']]*Table2[[#This Row],[weight]]</f>
        <v>3.5364289992368139E-2</v>
      </c>
      <c r="T43">
        <f>0.9155*Table2[[#This Row],[J77'']]*Table2[[#This Row],[weight]]</f>
        <v>-7.4294343418068134E-2</v>
      </c>
    </row>
    <row r="44" spans="1:32" x14ac:dyDescent="0.25">
      <c r="A44" t="s">
        <v>88</v>
      </c>
      <c r="B44">
        <v>8.3840000000000003</v>
      </c>
      <c r="C44">
        <v>9.5069999999999997</v>
      </c>
      <c r="D44">
        <v>3.206</v>
      </c>
      <c r="E44">
        <v>11.582000000000001</v>
      </c>
      <c r="F44">
        <v>10.241</v>
      </c>
      <c r="G44">
        <v>1.863</v>
      </c>
      <c r="H44">
        <v>-12.785</v>
      </c>
      <c r="I44">
        <v>1.8660000000000001</v>
      </c>
      <c r="J44">
        <f>chloroform!J49</f>
        <v>3.389102395072556E-2</v>
      </c>
      <c r="K44" t="str">
        <f>chloroform!F49</f>
        <v>5C12</v>
      </c>
      <c r="M44">
        <f>0.9155*Table2[[#This Row],[J1,2]]*Table2[[#This Row],[weight]]</f>
        <v>0.26013231666703945</v>
      </c>
      <c r="N44">
        <f>0.9155*Table2[[#This Row],[J2,3]]*Table2[[#This Row],[weight]]</f>
        <v>0.29497589868243607</v>
      </c>
      <c r="O44">
        <f>0.9155*Table2[[#This Row],[J34]]*Table2[[#This Row],[weight]]</f>
        <v>9.9473307160606927E-2</v>
      </c>
      <c r="P44">
        <f>0.9155*Table2[[#This Row],[J45]]*Table2[[#This Row],[weight]]</f>
        <v>0.35935740596823135</v>
      </c>
      <c r="Q44">
        <f>0.9155*Table2[[#This Row],[J56]]*Table2[[#This Row],[weight]]</f>
        <v>0.31774988728377279</v>
      </c>
      <c r="R44">
        <f>0.9155*Table2[[#This Row],[J67]]*Table2[[#This Row],[weight]]</f>
        <v>5.7803734011294676E-2</v>
      </c>
      <c r="S44">
        <f>0.9155*Table2[[#This Row],[J67'']]*Table2[[#This Row],[weight]]</f>
        <v>5.7896815708575342E-2</v>
      </c>
      <c r="T44">
        <f>0.9155*Table2[[#This Row],[J77'']]*Table2[[#This Row],[weight]]</f>
        <v>-0.39668316657777902</v>
      </c>
    </row>
    <row r="45" spans="1:32" x14ac:dyDescent="0.25">
      <c r="A45" t="s">
        <v>113</v>
      </c>
      <c r="B45">
        <v>7.3070000000000004</v>
      </c>
      <c r="C45">
        <v>4.6500000000000004</v>
      </c>
      <c r="D45">
        <v>1.4079999999999999</v>
      </c>
      <c r="E45">
        <v>4.5890000000000004</v>
      </c>
      <c r="F45">
        <v>1.534</v>
      </c>
      <c r="G45">
        <v>12.442</v>
      </c>
      <c r="H45">
        <v>-10.365</v>
      </c>
      <c r="I45">
        <v>5.4059999999999997</v>
      </c>
      <c r="J45">
        <f>chloroform!J50</f>
        <v>0</v>
      </c>
      <c r="K45" t="str">
        <f>chloroform!F50</f>
        <v>12C5</v>
      </c>
      <c r="M45">
        <f>0.9155*Table2[[#This Row],[J1,2]]*Table2[[#This Row],[weight]]</f>
        <v>0</v>
      </c>
      <c r="N45">
        <f>0.9155*Table2[[#This Row],[J2,3]]*Table2[[#This Row],[weight]]</f>
        <v>0</v>
      </c>
      <c r="O45">
        <f>0.9155*Table2[[#This Row],[J34]]*Table2[[#This Row],[weight]]</f>
        <v>0</v>
      </c>
      <c r="P45">
        <f>0.9155*Table2[[#This Row],[J45]]*Table2[[#This Row],[weight]]</f>
        <v>0</v>
      </c>
      <c r="Q45">
        <f>0.9155*Table2[[#This Row],[J56]]*Table2[[#This Row],[weight]]</f>
        <v>0</v>
      </c>
      <c r="R45">
        <f>0.9155*Table2[[#This Row],[J67]]*Table2[[#This Row],[weight]]</f>
        <v>0</v>
      </c>
      <c r="S45">
        <f>0.9155*Table2[[#This Row],[J67'']]*Table2[[#This Row],[weight]]</f>
        <v>0</v>
      </c>
      <c r="T45">
        <f>0.9155*Table2[[#This Row],[J77'']]*Table2[[#This Row],[weight]]</f>
        <v>0</v>
      </c>
    </row>
    <row r="46" spans="1:32" x14ac:dyDescent="0.25">
      <c r="A46" t="s">
        <v>114</v>
      </c>
      <c r="B46">
        <v>7.71</v>
      </c>
      <c r="C46">
        <v>4.306</v>
      </c>
      <c r="D46">
        <v>1.542</v>
      </c>
      <c r="E46">
        <v>5.258</v>
      </c>
      <c r="F46">
        <v>2.0510000000000002</v>
      </c>
      <c r="G46">
        <v>1.212</v>
      </c>
      <c r="H46">
        <v>-13.64</v>
      </c>
      <c r="I46">
        <v>10.287000000000001</v>
      </c>
      <c r="J46">
        <f>chloroform!J51</f>
        <v>0</v>
      </c>
      <c r="K46" t="str">
        <f>chloroform!F51</f>
        <v>12C5</v>
      </c>
      <c r="M46">
        <f>0.9155*Table2[[#This Row],[J1,2]]*Table2[[#This Row],[weight]]</f>
        <v>0</v>
      </c>
      <c r="N46">
        <f>0.9155*Table2[[#This Row],[J2,3]]*Table2[[#This Row],[weight]]</f>
        <v>0</v>
      </c>
      <c r="O46">
        <f>0.9155*Table2[[#This Row],[J34]]*Table2[[#This Row],[weight]]</f>
        <v>0</v>
      </c>
      <c r="P46">
        <f>0.9155*Table2[[#This Row],[J45]]*Table2[[#This Row],[weight]]</f>
        <v>0</v>
      </c>
      <c r="Q46">
        <f>0.9155*Table2[[#This Row],[J56]]*Table2[[#This Row],[weight]]</f>
        <v>0</v>
      </c>
      <c r="R46">
        <f>0.9155*Table2[[#This Row],[J67]]*Table2[[#This Row],[weight]]</f>
        <v>0</v>
      </c>
      <c r="S46">
        <f>0.9155*Table2[[#This Row],[J67'']]*Table2[[#This Row],[weight]]</f>
        <v>0</v>
      </c>
      <c r="T46">
        <f>0.9155*Table2[[#This Row],[J77'']]*Table2[[#This Row],[weight]]</f>
        <v>0</v>
      </c>
    </row>
    <row r="47" spans="1:32" x14ac:dyDescent="0.25">
      <c r="A47" t="s">
        <v>115</v>
      </c>
      <c r="B47">
        <v>7.9450000000000003</v>
      </c>
      <c r="C47">
        <v>9.6859999999999999</v>
      </c>
      <c r="D47">
        <v>2.5680000000000001</v>
      </c>
      <c r="E47">
        <v>11.843</v>
      </c>
      <c r="F47">
        <v>9.8919999999999995</v>
      </c>
      <c r="G47">
        <v>0.96199999999999997</v>
      </c>
      <c r="H47">
        <v>-14.106</v>
      </c>
      <c r="I47">
        <v>3.2130000000000001</v>
      </c>
      <c r="J47" s="4">
        <f>chloroform!J52</f>
        <v>0</v>
      </c>
      <c r="K47" t="str">
        <f>chloroform!F52</f>
        <v>5C12</v>
      </c>
      <c r="M47">
        <f>0.9155*Table2[[#This Row],[J1,2]]*Table2[[#This Row],[weight]]</f>
        <v>0</v>
      </c>
      <c r="N47">
        <f>0.9155*Table2[[#This Row],[J2,3]]*Table2[[#This Row],[weight]]</f>
        <v>0</v>
      </c>
      <c r="O47">
        <f>0.9155*Table2[[#This Row],[J34]]*Table2[[#This Row],[weight]]</f>
        <v>0</v>
      </c>
      <c r="P47">
        <f>0.9155*Table2[[#This Row],[J45]]*Table2[[#This Row],[weight]]</f>
        <v>0</v>
      </c>
      <c r="Q47">
        <f>0.9155*Table2[[#This Row],[J56]]*Table2[[#This Row],[weight]]</f>
        <v>0</v>
      </c>
      <c r="R47">
        <f>0.9155*Table2[[#This Row],[J67]]*Table2[[#This Row],[weight]]</f>
        <v>0</v>
      </c>
      <c r="S47">
        <f>0.9155*Table2[[#This Row],[J67'']]*Table2[[#This Row],[weight]]</f>
        <v>0</v>
      </c>
      <c r="T47">
        <f>0.9155*Table2[[#This Row],[J77'']]*Table2[[#This Row],[weight]]</f>
        <v>0</v>
      </c>
    </row>
    <row r="48" spans="1:32" x14ac:dyDescent="0.25">
      <c r="A48" t="s">
        <v>89</v>
      </c>
      <c r="B48">
        <v>7.7770000000000001</v>
      </c>
      <c r="C48">
        <v>9.6180000000000003</v>
      </c>
      <c r="D48">
        <v>3.2610000000000001</v>
      </c>
      <c r="E48">
        <v>11.61</v>
      </c>
      <c r="F48">
        <v>10.763</v>
      </c>
      <c r="G48">
        <v>10.298999999999999</v>
      </c>
      <c r="H48">
        <v>-11.920999999999999</v>
      </c>
      <c r="I48">
        <v>2.0219999999999998</v>
      </c>
      <c r="J48" s="4">
        <f>chloroform!J53</f>
        <v>7.2327591341994988E-3</v>
      </c>
      <c r="K48" t="str">
        <f>chloroform!F53</f>
        <v>5C12</v>
      </c>
      <c r="M48">
        <f>0.9155*Table2[[#This Row],[J1,2]]*Table2[[#This Row],[weight]]</f>
        <v>5.149611310869593E-2</v>
      </c>
      <c r="N48">
        <f>0.9155*Table2[[#This Row],[J2,3]]*Table2[[#This Row],[weight]]</f>
        <v>6.3686462116425036E-2</v>
      </c>
      <c r="O48">
        <f>0.9155*Table2[[#This Row],[J34]]*Table2[[#This Row],[weight]]</f>
        <v>2.1593008209779791E-2</v>
      </c>
      <c r="P48">
        <f>0.9155*Table2[[#This Row],[J45]]*Table2[[#This Row],[weight]]</f>
        <v>7.6876671363245427E-2</v>
      </c>
      <c r="Q48">
        <f>0.9155*Table2[[#This Row],[J56]]*Table2[[#This Row],[weight]]</f>
        <v>7.1268183796951809E-2</v>
      </c>
      <c r="R48">
        <f>0.9155*Table2[[#This Row],[J67]]*Table2[[#This Row],[weight]]</f>
        <v>6.8195765578816944E-2</v>
      </c>
      <c r="S48">
        <f>0.9155*Table2[[#This Row],[J67'']]*Table2[[#This Row],[weight]]</f>
        <v>1.3388856976441193E-2</v>
      </c>
      <c r="T48">
        <f>0.9155*Table2[[#This Row],[J77'']]*Table2[[#This Row],[weight]]</f>
        <v>-7.8935986160314275E-2</v>
      </c>
    </row>
    <row r="49" spans="1:30" x14ac:dyDescent="0.25">
      <c r="A49" t="s">
        <v>35</v>
      </c>
      <c r="B49">
        <v>7.4260000000000002</v>
      </c>
      <c r="C49">
        <v>9.6319999999999997</v>
      </c>
      <c r="D49">
        <v>2.8889999999999998</v>
      </c>
      <c r="E49">
        <v>11.404</v>
      </c>
      <c r="F49">
        <v>11.605</v>
      </c>
      <c r="G49">
        <v>0.218</v>
      </c>
      <c r="H49">
        <v>-13.374000000000001</v>
      </c>
      <c r="I49">
        <v>7.2910000000000004</v>
      </c>
      <c r="J49" s="4">
        <f>chloroform!J54</f>
        <v>2.083749674702386E-4</v>
      </c>
      <c r="K49" t="str">
        <f>chloroform!F54</f>
        <v>5C12</v>
      </c>
      <c r="M49">
        <f>0.9155*Table2[[#This Row],[J1,2]]*Table2[[#This Row],[weight]]</f>
        <v>1.4166378414713196E-3</v>
      </c>
      <c r="N49">
        <f>0.9155*Table2[[#This Row],[J2,3]]*Table2[[#This Row],[weight]]</f>
        <v>1.8374704671494408E-3</v>
      </c>
      <c r="O49">
        <f>0.9155*Table2[[#This Row],[J34]]*Table2[[#This Row],[weight]]</f>
        <v>5.5112667977520085E-4</v>
      </c>
      <c r="P49">
        <f>0.9155*Table2[[#This Row],[J45]]*Table2[[#This Row],[weight]]</f>
        <v>2.1755100921275151E-3</v>
      </c>
      <c r="Q49">
        <f>0.9155*Table2[[#This Row],[J56]]*Table2[[#This Row],[weight]]</f>
        <v>2.213854315954035E-3</v>
      </c>
      <c r="R49">
        <f>0.9155*Table2[[#This Row],[J67]]*Table2[[#This Row],[weight]]</f>
        <v>4.158726763274275E-5</v>
      </c>
      <c r="S49">
        <f>0.9155*Table2[[#This Row],[J67'']]*Table2[[#This Row],[weight]]</f>
        <v>1.3908842583042541E-3</v>
      </c>
      <c r="T49">
        <f>0.9155*Table2[[#This Row],[J77'']]*Table2[[#This Row],[weight]]</f>
        <v>-2.551321639083952E-3</v>
      </c>
    </row>
    <row r="50" spans="1:30" x14ac:dyDescent="0.25">
      <c r="A50" t="s">
        <v>90</v>
      </c>
      <c r="B50">
        <v>7.851</v>
      </c>
      <c r="C50">
        <v>9.6039999999999992</v>
      </c>
      <c r="D50">
        <v>3.1070000000000002</v>
      </c>
      <c r="E50">
        <v>11.244</v>
      </c>
      <c r="F50">
        <v>10.811</v>
      </c>
      <c r="G50">
        <v>1.841</v>
      </c>
      <c r="H50">
        <v>-13.474</v>
      </c>
      <c r="I50">
        <v>11.539</v>
      </c>
      <c r="J50" s="4">
        <f>chloroform!J55</f>
        <v>5.0066633606989631E-2</v>
      </c>
      <c r="K50" t="str">
        <f>chloroform!F55</f>
        <v>5C12</v>
      </c>
      <c r="M50">
        <f>0.9155*Table2[[#This Row],[J1,2]]*Table2[[#This Row],[weight]]</f>
        <v>0.35985846008057942</v>
      </c>
      <c r="N50">
        <f>0.9155*Table2[[#This Row],[J2,3]]*Table2[[#This Row],[weight]]</f>
        <v>0.44020897345737919</v>
      </c>
      <c r="O50">
        <f>0.9155*Table2[[#This Row],[J34]]*Table2[[#This Row],[weight]]</f>
        <v>0.14241246152978732</v>
      </c>
      <c r="P50">
        <f>0.9155*Table2[[#This Row],[J45]]*Table2[[#This Row],[weight]]</f>
        <v>0.51538001848758563</v>
      </c>
      <c r="Q50">
        <f>0.9155*Table2[[#This Row],[J56]]*Table2[[#This Row],[weight]]</f>
        <v>0.49553302915948844</v>
      </c>
      <c r="R50">
        <f>0.9155*Table2[[#This Row],[J67]]*Table2[[#This Row],[weight]]</f>
        <v>8.4384081646713363E-2</v>
      </c>
      <c r="S50">
        <f>0.9155*Table2[[#This Row],[J67'']]*Table2[[#This Row],[weight]]</f>
        <v>0.52890163939240931</v>
      </c>
      <c r="T50">
        <f>0.9155*Table2[[#This Row],[J77'']]*Table2[[#This Row],[weight]]</f>
        <v>-0.61759430532743942</v>
      </c>
    </row>
    <row r="51" spans="1:30" x14ac:dyDescent="0.25">
      <c r="A51" t="s">
        <v>91</v>
      </c>
      <c r="B51">
        <v>8.0009999999999994</v>
      </c>
      <c r="C51">
        <v>9.673</v>
      </c>
      <c r="D51">
        <v>3.1280000000000001</v>
      </c>
      <c r="E51">
        <v>11.555999999999999</v>
      </c>
      <c r="F51">
        <v>9.9169999999999998</v>
      </c>
      <c r="G51">
        <v>10.257999999999999</v>
      </c>
      <c r="H51">
        <v>-11.692</v>
      </c>
      <c r="I51">
        <v>1.8280000000000001</v>
      </c>
      <c r="J51" s="4">
        <f>chloroform!J56</f>
        <v>3.6685112455900641E-4</v>
      </c>
      <c r="K51" t="str">
        <f>chloroform!F56</f>
        <v>5C12</v>
      </c>
      <c r="M51">
        <f>0.9155*Table2[[#This Row],[J1,2]]*Table2[[#This Row],[weight]]</f>
        <v>2.6871534884746963E-3</v>
      </c>
      <c r="N51">
        <f>0.9155*Table2[[#This Row],[J2,3]]*Table2[[#This Row],[weight]]</f>
        <v>3.2486983744551604E-3</v>
      </c>
      <c r="O51">
        <f>0.9155*Table2[[#This Row],[J34]]*Table2[[#This Row],[weight]]</f>
        <v>1.0505456957816336E-3</v>
      </c>
      <c r="P51">
        <f>0.9155*Table2[[#This Row],[J45]]*Table2[[#This Row],[weight]]</f>
        <v>3.8811080755922498E-3</v>
      </c>
      <c r="Q51">
        <f>0.9155*Table2[[#This Row],[J56]]*Table2[[#This Row],[weight]]</f>
        <v>3.3306463123614007E-3</v>
      </c>
      <c r="R51">
        <f>0.9155*Table2[[#This Row],[J67]]*Table2[[#This Row],[weight]]</f>
        <v>3.445171914107416E-3</v>
      </c>
      <c r="S51">
        <f>0.9155*Table2[[#This Row],[J67'']]*Table2[[#This Row],[weight]]</f>
        <v>6.1393782988773227E-4</v>
      </c>
      <c r="T51">
        <f>0.9155*Table2[[#This Row],[J77'']]*Table2[[#This Row],[weight]]</f>
        <v>-3.9267839754088436E-3</v>
      </c>
      <c r="AA51" s="5"/>
      <c r="AB51" s="5"/>
      <c r="AC51" s="5"/>
      <c r="AD51" s="5"/>
    </row>
    <row r="52" spans="1:30" x14ac:dyDescent="0.25">
      <c r="A52" t="s">
        <v>92</v>
      </c>
      <c r="B52">
        <v>7.7320000000000002</v>
      </c>
      <c r="C52">
        <v>9.64</v>
      </c>
      <c r="D52">
        <v>3.1120000000000001</v>
      </c>
      <c r="E52">
        <v>11.586</v>
      </c>
      <c r="F52">
        <v>10.097</v>
      </c>
      <c r="G52">
        <v>1.615</v>
      </c>
      <c r="H52">
        <v>-13.877000000000001</v>
      </c>
      <c r="I52">
        <v>11.313000000000001</v>
      </c>
      <c r="J52" s="4">
        <f>chloroform!J57</f>
        <v>1.0160227235357724E-3</v>
      </c>
      <c r="K52" t="str">
        <f>chloroform!F57</f>
        <v>5C12</v>
      </c>
      <c r="M52">
        <f>0.9155*Table2[[#This Row],[J1,2]]*Table2[[#This Row],[weight]]</f>
        <v>7.1920651878656016E-3</v>
      </c>
      <c r="N52">
        <f>0.9155*Table2[[#This Row],[J2,3]]*Table2[[#This Row],[weight]]</f>
        <v>8.9668272647470786E-3</v>
      </c>
      <c r="O52">
        <f>0.9155*Table2[[#This Row],[J34]]*Table2[[#This Row],[weight]]</f>
        <v>2.8946853161714628E-3</v>
      </c>
      <c r="P52">
        <f>0.9155*Table2[[#This Row],[J45]]*Table2[[#This Row],[weight]]</f>
        <v>1.0776935756157638E-2</v>
      </c>
      <c r="Q52">
        <f>0.9155*Table2[[#This Row],[J56]]*Table2[[#This Row],[weight]]</f>
        <v>9.3919144078995036E-3</v>
      </c>
      <c r="R52">
        <f>0.9155*Table2[[#This Row],[J67]]*Table2[[#This Row],[weight]]</f>
        <v>1.5022226174861545E-3</v>
      </c>
      <c r="S52">
        <f>0.9155*Table2[[#This Row],[J67'']]*Table2[[#This Row],[weight]]</f>
        <v>1.0522999672830258E-2</v>
      </c>
      <c r="T52">
        <f>0.9155*Table2[[#This Row],[J77'']]*Table2[[#This Row],[weight]]</f>
        <v>-1.2907952484740165E-2</v>
      </c>
    </row>
    <row r="53" spans="1:30" x14ac:dyDescent="0.25">
      <c r="A53" t="s">
        <v>93</v>
      </c>
      <c r="B53">
        <v>8.2629999999999999</v>
      </c>
      <c r="C53">
        <v>5.1920000000000002</v>
      </c>
      <c r="D53">
        <v>3.12</v>
      </c>
      <c r="E53">
        <v>10.851000000000001</v>
      </c>
      <c r="F53">
        <v>10.433</v>
      </c>
      <c r="G53">
        <v>2.4660000000000002</v>
      </c>
      <c r="H53">
        <v>-13.84</v>
      </c>
      <c r="I53">
        <v>1.4510000000000001</v>
      </c>
      <c r="J53" s="4">
        <f>chloroform!J58</f>
        <v>6.6177406450344546E-5</v>
      </c>
      <c r="K53" t="str">
        <f>chloroform!F58</f>
        <v>56E</v>
      </c>
      <c r="M53">
        <f>0.9155*Table2[[#This Row],[J1,2]]*Table2[[#This Row],[weight]]</f>
        <v>5.0061728914651486E-4</v>
      </c>
      <c r="N53">
        <f>0.9155*Table2[[#This Row],[J2,3]]*Table2[[#This Row],[weight]]</f>
        <v>3.1455947782266789E-4</v>
      </c>
      <c r="O53">
        <f>0.9155*Table2[[#This Row],[J34]]*Table2[[#This Row],[weight]]</f>
        <v>1.8902649668850615E-4</v>
      </c>
      <c r="P53">
        <f>0.9155*Table2[[#This Row],[J45]]*Table2[[#This Row],[weight]]</f>
        <v>6.5741234473300648E-4</v>
      </c>
      <c r="Q53">
        <f>0.9155*Table2[[#This Row],[J56]]*Table2[[#This Row],[weight]]</f>
        <v>6.3208764100999512E-4</v>
      </c>
      <c r="R53">
        <f>0.9155*Table2[[#This Row],[J67]]*Table2[[#This Row],[weight]]</f>
        <v>1.494036348826462E-4</v>
      </c>
      <c r="S53">
        <f>0.9155*Table2[[#This Row],[J67'']]*Table2[[#This Row],[weight]]</f>
        <v>8.7909438043276417E-5</v>
      </c>
      <c r="T53">
        <f>0.9155*Table2[[#This Row],[J77'']]*Table2[[#This Row],[weight]]</f>
        <v>-8.3850215197721952E-4</v>
      </c>
    </row>
    <row r="54" spans="1:30" x14ac:dyDescent="0.25">
      <c r="A54" t="s">
        <v>94</v>
      </c>
      <c r="B54">
        <v>8.1359999999999992</v>
      </c>
      <c r="C54">
        <v>2.2959999999999998</v>
      </c>
      <c r="D54">
        <v>2.145</v>
      </c>
      <c r="E54">
        <v>3.1349999999999998</v>
      </c>
      <c r="F54">
        <v>9.2989999999999995</v>
      </c>
      <c r="G54">
        <v>12.37</v>
      </c>
      <c r="H54">
        <v>-12.305999999999999</v>
      </c>
      <c r="I54">
        <v>5.3520000000000003</v>
      </c>
      <c r="J54" s="4">
        <f>chloroform!J59</f>
        <v>1.030239157805673E-2</v>
      </c>
      <c r="K54" t="str">
        <f>chloroform!F59</f>
        <v>4H6</v>
      </c>
      <c r="M54">
        <f>0.9155*Table2[[#This Row],[J1,2]]*Table2[[#This Row],[weight]]</f>
        <v>7.6737446088288169E-2</v>
      </c>
      <c r="N54">
        <f>0.9155*Table2[[#This Row],[J2,3]]*Table2[[#This Row],[weight]]</f>
        <v>2.165550346837631E-2</v>
      </c>
      <c r="O54">
        <f>0.9155*Table2[[#This Row],[J34]]*Table2[[#This Row],[weight]]</f>
        <v>2.0231295705429957E-2</v>
      </c>
      <c r="P54">
        <f>0.9155*Table2[[#This Row],[J45]]*Table2[[#This Row],[weight]]</f>
        <v>2.9568816800243782E-2</v>
      </c>
      <c r="Q54">
        <f>0.9155*Table2[[#This Row],[J56]]*Table2[[#This Row],[weight]]</f>
        <v>8.7706675414821994E-2</v>
      </c>
      <c r="R54">
        <f>0.9155*Table2[[#This Row],[J67]]*Table2[[#This Row],[weight]]</f>
        <v>0.11667185448772427</v>
      </c>
      <c r="S54">
        <f>0.9155*Table2[[#This Row],[J67'']]*Table2[[#This Row],[weight]]</f>
        <v>5.0479204948932932E-2</v>
      </c>
      <c r="T54">
        <f>0.9155*Table2[[#This Row],[J77'']]*Table2[[#This Row],[weight]]</f>
        <v>-0.11606821676038279</v>
      </c>
    </row>
    <row r="55" spans="1:30" x14ac:dyDescent="0.25">
      <c r="A55" t="s">
        <v>95</v>
      </c>
      <c r="B55">
        <v>7.8230000000000004</v>
      </c>
      <c r="C55">
        <v>9.6460000000000008</v>
      </c>
      <c r="D55">
        <v>3.19</v>
      </c>
      <c r="E55">
        <v>11.573</v>
      </c>
      <c r="F55">
        <v>10.56</v>
      </c>
      <c r="G55">
        <v>10.345000000000001</v>
      </c>
      <c r="H55">
        <v>-13.125999999999999</v>
      </c>
      <c r="I55">
        <v>1.67</v>
      </c>
      <c r="J55" s="4">
        <f>chloroform!J60</f>
        <v>1.04232169145276E-3</v>
      </c>
      <c r="K55" t="str">
        <f>chloroform!F60</f>
        <v>5C12</v>
      </c>
      <c r="M55">
        <f>0.9155*Table2[[#This Row],[J1,2]]*Table2[[#This Row],[weight]]</f>
        <v>7.4650626131910897E-3</v>
      </c>
      <c r="N55">
        <f>0.9155*Table2[[#This Row],[J2,3]]*Table2[[#This Row],[weight]]</f>
        <v>9.204652175232168E-3</v>
      </c>
      <c r="O55">
        <f>0.9155*Table2[[#This Row],[J34]]*Table2[[#This Row],[weight]]</f>
        <v>3.0440431721947556E-3</v>
      </c>
      <c r="P55">
        <f>0.9155*Table2[[#This Row],[J45]]*Table2[[#This Row],[weight]]</f>
        <v>1.1043483270159846E-2</v>
      </c>
      <c r="Q55">
        <f>0.9155*Table2[[#This Row],[J56]]*Table2[[#This Row],[weight]]</f>
        <v>1.007683257002402E-2</v>
      </c>
      <c r="R55">
        <f>0.9155*Table2[[#This Row],[J67]]*Table2[[#This Row],[weight]]</f>
        <v>9.8716697856911437E-3</v>
      </c>
      <c r="S55">
        <f>0.9155*Table2[[#This Row],[J67'']]*Table2[[#This Row],[weight]]</f>
        <v>1.5935899992367527E-3</v>
      </c>
      <c r="T55">
        <f>0.9155*Table2[[#This Row],[J77'']]*Table2[[#This Row],[weight]]</f>
        <v>-1.2525426544899172E-2</v>
      </c>
    </row>
    <row r="56" spans="1:30" x14ac:dyDescent="0.25">
      <c r="A56" t="s">
        <v>96</v>
      </c>
      <c r="B56">
        <v>8.3130000000000006</v>
      </c>
      <c r="C56">
        <v>2.1040000000000001</v>
      </c>
      <c r="D56">
        <v>2.2330000000000001</v>
      </c>
      <c r="E56">
        <v>0.77</v>
      </c>
      <c r="F56">
        <v>12.39</v>
      </c>
      <c r="G56">
        <v>7.7210000000000001</v>
      </c>
      <c r="H56">
        <v>-12.673999999999999</v>
      </c>
      <c r="I56">
        <v>0.45300000000000001</v>
      </c>
      <c r="J56" s="4">
        <f>chloroform!J61</f>
        <v>2.2383726649305704E-3</v>
      </c>
      <c r="K56" t="str">
        <f>chloroform!F61</f>
        <v>4H6</v>
      </c>
      <c r="M56">
        <f>0.9155*Table2[[#This Row],[J1,2]]*Table2[[#This Row],[weight]]</f>
        <v>1.7035250442646352E-2</v>
      </c>
      <c r="N56">
        <f>0.9155*Table2[[#This Row],[J2,3]]*Table2[[#This Row],[weight]]</f>
        <v>4.3115802876612444E-3</v>
      </c>
      <c r="O56">
        <f>0.9155*Table2[[#This Row],[J34]]*Table2[[#This Row],[weight]]</f>
        <v>4.5759309802032118E-3</v>
      </c>
      <c r="P56">
        <f>0.9155*Table2[[#This Row],[J45]]*Table2[[#This Row],[weight]]</f>
        <v>1.5779072345528317E-3</v>
      </c>
      <c r="Q56">
        <f>0.9155*Table2[[#This Row],[J56]]*Table2[[#This Row],[weight]]</f>
        <v>2.5389961865077384E-2</v>
      </c>
      <c r="R56">
        <f>0.9155*Table2[[#This Row],[J67]]*Table2[[#This Row],[weight]]</f>
        <v>1.582210617919794E-2</v>
      </c>
      <c r="S56">
        <f>0.9155*Table2[[#This Row],[J67'']]*Table2[[#This Row],[weight]]</f>
        <v>9.2830126915900365E-4</v>
      </c>
      <c r="T56">
        <f>0.9155*Table2[[#This Row],[J77'']]*Table2[[#This Row],[weight]]</f>
        <v>-2.5971943234704659E-2</v>
      </c>
    </row>
    <row r="57" spans="1:30" x14ac:dyDescent="0.25">
      <c r="A57" t="s">
        <v>116</v>
      </c>
      <c r="B57">
        <v>8.359</v>
      </c>
      <c r="C57">
        <v>2.3479999999999999</v>
      </c>
      <c r="D57">
        <v>1.512</v>
      </c>
      <c r="E57">
        <v>2.5659999999999998</v>
      </c>
      <c r="F57">
        <v>10.856</v>
      </c>
      <c r="G57">
        <v>0.33100000000000002</v>
      </c>
      <c r="H57">
        <v>-13.724</v>
      </c>
      <c r="I57">
        <v>8.1159999999999997</v>
      </c>
      <c r="J57" s="4">
        <f>chloroform!J62</f>
        <v>0</v>
      </c>
      <c r="K57" t="str">
        <f>chloroform!F62</f>
        <v>4H6</v>
      </c>
      <c r="M57">
        <f>0.9155*Table2[[#This Row],[J1,2]]*Table2[[#This Row],[weight]]</f>
        <v>0</v>
      </c>
      <c r="N57">
        <f>0.9155*Table2[[#This Row],[J2,3]]*Table2[[#This Row],[weight]]</f>
        <v>0</v>
      </c>
      <c r="O57">
        <f>0.9155*Table2[[#This Row],[J34]]*Table2[[#This Row],[weight]]</f>
        <v>0</v>
      </c>
      <c r="P57">
        <f>0.9155*Table2[[#This Row],[J45]]*Table2[[#This Row],[weight]]</f>
        <v>0</v>
      </c>
      <c r="Q57">
        <f>0.9155*Table2[[#This Row],[J56]]*Table2[[#This Row],[weight]]</f>
        <v>0</v>
      </c>
      <c r="R57">
        <f>0.9155*Table2[[#This Row],[J67]]*Table2[[#This Row],[weight]]</f>
        <v>0</v>
      </c>
      <c r="S57">
        <f>0.9155*Table2[[#This Row],[J67'']]*Table2[[#This Row],[weight]]</f>
        <v>0</v>
      </c>
      <c r="T57">
        <f>0.9155*Table2[[#This Row],[J77'']]*Table2[[#This Row],[weight]]</f>
        <v>0</v>
      </c>
    </row>
    <row r="58" spans="1:30" x14ac:dyDescent="0.25">
      <c r="A58" t="s">
        <v>117</v>
      </c>
      <c r="B58">
        <v>8.3309999999999995</v>
      </c>
      <c r="C58">
        <v>2.343</v>
      </c>
      <c r="D58">
        <v>1.524</v>
      </c>
      <c r="E58">
        <v>2.16</v>
      </c>
      <c r="F58">
        <v>11.792999999999999</v>
      </c>
      <c r="G58">
        <v>1.845</v>
      </c>
      <c r="H58">
        <v>-12.763999999999999</v>
      </c>
      <c r="I58">
        <v>10.965</v>
      </c>
      <c r="J58" s="4">
        <f>chloroform!J63</f>
        <v>0</v>
      </c>
      <c r="K58" t="str">
        <f>chloroform!F63</f>
        <v>4H6</v>
      </c>
      <c r="M58">
        <f>0.9155*Table2[[#This Row],[J1,2]]*Table2[[#This Row],[weight]]</f>
        <v>0</v>
      </c>
      <c r="N58">
        <f>0.9155*Table2[[#This Row],[J2,3]]*Table2[[#This Row],[weight]]</f>
        <v>0</v>
      </c>
      <c r="O58">
        <f>0.9155*Table2[[#This Row],[J34]]*Table2[[#This Row],[weight]]</f>
        <v>0</v>
      </c>
      <c r="P58">
        <f>0.9155*Table2[[#This Row],[J45]]*Table2[[#This Row],[weight]]</f>
        <v>0</v>
      </c>
      <c r="Q58">
        <f>0.9155*Table2[[#This Row],[J56]]*Table2[[#This Row],[weight]]</f>
        <v>0</v>
      </c>
      <c r="R58">
        <f>0.9155*Table2[[#This Row],[J67]]*Table2[[#This Row],[weight]]</f>
        <v>0</v>
      </c>
      <c r="S58">
        <f>0.9155*Table2[[#This Row],[J67'']]*Table2[[#This Row],[weight]]</f>
        <v>0</v>
      </c>
      <c r="T58">
        <f>0.9155*Table2[[#This Row],[J77'']]*Table2[[#This Row],[weight]]</f>
        <v>0</v>
      </c>
    </row>
    <row r="59" spans="1:30" x14ac:dyDescent="0.25">
      <c r="A59" t="s">
        <v>97</v>
      </c>
      <c r="B59">
        <v>7.8869999999999996</v>
      </c>
      <c r="C59">
        <v>9.7390000000000008</v>
      </c>
      <c r="D59">
        <v>2.9470000000000001</v>
      </c>
      <c r="E59">
        <v>11.532</v>
      </c>
      <c r="F59">
        <v>10.148999999999999</v>
      </c>
      <c r="G59">
        <v>10.340999999999999</v>
      </c>
      <c r="H59">
        <v>-12.941000000000001</v>
      </c>
      <c r="I59">
        <v>1.391</v>
      </c>
      <c r="J59" s="4">
        <f>chloroform!J64</f>
        <v>1.4985359940182793E-4</v>
      </c>
      <c r="K59" t="str">
        <f>chloroform!F64</f>
        <v>5C12</v>
      </c>
      <c r="M59">
        <f>0.9155*Table2[[#This Row],[J1,2]]*Table2[[#This Row],[weight]]</f>
        <v>1.0820251823804694E-3</v>
      </c>
      <c r="N59">
        <f>0.9155*Table2[[#This Row],[J2,3]]*Table2[[#This Row],[weight]]</f>
        <v>1.3361028592878653E-3</v>
      </c>
      <c r="O59">
        <f>0.9155*Table2[[#This Row],[J34]]*Table2[[#This Row],[weight]]</f>
        <v>4.0430178933374461E-4</v>
      </c>
      <c r="P59">
        <f>0.9155*Table2[[#This Row],[J45]]*Table2[[#This Row],[weight]]</f>
        <v>1.5820862689503708E-3</v>
      </c>
      <c r="Q59">
        <f>0.9155*Table2[[#This Row],[J56]]*Table2[[#This Row],[weight]]</f>
        <v>1.392351157091338E-3</v>
      </c>
      <c r="R59">
        <f>0.9155*Table2[[#This Row],[J67]]*Table2[[#This Row],[weight]]</f>
        <v>1.418691823379794E-3</v>
      </c>
      <c r="S59">
        <f>0.9155*Table2[[#This Row],[J67'']]*Table2[[#This Row],[weight]]</f>
        <v>1.9083263962105148E-4</v>
      </c>
      <c r="T59">
        <f>0.9155*Table2[[#This Row],[J77'']]*Table2[[#This Row],[weight]]</f>
        <v>-1.7753883460359652E-3</v>
      </c>
    </row>
    <row r="60" spans="1:30" x14ac:dyDescent="0.25">
      <c r="A60" t="s">
        <v>118</v>
      </c>
      <c r="B60">
        <v>9.173</v>
      </c>
      <c r="C60">
        <v>9.6219999999999999</v>
      </c>
      <c r="D60">
        <v>7.2910000000000004</v>
      </c>
      <c r="E60">
        <v>0.496</v>
      </c>
      <c r="F60">
        <v>4.1260000000000003</v>
      </c>
      <c r="G60">
        <v>13.627000000000001</v>
      </c>
      <c r="H60">
        <v>-12.285</v>
      </c>
      <c r="I60">
        <v>5.569</v>
      </c>
      <c r="J60" s="4">
        <f>chloroform!J65</f>
        <v>0</v>
      </c>
      <c r="K60" t="str">
        <f>chloroform!F65</f>
        <v>E45</v>
      </c>
      <c r="M60">
        <f>0.9155*Table2[[#This Row],[J1,2]]*Table2[[#This Row],[weight]]</f>
        <v>0</v>
      </c>
      <c r="N60">
        <f>0.9155*Table2[[#This Row],[J2,3]]*Table2[[#This Row],[weight]]</f>
        <v>0</v>
      </c>
      <c r="O60">
        <f>0.9155*Table2[[#This Row],[J34]]*Table2[[#This Row],[weight]]</f>
        <v>0</v>
      </c>
      <c r="P60">
        <f>0.9155*Table2[[#This Row],[J45]]*Table2[[#This Row],[weight]]</f>
        <v>0</v>
      </c>
      <c r="Q60">
        <f>0.9155*Table2[[#This Row],[J56]]*Table2[[#This Row],[weight]]</f>
        <v>0</v>
      </c>
      <c r="R60">
        <f>0.9155*Table2[[#This Row],[J67]]*Table2[[#This Row],[weight]]</f>
        <v>0</v>
      </c>
      <c r="S60">
        <f>0.9155*Table2[[#This Row],[J67'']]*Table2[[#This Row],[weight]]</f>
        <v>0</v>
      </c>
      <c r="T60">
        <f>0.9155*Table2[[#This Row],[J77'']]*Table2[[#This Row],[weight]]</f>
        <v>0</v>
      </c>
    </row>
    <row r="61" spans="1:30" x14ac:dyDescent="0.25">
      <c r="A61" t="s">
        <v>119</v>
      </c>
      <c r="B61">
        <v>9.3719999999999999</v>
      </c>
      <c r="C61">
        <v>9.0079999999999991</v>
      </c>
      <c r="D61">
        <v>7.9119999999999999</v>
      </c>
      <c r="E61">
        <v>0.67600000000000005</v>
      </c>
      <c r="F61">
        <v>4.32</v>
      </c>
      <c r="G61">
        <v>1.917</v>
      </c>
      <c r="H61">
        <v>-13.887</v>
      </c>
      <c r="I61">
        <v>11.785</v>
      </c>
      <c r="J61" s="4">
        <f>chloroform!J66</f>
        <v>0</v>
      </c>
      <c r="K61" t="str">
        <f>chloroform!F66</f>
        <v>E45</v>
      </c>
      <c r="M61">
        <f>0.9155*Table2[[#This Row],[J1,2]]*Table2[[#This Row],[weight]]</f>
        <v>0</v>
      </c>
      <c r="N61">
        <f>0.9155*Table2[[#This Row],[J2,3]]*Table2[[#This Row],[weight]]</f>
        <v>0</v>
      </c>
      <c r="O61">
        <f>0.9155*Table2[[#This Row],[J34]]*Table2[[#This Row],[weight]]</f>
        <v>0</v>
      </c>
      <c r="P61">
        <f>0.9155*Table2[[#This Row],[J45]]*Table2[[#This Row],[weight]]</f>
        <v>0</v>
      </c>
      <c r="Q61">
        <f>0.9155*Table2[[#This Row],[J56]]*Table2[[#This Row],[weight]]</f>
        <v>0</v>
      </c>
      <c r="R61">
        <f>0.9155*Table2[[#This Row],[J67]]*Table2[[#This Row],[weight]]</f>
        <v>0</v>
      </c>
      <c r="S61">
        <f>0.9155*Table2[[#This Row],[J67'']]*Table2[[#This Row],[weight]]</f>
        <v>0</v>
      </c>
      <c r="T61">
        <f>0.9155*Table2[[#This Row],[J77'']]*Table2[[#This Row],[weight]]</f>
        <v>0</v>
      </c>
    </row>
    <row r="62" spans="1:30" x14ac:dyDescent="0.25">
      <c r="A62" t="s">
        <v>98</v>
      </c>
      <c r="B62">
        <v>8.7739999999999991</v>
      </c>
      <c r="C62">
        <v>7.9809999999999999</v>
      </c>
      <c r="D62">
        <v>7.3209999999999997</v>
      </c>
      <c r="E62">
        <v>11.122999999999999</v>
      </c>
      <c r="F62">
        <v>10.435</v>
      </c>
      <c r="G62">
        <v>1.6779999999999999</v>
      </c>
      <c r="H62">
        <v>-13.105</v>
      </c>
      <c r="I62">
        <v>2.274</v>
      </c>
      <c r="J62" s="4">
        <f>chloroform!J67</f>
        <v>6.9990312959703602E-5</v>
      </c>
      <c r="K62" t="str">
        <f>chloroform!F67</f>
        <v>5C12</v>
      </c>
      <c r="M62">
        <f>0.9155*Table2[[#This Row],[J1,2]]*Table2[[#This Row],[weight]]</f>
        <v>5.6220397790917621E-4</v>
      </c>
      <c r="N62">
        <f>0.9155*Table2[[#This Row],[J2,3]]*Table2[[#This Row],[weight]]</f>
        <v>5.1139160561809163E-4</v>
      </c>
      <c r="O62">
        <f>0.9155*Table2[[#This Row],[J34]]*Table2[[#This Row],[weight]]</f>
        <v>4.6910135881844987E-4</v>
      </c>
      <c r="P62">
        <f>0.9155*Table2[[#This Row],[J45]]*Table2[[#This Row],[weight]]</f>
        <v>7.1271881083699194E-4</v>
      </c>
      <c r="Q62">
        <f>0.9155*Table2[[#This Row],[J56]]*Table2[[#This Row],[weight]]</f>
        <v>6.6863443235494122E-4</v>
      </c>
      <c r="R62">
        <f>0.9155*Table2[[#This Row],[J67]]*Table2[[#This Row],[weight]]</f>
        <v>1.0751974868151331E-4</v>
      </c>
      <c r="S62">
        <f>0.9155*Table2[[#This Row],[J67'']]*Table2[[#This Row],[weight]]</f>
        <v>1.4570912306422005E-4</v>
      </c>
      <c r="T62">
        <f>0.9155*Table2[[#This Row],[J77'']]*Table2[[#This Row],[weight]]</f>
        <v>-8.397177034989463E-4</v>
      </c>
    </row>
    <row r="63" spans="1:30" x14ac:dyDescent="0.25">
      <c r="A63" t="s">
        <v>120</v>
      </c>
      <c r="B63">
        <v>8.2750000000000004</v>
      </c>
      <c r="C63">
        <v>2.3479999999999999</v>
      </c>
      <c r="D63">
        <v>1.5189999999999999</v>
      </c>
      <c r="E63">
        <v>2.0790000000000002</v>
      </c>
      <c r="F63">
        <v>11.973000000000001</v>
      </c>
      <c r="G63">
        <v>1.36</v>
      </c>
      <c r="H63">
        <v>-13.59</v>
      </c>
      <c r="I63">
        <v>10.737</v>
      </c>
      <c r="J63" s="4">
        <f>chloroform!J68</f>
        <v>6.3396689828579256E-5</v>
      </c>
      <c r="K63" t="str">
        <f>chloroform!F68</f>
        <v>4H6</v>
      </c>
      <c r="M63">
        <f>0.9155*Table2[[#This Row],[J1,2]]*Table2[[#This Row],[weight]]</f>
        <v>4.8027826542748213E-4</v>
      </c>
      <c r="N63">
        <f>0.9155*Table2[[#This Row],[J2,3]]*Table2[[#This Row],[weight]]</f>
        <v>1.36277144075375E-4</v>
      </c>
      <c r="O63">
        <f>0.9155*Table2[[#This Row],[J34]]*Table2[[#This Row],[weight]]</f>
        <v>8.8162258028319672E-5</v>
      </c>
      <c r="P63">
        <f>0.9155*Table2[[#This Row],[J45]]*Table2[[#This Row],[weight]]</f>
        <v>1.206644729696357E-4</v>
      </c>
      <c r="Q63">
        <f>0.9155*Table2[[#This Row],[J56]]*Table2[[#This Row],[weight]]</f>
        <v>6.9490896337924394E-4</v>
      </c>
      <c r="R63">
        <f>0.9155*Table2[[#This Row],[J67]]*Table2[[#This Row],[weight]]</f>
        <v>7.8933950571767456E-5</v>
      </c>
      <c r="S63">
        <f>0.9155*Table2[[#This Row],[J67'']]*Table2[[#This Row],[weight]]</f>
        <v>6.231719318301965E-4</v>
      </c>
      <c r="T63">
        <f>0.9155*Table2[[#This Row],[J77'']]*Table2[[#This Row],[weight]]</f>
        <v>-7.8875910902229389E-4</v>
      </c>
    </row>
    <row r="64" spans="1:30" x14ac:dyDescent="0.25">
      <c r="A64" t="s">
        <v>99</v>
      </c>
      <c r="B64">
        <v>8.5269999999999992</v>
      </c>
      <c r="C64">
        <v>2.964</v>
      </c>
      <c r="D64">
        <v>2.8570000000000002</v>
      </c>
      <c r="E64">
        <v>5.57</v>
      </c>
      <c r="F64">
        <v>2.597</v>
      </c>
      <c r="G64">
        <v>1.349</v>
      </c>
      <c r="H64">
        <v>-13.481999999999999</v>
      </c>
      <c r="I64">
        <v>10.587</v>
      </c>
      <c r="J64" s="4">
        <f>chloroform!J69</f>
        <v>9.4715556602746019E-3</v>
      </c>
      <c r="K64" t="str">
        <f>chloroform!F69</f>
        <v>12C5</v>
      </c>
      <c r="M64">
        <f>0.9155*Table2[[#This Row],[J1,2]]*Table2[[#This Row],[weight]]</f>
        <v>7.3939400907930372E-2</v>
      </c>
      <c r="N64">
        <f>0.9155*Table2[[#This Row],[J2,3]]*Table2[[#This Row],[weight]]</f>
        <v>2.5701464089492861E-2</v>
      </c>
      <c r="O64">
        <f>0.9155*Table2[[#This Row],[J34]]*Table2[[#This Row],[weight]]</f>
        <v>2.4773644704345853E-2</v>
      </c>
      <c r="P64">
        <f>0.9155*Table2[[#This Row],[J45]]*Table2[[#This Row],[weight]]</f>
        <v>4.8298635282886387E-2</v>
      </c>
      <c r="Q64">
        <f>0.9155*Table2[[#This Row],[J56]]*Table2[[#This Row],[weight]]</f>
        <v>2.251913031053069E-2</v>
      </c>
      <c r="R64">
        <f>0.9155*Table2[[#This Row],[J67]]*Table2[[#This Row],[weight]]</f>
        <v>1.1697461220217904E-2</v>
      </c>
      <c r="S64">
        <f>0.9155*Table2[[#This Row],[J67'']]*Table2[[#This Row],[weight]]</f>
        <v>9.1802091874312056E-2</v>
      </c>
      <c r="T64">
        <f>0.9155*Table2[[#This Row],[J77'']]*Table2[[#This Row],[weight]]</f>
        <v>-0.1169052425285232</v>
      </c>
    </row>
    <row r="65" spans="10:20" x14ac:dyDescent="0.25">
      <c r="M65">
        <f t="shared" ref="M65:T65" si="1">SUM(M2:M64)</f>
        <v>7.5098164215259464</v>
      </c>
      <c r="N65">
        <f t="shared" si="1"/>
        <v>4.5024412969472394</v>
      </c>
      <c r="O65">
        <f t="shared" si="1"/>
        <v>2.2493603967399718</v>
      </c>
      <c r="P65">
        <f t="shared" si="1"/>
        <v>4.8724375321603501</v>
      </c>
      <c r="Q65">
        <f t="shared" si="1"/>
        <v>9.8449224472569838</v>
      </c>
      <c r="R65">
        <f t="shared" si="1"/>
        <v>2.0412498300144817</v>
      </c>
      <c r="S65">
        <f t="shared" si="1"/>
        <v>4.6250846003394503</v>
      </c>
      <c r="T65">
        <f t="shared" si="1"/>
        <v>-12.193774199906736</v>
      </c>
    </row>
    <row r="66" spans="10:20" x14ac:dyDescent="0.25">
      <c r="M66">
        <v>6.83</v>
      </c>
      <c r="N66" s="5">
        <v>3.38</v>
      </c>
      <c r="O66" s="5">
        <v>1.78</v>
      </c>
      <c r="P66" s="5">
        <v>3.91</v>
      </c>
      <c r="Q66" s="5">
        <v>8.8000000000000007</v>
      </c>
      <c r="R66">
        <v>1.96</v>
      </c>
      <c r="S66">
        <v>6.27</v>
      </c>
      <c r="T66">
        <v>-11.55</v>
      </c>
    </row>
    <row r="67" spans="10:20" x14ac:dyDescent="0.25">
      <c r="R67" t="s">
        <v>56</v>
      </c>
      <c r="S67">
        <f>SQRT(SUMXMY2(M65:S65,M66:S66)/7)</f>
        <v>0.97635043073003547</v>
      </c>
    </row>
    <row r="68" spans="10:20" x14ac:dyDescent="0.25">
      <c r="J68" s="4"/>
      <c r="S68">
        <f>SQRT(SUMXMY2(M65:Q65,M66:Q66)/5)</f>
        <v>0.88999695934191536</v>
      </c>
    </row>
    <row r="70" spans="10:20" x14ac:dyDescent="0.25">
      <c r="K70">
        <v>6.83</v>
      </c>
    </row>
    <row r="71" spans="10:20" x14ac:dyDescent="0.25">
      <c r="K71" s="5">
        <v>3.38</v>
      </c>
    </row>
    <row r="72" spans="10:20" x14ac:dyDescent="0.25">
      <c r="K72" s="5">
        <v>1.78</v>
      </c>
      <c r="M72">
        <v>7.5098164215259464</v>
      </c>
      <c r="N72">
        <v>4.5024412969472394</v>
      </c>
      <c r="O72">
        <v>2.2493603967399718</v>
      </c>
      <c r="P72">
        <v>4.8724375321603501</v>
      </c>
      <c r="Q72">
        <v>9.8449224472569838</v>
      </c>
      <c r="R72">
        <v>2.0412498300144817</v>
      </c>
      <c r="S72">
        <v>4.6250846003394503</v>
      </c>
    </row>
    <row r="73" spans="10:20" x14ac:dyDescent="0.25">
      <c r="K73" s="5">
        <v>3.91</v>
      </c>
      <c r="M73">
        <v>6.83</v>
      </c>
      <c r="N73">
        <v>3.38</v>
      </c>
      <c r="O73">
        <v>1.78</v>
      </c>
      <c r="P73">
        <v>3.91</v>
      </c>
      <c r="Q73">
        <v>8.8000000000000007</v>
      </c>
      <c r="R73">
        <v>1.96</v>
      </c>
      <c r="S73">
        <v>6.27</v>
      </c>
    </row>
    <row r="74" spans="10:20" x14ac:dyDescent="0.25">
      <c r="K74" s="5">
        <v>8.8000000000000007</v>
      </c>
    </row>
    <row r="75" spans="10:20" x14ac:dyDescent="0.25">
      <c r="K75">
        <v>1.96</v>
      </c>
    </row>
    <row r="76" spans="10:20" x14ac:dyDescent="0.25">
      <c r="K76">
        <v>6.27</v>
      </c>
    </row>
  </sheetData>
  <pageMargins left="0.7" right="0.7" top="0.75" bottom="0.75" header="0.3" footer="0.3"/>
  <pageSetup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09E84E-9378-4B88-B36C-0D514983F28A}">
  <dimension ref="A1:T64"/>
  <sheetViews>
    <sheetView topLeftCell="A40" zoomScaleNormal="100" workbookViewId="0">
      <selection activeCell="W63" sqref="W63"/>
    </sheetView>
  </sheetViews>
  <sheetFormatPr defaultRowHeight="15" x14ac:dyDescent="0.25"/>
  <cols>
    <col min="11" max="11" width="10.5703125" customWidth="1"/>
    <col min="20" max="20" width="14" customWidth="1"/>
  </cols>
  <sheetData>
    <row r="1" spans="1:20" x14ac:dyDescent="0.25">
      <c r="A1" t="s">
        <v>46</v>
      </c>
      <c r="B1">
        <f>SUMIF(Table1[Classification],E1,Table1[weight])</f>
        <v>0.33905463306596056</v>
      </c>
      <c r="D1" t="s">
        <v>11</v>
      </c>
      <c r="E1" t="s">
        <v>20</v>
      </c>
      <c r="G1">
        <f>COUNTIF(Table3[classification],E1)</f>
        <v>13</v>
      </c>
      <c r="K1" t="s">
        <v>45</v>
      </c>
      <c r="L1" t="s">
        <v>36</v>
      </c>
      <c r="M1" t="s">
        <v>37</v>
      </c>
      <c r="N1" t="s">
        <v>38</v>
      </c>
      <c r="O1" t="s">
        <v>39</v>
      </c>
      <c r="P1" t="s">
        <v>40</v>
      </c>
      <c r="Q1" t="s">
        <v>41</v>
      </c>
      <c r="R1" t="s">
        <v>43</v>
      </c>
      <c r="S1" t="s">
        <v>15</v>
      </c>
      <c r="T1" t="s">
        <v>44</v>
      </c>
    </row>
    <row r="2" spans="1:20" x14ac:dyDescent="0.25">
      <c r="K2" t="str">
        <f>Table2[[#This Row],[Column1]]</f>
        <v xml:space="preserve">Conf1   </v>
      </c>
      <c r="L2">
        <f>Table3[[#This Row],[weight]]*(0.9155*Table2[[#This Row],[J1,2]]-A$9)^2</f>
        <v>1.7122378243808704E-5</v>
      </c>
      <c r="M2">
        <f>Table3[[#This Row],[weight]]*(0.9155*Table2[[#This Row],[J2,3]]-B$9)^2</f>
        <v>6.25801014836981E-3</v>
      </c>
      <c r="N2">
        <f>Table3[[#This Row],[weight]]*(0.9155*Table2[[#This Row],[J34]]-C$9)^2</f>
        <v>6.5330534935804921E-3</v>
      </c>
      <c r="O2">
        <f>Table3[[#This Row],[weight]]*(0.9155*Table2[[#This Row],[J45]]-D$9)^2</f>
        <v>1.7309677412855225E-2</v>
      </c>
      <c r="P2">
        <f>Table3[[#This Row],[weight]]*(0.9155*Table2[[#This Row],[J56]]-E$9)^2</f>
        <v>0.92633330042582329</v>
      </c>
      <c r="Q2">
        <f>Table3[[#This Row],[weight]]*(0.9155*Table2[[#This Row],[J67]]-F$9)^2</f>
        <v>0.70626575948321002</v>
      </c>
      <c r="R2">
        <f>Table3[[#This Row],[weight]]*(0.9155*Table2[[#This Row],[J67'']]-G$9)^2</f>
        <v>4.9420641959789499E-2</v>
      </c>
      <c r="S2">
        <f>Table2[[#This Row],[weight]]</f>
        <v>1.0272961753302522E-2</v>
      </c>
      <c r="T2" t="str">
        <f>Table2[[#This Row],[classification]]</f>
        <v>6H4</v>
      </c>
    </row>
    <row r="3" spans="1:20" x14ac:dyDescent="0.25">
      <c r="K3" t="str">
        <f>Table2[[#This Row],[Column1]]</f>
        <v xml:space="preserve">Conf2   </v>
      </c>
      <c r="L3">
        <f>Table3[[#This Row],[weight]]*(0.9155*Table2[[#This Row],[J1,2]]-A$9)^2</f>
        <v>2.3574062393422128E-4</v>
      </c>
      <c r="M3">
        <f>Table3[[#This Row],[weight]]*(0.9155*Table2[[#This Row],[J2,3]]-B$9)^2</f>
        <v>1.9167092984499547</v>
      </c>
      <c r="N3">
        <f>Table3[[#This Row],[weight]]*(0.9155*Table2[[#This Row],[J34]]-C$9)^2</f>
        <v>2.9707301379757082E-2</v>
      </c>
      <c r="O3">
        <f>Table3[[#This Row],[weight]]*(0.9155*Table2[[#This Row],[J45]]-D$9)^2</f>
        <v>2.8828834241168249</v>
      </c>
      <c r="P3">
        <f>Table3[[#This Row],[weight]]*(0.9155*Table2[[#This Row],[J56]]-E$9)^2</f>
        <v>1.2028741225363584E-2</v>
      </c>
      <c r="Q3">
        <f>Table3[[#This Row],[weight]]*(0.9155*Table2[[#This Row],[J67]]-F$9)^2</f>
        <v>9.1233542357577066E-2</v>
      </c>
      <c r="R3">
        <f>Table3[[#This Row],[weight]]*(0.9155*Table2[[#This Row],[J67'']]-G$9)^2</f>
        <v>0.42482387110512704</v>
      </c>
      <c r="S3">
        <f>Table2[[#This Row],[weight]]</f>
        <v>4.1418984438592342E-2</v>
      </c>
      <c r="T3" t="str">
        <f>Table2[[#This Row],[classification]]</f>
        <v>4H6</v>
      </c>
    </row>
    <row r="4" spans="1:20" x14ac:dyDescent="0.25">
      <c r="A4" t="s">
        <v>36</v>
      </c>
      <c r="B4" t="s">
        <v>37</v>
      </c>
      <c r="C4" t="s">
        <v>38</v>
      </c>
      <c r="D4" t="s">
        <v>39</v>
      </c>
      <c r="E4" t="s">
        <v>40</v>
      </c>
      <c r="F4" t="s">
        <v>41</v>
      </c>
      <c r="G4" t="s">
        <v>43</v>
      </c>
      <c r="K4" t="str">
        <f>Table2[[#This Row],[Column1]]</f>
        <v xml:space="preserve">Conf4   </v>
      </c>
      <c r="L4">
        <f>Table3[[#This Row],[weight]]*(0.9155*Table2[[#This Row],[J1,2]]-A$9)^2</f>
        <v>2.5468689700929468E-3</v>
      </c>
      <c r="M4">
        <f>Table3[[#This Row],[weight]]*(0.9155*Table2[[#This Row],[J2,3]]-B$9)^2</f>
        <v>6.1307229178475566</v>
      </c>
      <c r="N4">
        <f>Table3[[#This Row],[weight]]*(0.9155*Table2[[#This Row],[J34]]-C$9)^2</f>
        <v>0.17074488090030487</v>
      </c>
      <c r="O4">
        <f>Table3[[#This Row],[weight]]*(0.9155*Table2[[#This Row],[J45]]-D$9)^2</f>
        <v>10.205596902028308</v>
      </c>
      <c r="P4">
        <f>Table3[[#This Row],[weight]]*(0.9155*Table2[[#This Row],[J56]]-E$9)^2</f>
        <v>0.13785889725144759</v>
      </c>
      <c r="Q4">
        <f>Table3[[#This Row],[weight]]*(0.9155*Table2[[#This Row],[J67]]-F$9)^2</f>
        <v>3.1400315255119144E-4</v>
      </c>
      <c r="R4">
        <f>Table3[[#This Row],[weight]]*(0.9155*Table2[[#This Row],[J67'']]-G$9)^2</f>
        <v>0.73823856519048048</v>
      </c>
      <c r="S4">
        <f>Table2[[#This Row],[weight]]</f>
        <v>0.12912337862648315</v>
      </c>
      <c r="T4" t="str">
        <f>Table2[[#This Row],[classification]]</f>
        <v>4H6</v>
      </c>
    </row>
    <row r="5" spans="1:20" x14ac:dyDescent="0.25">
      <c r="A5">
        <f>SUMIF(Table1[Classification],E1,Table2[J1,23])/$B$1</f>
        <v>7.4316572533761684</v>
      </c>
      <c r="B5">
        <f>SUMIF(Table1[Classification],E1,Table2[J2,34])/$B$1</f>
        <v>8.8085148067762606</v>
      </c>
      <c r="C5">
        <f>SUMIF(Table1[Classification],E1,Table2[J345])/$B$1</f>
        <v>2.8921265030240368</v>
      </c>
      <c r="D5">
        <f>SUMIF(Table1[Classification],E1,Table2[J456])/$B$1</f>
        <v>10.475037632024963</v>
      </c>
      <c r="E5">
        <f>SUMIF(Table1[Classification],E1,Table2[J567])/$B$1</f>
        <v>9.6643447895259111</v>
      </c>
      <c r="F5">
        <f>SUMIF(Table1[Classification],E1,Table2[J678])/$B$1</f>
        <v>1.7871796435118952</v>
      </c>
      <c r="G5">
        <f>SUMIF(Table1[Classification],E1,Table2[J67''9])/$B$1</f>
        <v>4.2678650033997894</v>
      </c>
      <c r="K5" t="str">
        <f>Table2[[#This Row],[Column1]]</f>
        <v xml:space="preserve">Conf5   </v>
      </c>
      <c r="L5">
        <f>Table3[[#This Row],[weight]]*(0.9155*Table2[[#This Row],[J1,2]]-A$9)^2</f>
        <v>0</v>
      </c>
      <c r="M5">
        <f>Table3[[#This Row],[weight]]*(0.9155*Table2[[#This Row],[J2,3]]-B$9)^2</f>
        <v>0</v>
      </c>
      <c r="N5">
        <f>Table3[[#This Row],[weight]]*(0.9155*Table2[[#This Row],[J34]]-C$9)^2</f>
        <v>0</v>
      </c>
      <c r="O5">
        <f>Table3[[#This Row],[weight]]*(0.9155*Table2[[#This Row],[J45]]-D$9)^2</f>
        <v>0</v>
      </c>
      <c r="P5">
        <f>Table3[[#This Row],[weight]]*(0.9155*Table2[[#This Row],[J56]]-E$9)^2</f>
        <v>0</v>
      </c>
      <c r="Q5">
        <f>Table3[[#This Row],[weight]]*(0.9155*Table2[[#This Row],[J67]]-F$9)^2</f>
        <v>0</v>
      </c>
      <c r="R5">
        <f>Table3[[#This Row],[weight]]*(0.9155*Table2[[#This Row],[J67'']]-G$9)^2</f>
        <v>0</v>
      </c>
      <c r="S5">
        <f>Table2[[#This Row],[weight]]</f>
        <v>0</v>
      </c>
      <c r="T5" t="str">
        <f>Table2[[#This Row],[classification]]</f>
        <v>6H4</v>
      </c>
    </row>
    <row r="6" spans="1:20" x14ac:dyDescent="0.25">
      <c r="K6" t="str">
        <f>Table2[[#This Row],[Column1]]</f>
        <v xml:space="preserve">Conf8   </v>
      </c>
      <c r="L6">
        <f>Table3[[#This Row],[weight]]*(0.9155*Table2[[#This Row],[J1,2]]-A$9)^2</f>
        <v>0</v>
      </c>
      <c r="M6">
        <f>Table3[[#This Row],[weight]]*(0.9155*Table2[[#This Row],[J2,3]]-B$9)^2</f>
        <v>0</v>
      </c>
      <c r="N6">
        <f>Table3[[#This Row],[weight]]*(0.9155*Table2[[#This Row],[J34]]-C$9)^2</f>
        <v>0</v>
      </c>
      <c r="O6">
        <f>Table3[[#This Row],[weight]]*(0.9155*Table2[[#This Row],[J45]]-D$9)^2</f>
        <v>0</v>
      </c>
      <c r="P6">
        <f>Table3[[#This Row],[weight]]*(0.9155*Table2[[#This Row],[J56]]-E$9)^2</f>
        <v>0</v>
      </c>
      <c r="Q6">
        <f>Table3[[#This Row],[weight]]*(0.9155*Table2[[#This Row],[J67]]-F$9)^2</f>
        <v>0</v>
      </c>
      <c r="R6">
        <f>Table3[[#This Row],[weight]]*(0.9155*Table2[[#This Row],[J67'']]-G$9)^2</f>
        <v>0</v>
      </c>
      <c r="S6">
        <f>Table2[[#This Row],[weight]]</f>
        <v>0</v>
      </c>
      <c r="T6" t="str">
        <f>Table2[[#This Row],[classification]]</f>
        <v>6H4</v>
      </c>
    </row>
    <row r="7" spans="1:20" x14ac:dyDescent="0.25">
      <c r="A7" t="s">
        <v>61</v>
      </c>
      <c r="K7" t="str">
        <f>Table2[[#This Row],[Column1]]</f>
        <v xml:space="preserve">Conf14   </v>
      </c>
      <c r="L7">
        <f>Table3[[#This Row],[weight]]*(0.9155*Table2[[#This Row],[J1,2]]-A$9)^2</f>
        <v>1.6213494344607038E-4</v>
      </c>
      <c r="M7">
        <f>Table3[[#This Row],[weight]]*(0.9155*Table2[[#This Row],[J2,3]]-B$9)^2</f>
        <v>3.7189504111572416E-2</v>
      </c>
      <c r="N7">
        <f>Table3[[#This Row],[weight]]*(0.9155*Table2[[#This Row],[J34]]-C$9)^2</f>
        <v>8.1911831286294061E-8</v>
      </c>
      <c r="O7">
        <f>Table3[[#This Row],[weight]]*(0.9155*Table2[[#This Row],[J45]]-D$9)^2</f>
        <v>7.7706507958759247E-2</v>
      </c>
      <c r="P7">
        <f>Table3[[#This Row],[weight]]*(0.9155*Table2[[#This Row],[J56]]-E$9)^2</f>
        <v>2.7444927267050246E-4</v>
      </c>
      <c r="Q7">
        <f>Table3[[#This Row],[weight]]*(0.9155*Table2[[#This Row],[J67]]-F$9)^2</f>
        <v>7.5864605800482455E-4</v>
      </c>
      <c r="R7">
        <f>Table3[[#This Row],[weight]]*(0.9155*Table2[[#This Row],[J67'']]-G$9)^2</f>
        <v>8.4299259360655951E-4</v>
      </c>
      <c r="S7">
        <f>Table2[[#This Row],[weight]]</f>
        <v>7.9783512323809073E-4</v>
      </c>
      <c r="T7" t="str">
        <f>Table2[[#This Row],[classification]]</f>
        <v>4H6</v>
      </c>
    </row>
    <row r="8" spans="1:20" x14ac:dyDescent="0.25">
      <c r="A8" t="s">
        <v>36</v>
      </c>
      <c r="B8" t="s">
        <v>37</v>
      </c>
      <c r="C8" t="s">
        <v>38</v>
      </c>
      <c r="D8" t="s">
        <v>39</v>
      </c>
      <c r="E8" t="s">
        <v>40</v>
      </c>
      <c r="F8" t="s">
        <v>41</v>
      </c>
      <c r="G8" t="s">
        <v>43</v>
      </c>
      <c r="K8" t="str">
        <f>Table2[[#This Row],[Column1]]</f>
        <v xml:space="preserve">Conf20   </v>
      </c>
      <c r="L8">
        <f>Table3[[#This Row],[weight]]*(0.9155*Table2[[#This Row],[J1,2]]-A$9)^2</f>
        <v>1.2571472480405143E-3</v>
      </c>
      <c r="M8">
        <f>Table3[[#This Row],[weight]]*(0.9155*Table2[[#This Row],[J2,3]]-B$9)^2</f>
        <v>2.5473000240819534E-2</v>
      </c>
      <c r="N8">
        <f>Table3[[#This Row],[weight]]*(0.9155*Table2[[#This Row],[J34]]-C$9)^2</f>
        <v>1.7266659937267094E-2</v>
      </c>
      <c r="O8">
        <f>Table3[[#This Row],[weight]]*(0.9155*Table2[[#This Row],[J45]]-D$9)^2</f>
        <v>1.0129454690499138E-2</v>
      </c>
      <c r="P8">
        <f>Table3[[#This Row],[weight]]*(0.9155*Table2[[#This Row],[J56]]-E$9)^2</f>
        <v>1.8240860196182169</v>
      </c>
      <c r="Q8">
        <f>Table3[[#This Row],[weight]]*(0.9155*Table2[[#This Row],[J67]]-F$9)^2</f>
        <v>0.11742257792271064</v>
      </c>
      <c r="R8">
        <f>Table3[[#This Row],[weight]]*(0.9155*Table2[[#This Row],[J67'']]-G$9)^2</f>
        <v>1.378194273593788</v>
      </c>
      <c r="S8">
        <f>Table2[[#This Row],[weight]]</f>
        <v>2.2257703201222123E-2</v>
      </c>
      <c r="T8" t="str">
        <f>Table2[[#This Row],[classification]]</f>
        <v>6H4</v>
      </c>
    </row>
    <row r="9" spans="1:20" x14ac:dyDescent="0.25">
      <c r="A9">
        <f>A5</f>
        <v>7.4316572533761684</v>
      </c>
      <c r="B9">
        <f t="shared" ref="B9:G9" si="0">B5</f>
        <v>8.8085148067762606</v>
      </c>
      <c r="C9">
        <f t="shared" si="0"/>
        <v>2.8921265030240368</v>
      </c>
      <c r="D9">
        <f t="shared" si="0"/>
        <v>10.475037632024963</v>
      </c>
      <c r="E9">
        <f t="shared" si="0"/>
        <v>9.6643447895259111</v>
      </c>
      <c r="F9">
        <f t="shared" si="0"/>
        <v>1.7871796435118952</v>
      </c>
      <c r="G9">
        <f t="shared" si="0"/>
        <v>4.2678650033997894</v>
      </c>
      <c r="K9" t="str">
        <f>Table2[[#This Row],[Column1]]</f>
        <v xml:space="preserve">Conf21   </v>
      </c>
      <c r="L9">
        <f>Table3[[#This Row],[weight]]*(0.9155*Table2[[#This Row],[J1,2]]-A$9)^2</f>
        <v>4.3514298822642673E-3</v>
      </c>
      <c r="M9">
        <f>Table3[[#This Row],[weight]]*(0.9155*Table2[[#This Row],[J2,3]]-B$9)^2</f>
        <v>3.2194384076205318</v>
      </c>
      <c r="N9">
        <f>Table3[[#This Row],[weight]]*(0.9155*Table2[[#This Row],[J34]]-C$9)^2</f>
        <v>3.5028723772287919E-2</v>
      </c>
      <c r="O9">
        <f>Table3[[#This Row],[weight]]*(0.9155*Table2[[#This Row],[J45]]-D$9)^2</f>
        <v>6.4967867752697197</v>
      </c>
      <c r="P9">
        <f>Table3[[#This Row],[weight]]*(0.9155*Table2[[#This Row],[J56]]-E$9)^2</f>
        <v>0.14596169714745699</v>
      </c>
      <c r="Q9">
        <f>Table3[[#This Row],[weight]]*(0.9155*Table2[[#This Row],[J67]]-F$9)^2</f>
        <v>6.082340567424202E-2</v>
      </c>
      <c r="R9">
        <f>Table3[[#This Row],[weight]]*(0.9155*Table2[[#This Row],[J67'']]-G$9)^2</f>
        <v>9.131558168354563E-2</v>
      </c>
      <c r="S9">
        <f>Table2[[#This Row],[weight]]</f>
        <v>6.7465758719203059E-2</v>
      </c>
      <c r="T9" t="str">
        <f>Table2[[#This Row],[classification]]</f>
        <v>4H6</v>
      </c>
    </row>
    <row r="10" spans="1:20" x14ac:dyDescent="0.25">
      <c r="K10" t="str">
        <f>Table2[[#This Row],[Column1]]</f>
        <v xml:space="preserve">Conf25   </v>
      </c>
      <c r="L10">
        <f>Table3[[#This Row],[weight]]*(0.9155*Table2[[#This Row],[J1,2]]-A$9)^2</f>
        <v>3.7519095503212975E-5</v>
      </c>
      <c r="M10">
        <f>Table3[[#This Row],[weight]]*(0.9155*Table2[[#This Row],[J2,3]]-B$9)^2</f>
        <v>2.0635831694545827E-2</v>
      </c>
      <c r="N10">
        <f>Table3[[#This Row],[weight]]*(0.9155*Table2[[#This Row],[J34]]-C$9)^2</f>
        <v>2.9771223109526835E-5</v>
      </c>
      <c r="O10">
        <f>Table3[[#This Row],[weight]]*(0.9155*Table2[[#This Row],[J45]]-D$9)^2</f>
        <v>4.4606619827547996E-2</v>
      </c>
      <c r="P10">
        <f>Table3[[#This Row],[weight]]*(0.9155*Table2[[#This Row],[J56]]-E$9)^2</f>
        <v>1.6525966688537258E-3</v>
      </c>
      <c r="Q10">
        <f>Table3[[#This Row],[weight]]*(0.9155*Table2[[#This Row],[J67]]-F$9)^2</f>
        <v>1.0970777121415125E-3</v>
      </c>
      <c r="R10">
        <f>Table3[[#This Row],[weight]]*(0.9155*Table2[[#This Row],[J67'']]-G$9)^2</f>
        <v>3.5567877848858812E-3</v>
      </c>
      <c r="S10">
        <f>Table2[[#This Row],[weight]]</f>
        <v>4.5284945585008989E-4</v>
      </c>
      <c r="T10" t="str">
        <f>Table2[[#This Row],[classification]]</f>
        <v>4H6</v>
      </c>
    </row>
    <row r="11" spans="1:20" x14ac:dyDescent="0.25">
      <c r="A11" t="s">
        <v>62</v>
      </c>
      <c r="K11" t="str">
        <f>Table2[[#This Row],[Column1]]</f>
        <v xml:space="preserve">Conf27   </v>
      </c>
      <c r="L11">
        <f>Table3[[#This Row],[weight]]*(0.9155*Table2[[#This Row],[J1,2]]-A$9)^2</f>
        <v>1.4254258389799348E-5</v>
      </c>
      <c r="M11">
        <f>Table3[[#This Row],[weight]]*(0.9155*Table2[[#This Row],[J2,3]]-B$9)^2</f>
        <v>8.3279839475487779E-3</v>
      </c>
      <c r="N11">
        <f>Table3[[#This Row],[weight]]*(0.9155*Table2[[#This Row],[J34]]-C$9)^2</f>
        <v>1.8821747505955866E-6</v>
      </c>
      <c r="O11">
        <f>Table3[[#This Row],[weight]]*(0.9155*Table2[[#This Row],[J45]]-D$9)^2</f>
        <v>1.7733197299541054E-2</v>
      </c>
      <c r="P11">
        <f>Table3[[#This Row],[weight]]*(0.9155*Table2[[#This Row],[J56]]-E$9)^2</f>
        <v>1.4470728549143217E-4</v>
      </c>
      <c r="Q11">
        <f>Table3[[#This Row],[weight]]*(0.9155*Table2[[#This Row],[J67]]-F$9)^2</f>
        <v>9.90037812897635E-3</v>
      </c>
      <c r="R11">
        <f>Table3[[#This Row],[weight]]*(0.9155*Table2[[#This Row],[J67'']]-G$9)^2</f>
        <v>1.268881013354951E-3</v>
      </c>
      <c r="S11">
        <f>Table2[[#This Row],[weight]]</f>
        <v>1.7880601637319888E-4</v>
      </c>
      <c r="T11" t="str">
        <f>Table2[[#This Row],[classification]]</f>
        <v>4H6</v>
      </c>
    </row>
    <row r="12" spans="1:20" x14ac:dyDescent="0.25">
      <c r="A12" t="s">
        <v>36</v>
      </c>
      <c r="B12" t="s">
        <v>37</v>
      </c>
      <c r="C12" t="s">
        <v>38</v>
      </c>
      <c r="D12" t="s">
        <v>39</v>
      </c>
      <c r="E12" t="s">
        <v>40</v>
      </c>
      <c r="F12" t="s">
        <v>41</v>
      </c>
      <c r="G12" t="s">
        <v>43</v>
      </c>
      <c r="K12" t="str">
        <f>Table2[[#This Row],[Column1]]</f>
        <v xml:space="preserve">Conf29   </v>
      </c>
      <c r="L12">
        <f>Table3[[#This Row],[weight]]*(0.9155*Table2[[#This Row],[J1,2]]-A$9)^2</f>
        <v>6.3772063811537569E-7</v>
      </c>
      <c r="M12">
        <f>Table3[[#This Row],[weight]]*(0.9155*Table2[[#This Row],[J2,3]]-B$9)^2</f>
        <v>0.46437878242414055</v>
      </c>
      <c r="N12">
        <f>Table3[[#This Row],[weight]]*(0.9155*Table2[[#This Row],[J34]]-C$9)^2</f>
        <v>9.5754302901744446E-3</v>
      </c>
      <c r="O12">
        <f>Table3[[#This Row],[weight]]*(0.9155*Table2[[#This Row],[J45]]-D$9)^2</f>
        <v>0.58853464557373381</v>
      </c>
      <c r="P12">
        <f>Table3[[#This Row],[weight]]*(0.9155*Table2[[#This Row],[J56]]-E$9)^2</f>
        <v>1.5328048924325936E-2</v>
      </c>
      <c r="Q12">
        <f>Table3[[#This Row],[weight]]*(0.9155*Table2[[#This Row],[J67]]-F$9)^2</f>
        <v>0.93857694674615111</v>
      </c>
      <c r="R12">
        <f>Table3[[#This Row],[weight]]*(0.9155*Table2[[#This Row],[J67'']]-G$9)^2</f>
        <v>4.5287633746250592E-3</v>
      </c>
      <c r="S12">
        <f>Table2[[#This Row],[weight]]</f>
        <v>1.0302176735342018E-2</v>
      </c>
      <c r="T12" t="str">
        <f>Table2[[#This Row],[classification]]</f>
        <v>4H6</v>
      </c>
    </row>
    <row r="13" spans="1:20" x14ac:dyDescent="0.25">
      <c r="A13">
        <f>SQRT(SUMIF($T$2:$T$64,$E$1,L$2:L$64)/(($G$1-1)*$B$1/$G$1))</f>
        <v>0.20024972951768583</v>
      </c>
      <c r="B13">
        <f>SQRT(SUMIF($T$2:$T$46,$E$1,M$2:M$46)/(($G$1-1)*$B$1/$G$1))</f>
        <v>3.8468826142150352E-2</v>
      </c>
      <c r="C13">
        <f>SQRT(SUMIF($T$2:$T$46,$E$1,N$2:N$46)/(($G$1-1)*$B$1/$G$1))</f>
        <v>3.0995355922129778E-2</v>
      </c>
      <c r="D13">
        <f>SQRT(SUMIF($T$2:$T$64,$E$1,O$2:O$64)/(($G$1-1)*$B$1/$G$1))</f>
        <v>0.10789984481784598</v>
      </c>
      <c r="E13">
        <f t="shared" ref="E13" si="1">SQRT(SUMIF($T$2:$T$46,$E$1,P$2:P$46)/(($G$1-1)*$B$1/$G$1))</f>
        <v>0.15490859351379066</v>
      </c>
      <c r="F13">
        <f>SQRT(SUMIF($T$2:$T$64,$E$1,Q$2:Q$64)/(($G$1-1)*$B$1/$G$1))</f>
        <v>1.3243587486352608</v>
      </c>
      <c r="G13">
        <f>SQRT(SUMIF($T$2:$T$64,$E$1,R$2:R$64)/(($G$1-1)*$B$1/$G$1))</f>
        <v>3.8797972840636628</v>
      </c>
      <c r="K13" t="str">
        <f>Table2[[#This Row],[Column1]]</f>
        <v xml:space="preserve">Conf30   </v>
      </c>
      <c r="L13">
        <f>Table3[[#This Row],[weight]]*(0.9155*Table2[[#This Row],[J1,2]]-A$9)^2</f>
        <v>2.9244613333310626E-5</v>
      </c>
      <c r="M13">
        <f>Table3[[#This Row],[weight]]*(0.9155*Table2[[#This Row],[J2,3]]-B$9)^2</f>
        <v>2.2108681748849814E-3</v>
      </c>
      <c r="N13">
        <f>Table3[[#This Row],[weight]]*(0.9155*Table2[[#This Row],[J34]]-C$9)^2</f>
        <v>1.703089745887772E-3</v>
      </c>
      <c r="O13">
        <f>Table3[[#This Row],[weight]]*(0.9155*Table2[[#This Row],[J45]]-D$9)^2</f>
        <v>4.1983710980137187E-2</v>
      </c>
      <c r="P13">
        <f>Table3[[#This Row],[weight]]*(0.9155*Table2[[#This Row],[J56]]-E$9)^2</f>
        <v>0.3365232656352028</v>
      </c>
      <c r="Q13">
        <f>Table3[[#This Row],[weight]]*(0.9155*Table2[[#This Row],[J67]]-F$9)^2</f>
        <v>1.4459862779715497E-3</v>
      </c>
      <c r="R13">
        <f>Table3[[#This Row],[weight]]*(0.9155*Table2[[#This Row],[J67'']]-G$9)^2</f>
        <v>0.25892688043403411</v>
      </c>
      <c r="S13">
        <f>Table2[[#This Row],[weight]]</f>
        <v>3.8333394367693792E-3</v>
      </c>
      <c r="T13" t="str">
        <f>Table2[[#This Row],[classification]]</f>
        <v>6H4</v>
      </c>
    </row>
    <row r="14" spans="1:20" x14ac:dyDescent="0.25">
      <c r="K14" t="str">
        <f>Table2[[#This Row],[Column1]]</f>
        <v xml:space="preserve">Conf32   </v>
      </c>
      <c r="L14">
        <f>Table3[[#This Row],[weight]]*(0.9155*Table2[[#This Row],[J1,2]]-A$9)^2</f>
        <v>3.6296287089859174E-6</v>
      </c>
      <c r="M14">
        <f>Table3[[#This Row],[weight]]*(0.9155*Table2[[#This Row],[J2,3]]-B$9)^2</f>
        <v>3.8441808978501926E-2</v>
      </c>
      <c r="N14">
        <f>Table3[[#This Row],[weight]]*(0.9155*Table2[[#This Row],[J34]]-C$9)^2</f>
        <v>1.4909913321291466E-4</v>
      </c>
      <c r="O14">
        <f>Table3[[#This Row],[weight]]*(0.9155*Table2[[#This Row],[J45]]-D$9)^2</f>
        <v>8.258608583637693E-2</v>
      </c>
      <c r="P14">
        <f>Table3[[#This Row],[weight]]*(0.9155*Table2[[#This Row],[J56]]-E$9)^2</f>
        <v>2.5539106788368248E-3</v>
      </c>
      <c r="Q14">
        <f>Table3[[#This Row],[weight]]*(0.9155*Table2[[#This Row],[J67]]-F$9)^2</f>
        <v>3.7313356025883465E-4</v>
      </c>
      <c r="R14">
        <f>Table3[[#This Row],[weight]]*(0.9155*Table2[[#This Row],[J67'']]-G$9)^2</f>
        <v>2.5535805879887057E-2</v>
      </c>
      <c r="S14">
        <f>Table2[[#This Row],[weight]]</f>
        <v>8.2602975100257733E-4</v>
      </c>
      <c r="T14" t="str">
        <f>Table2[[#This Row],[classification]]</f>
        <v>4H6</v>
      </c>
    </row>
    <row r="15" spans="1:20" x14ac:dyDescent="0.25">
      <c r="K15" t="str">
        <f>Table2[[#This Row],[Column1]]</f>
        <v xml:space="preserve">Conf35   </v>
      </c>
      <c r="L15">
        <f>Table3[[#This Row],[weight]]*(0.9155*Table2[[#This Row],[J1,2]]-A$9)^2</f>
        <v>1.2257370093834093E-9</v>
      </c>
      <c r="M15">
        <f>Table3[[#This Row],[weight]]*(0.9155*Table2[[#This Row],[J2,3]]-B$9)^2</f>
        <v>2.1110721177822062E-4</v>
      </c>
      <c r="N15">
        <f>Table3[[#This Row],[weight]]*(0.9155*Table2[[#This Row],[J34]]-C$9)^2</f>
        <v>2.8688235290737239E-5</v>
      </c>
      <c r="O15">
        <f>Table3[[#This Row],[weight]]*(0.9155*Table2[[#This Row],[J45]]-D$9)^2</f>
        <v>7.0487429498372902E-6</v>
      </c>
      <c r="P15">
        <f>Table3[[#This Row],[weight]]*(0.9155*Table2[[#This Row],[J56]]-E$9)^2</f>
        <v>4.3867731040156538E-3</v>
      </c>
      <c r="Q15">
        <f>Table3[[#This Row],[weight]]*(0.9155*Table2[[#This Row],[J67]]-F$9)^2</f>
        <v>4.0250666092454107E-4</v>
      </c>
      <c r="R15">
        <f>Table3[[#This Row],[weight]]*(0.9155*Table2[[#This Row],[J67'']]-G$9)^2</f>
        <v>8.4660858061088326E-4</v>
      </c>
      <c r="S15">
        <f>Table2[[#This Row],[weight]]</f>
        <v>7.5332099155016408E-5</v>
      </c>
      <c r="T15" t="str">
        <f>Table2[[#This Row],[classification]]</f>
        <v>6H4</v>
      </c>
    </row>
    <row r="16" spans="1:20" x14ac:dyDescent="0.25">
      <c r="K16" t="str">
        <f>Table2[[#This Row],[Column1]]</f>
        <v xml:space="preserve">Conf36   </v>
      </c>
      <c r="L16">
        <f>Table3[[#This Row],[weight]]*(0.9155*Table2[[#This Row],[J1,2]]-A$9)^2</f>
        <v>4.0444595073344707E-5</v>
      </c>
      <c r="M16">
        <f>Table3[[#This Row],[weight]]*(0.9155*Table2[[#This Row],[J2,3]]-B$9)^2</f>
        <v>0.10989936129500825</v>
      </c>
      <c r="N16">
        <f>Table3[[#This Row],[weight]]*(0.9155*Table2[[#This Row],[J34]]-C$9)^2</f>
        <v>1.71398867644906E-3</v>
      </c>
      <c r="O16">
        <f>Table3[[#This Row],[weight]]*(0.9155*Table2[[#This Row],[J45]]-D$9)^2</f>
        <v>0.22051513063679365</v>
      </c>
      <c r="P16">
        <f>Table3[[#This Row],[weight]]*(0.9155*Table2[[#This Row],[J56]]-E$9)^2</f>
        <v>6.1564599393394278E-3</v>
      </c>
      <c r="Q16">
        <f>Table3[[#This Row],[weight]]*(0.9155*Table2[[#This Row],[J67]]-F$9)^2</f>
        <v>6.5760195711045633E-2</v>
      </c>
      <c r="R16">
        <f>Table3[[#This Row],[weight]]*(0.9155*Table2[[#This Row],[J67'']]-G$9)^2</f>
        <v>3.3981589307860799E-2</v>
      </c>
      <c r="S16">
        <f>Table2[[#This Row],[weight]]</f>
        <v>2.3140512086136269E-3</v>
      </c>
      <c r="T16" t="str">
        <f>Table2[[#This Row],[classification]]</f>
        <v>4H6</v>
      </c>
    </row>
    <row r="17" spans="11:20" x14ac:dyDescent="0.25">
      <c r="K17" t="str">
        <f>Table2[[#This Row],[Column1]]</f>
        <v xml:space="preserve">Conf40   </v>
      </c>
      <c r="L17">
        <f>Table3[[#This Row],[weight]]*(0.9155*Table2[[#This Row],[J1,2]]-A$9)^2</f>
        <v>6.2280586086024635E-6</v>
      </c>
      <c r="M17">
        <f>Table3[[#This Row],[weight]]*(0.9155*Table2[[#This Row],[J2,3]]-B$9)^2</f>
        <v>8.8455177145354679E-3</v>
      </c>
      <c r="N17">
        <f>Table3[[#This Row],[weight]]*(0.9155*Table2[[#This Row],[J34]]-C$9)^2</f>
        <v>2.4224302523893523E-7</v>
      </c>
      <c r="O17">
        <f>Table3[[#This Row],[weight]]*(0.9155*Table2[[#This Row],[J45]]-D$9)^2</f>
        <v>1.937650714603812E-2</v>
      </c>
      <c r="P17">
        <f>Table3[[#This Row],[weight]]*(0.9155*Table2[[#This Row],[J56]]-E$9)^2</f>
        <v>6.9787228103939183E-4</v>
      </c>
      <c r="Q17">
        <f>Table3[[#This Row],[weight]]*(0.9155*Table2[[#This Row],[J67]]-F$9)^2</f>
        <v>4.6086761441950784E-4</v>
      </c>
      <c r="R17">
        <f>Table3[[#This Row],[weight]]*(0.9155*Table2[[#This Row],[J67'']]-G$9)^2</f>
        <v>1.451081195596422E-3</v>
      </c>
      <c r="S17">
        <f>Table2[[#This Row],[weight]]</f>
        <v>1.9068434469591663E-4</v>
      </c>
      <c r="T17" t="str">
        <f>Table2[[#This Row],[classification]]</f>
        <v>4H6</v>
      </c>
    </row>
    <row r="18" spans="11:20" x14ac:dyDescent="0.25">
      <c r="K18" t="str">
        <f>Table2[[#This Row],[Column1]]</f>
        <v xml:space="preserve">Conf42   </v>
      </c>
      <c r="L18">
        <f>Table3[[#This Row],[weight]]*(0.9155*Table2[[#This Row],[J1,2]]-A$9)^2</f>
        <v>0</v>
      </c>
      <c r="M18">
        <f>Table3[[#This Row],[weight]]*(0.9155*Table2[[#This Row],[J2,3]]-B$9)^2</f>
        <v>0</v>
      </c>
      <c r="N18">
        <f>Table3[[#This Row],[weight]]*(0.9155*Table2[[#This Row],[J34]]-C$9)^2</f>
        <v>0</v>
      </c>
      <c r="O18">
        <f>Table3[[#This Row],[weight]]*(0.9155*Table2[[#This Row],[J45]]-D$9)^2</f>
        <v>0</v>
      </c>
      <c r="P18">
        <f>Table3[[#This Row],[weight]]*(0.9155*Table2[[#This Row],[J56]]-E$9)^2</f>
        <v>0</v>
      </c>
      <c r="Q18">
        <f>Table3[[#This Row],[weight]]*(0.9155*Table2[[#This Row],[J67]]-F$9)^2</f>
        <v>0</v>
      </c>
      <c r="R18">
        <f>Table3[[#This Row],[weight]]*(0.9155*Table2[[#This Row],[J67'']]-G$9)^2</f>
        <v>0</v>
      </c>
      <c r="S18">
        <f>Table2[[#This Row],[weight]]</f>
        <v>0</v>
      </c>
      <c r="T18" t="str">
        <f>Table2[[#This Row],[classification]]</f>
        <v>6H4</v>
      </c>
    </row>
    <row r="19" spans="11:20" x14ac:dyDescent="0.25">
      <c r="K19" t="str">
        <f>Table2[[#This Row],[Column1]]</f>
        <v xml:space="preserve">Conf43   </v>
      </c>
      <c r="L19">
        <f>Table3[[#This Row],[weight]]*(0.9155*Table2[[#This Row],[J1,2]]-A$9)^2</f>
        <v>1.2564329629121334E-4</v>
      </c>
      <c r="M19">
        <f>Table3[[#This Row],[weight]]*(0.9155*Table2[[#This Row],[J2,3]]-B$9)^2</f>
        <v>0.10224078514943327</v>
      </c>
      <c r="N19">
        <f>Table3[[#This Row],[weight]]*(0.9155*Table2[[#This Row],[J34]]-C$9)^2</f>
        <v>2.513687189012362E-4</v>
      </c>
      <c r="O19">
        <f>Table3[[#This Row],[weight]]*(0.9155*Table2[[#This Row],[J45]]-D$9)^2</f>
        <v>8.7857765149088302E-2</v>
      </c>
      <c r="P19">
        <f>Table3[[#This Row],[weight]]*(0.9155*Table2[[#This Row],[J56]]-E$9)^2</f>
        <v>0.15565630131333619</v>
      </c>
      <c r="Q19">
        <f>Table3[[#This Row],[weight]]*(0.9155*Table2[[#This Row],[J67]]-F$9)^2</f>
        <v>0.30937139029968519</v>
      </c>
      <c r="R19">
        <f>Table3[[#This Row],[weight]]*(0.9155*Table2[[#This Row],[J67'']]-G$9)^2</f>
        <v>8.6186124823561241E-4</v>
      </c>
      <c r="S19">
        <f>Table2[[#This Row],[weight]]</f>
        <v>2.8734747504188434E-3</v>
      </c>
      <c r="T19" t="str">
        <f>Table2[[#This Row],[classification]]</f>
        <v>12C5</v>
      </c>
    </row>
    <row r="20" spans="11:20" x14ac:dyDescent="0.25">
      <c r="K20" t="str">
        <f>Table2[[#This Row],[Column1]]</f>
        <v xml:space="preserve">Conf44   </v>
      </c>
      <c r="L20">
        <f>Table3[[#This Row],[weight]]*(0.9155*Table2[[#This Row],[J1,2]]-A$9)^2</f>
        <v>4.6706417431975882E-3</v>
      </c>
      <c r="M20">
        <f>Table3[[#This Row],[weight]]*(0.9155*Table2[[#This Row],[J2,3]]-B$9)^2</f>
        <v>3.1043999850889339</v>
      </c>
      <c r="N20">
        <f>Table3[[#This Row],[weight]]*(0.9155*Table2[[#This Row],[J34]]-C$9)^2</f>
        <v>3.1724220617883929E-2</v>
      </c>
      <c r="O20">
        <f>Table3[[#This Row],[weight]]*(0.9155*Table2[[#This Row],[J45]]-D$9)^2</f>
        <v>6.2809654434642228</v>
      </c>
      <c r="P20">
        <f>Table3[[#This Row],[weight]]*(0.9155*Table2[[#This Row],[J56]]-E$9)^2</f>
        <v>0.14775668195536268</v>
      </c>
      <c r="Q20">
        <f>Table3[[#This Row],[weight]]*(0.9155*Table2[[#This Row],[J67]]-F$9)^2</f>
        <v>5.8306640465994965E-2</v>
      </c>
      <c r="R20">
        <f>Table3[[#This Row],[weight]]*(0.9155*Table2[[#This Row],[J67'']]-G$9)^2</f>
        <v>8.4915622207595368E-2</v>
      </c>
      <c r="S20">
        <f>Table2[[#This Row],[weight]]</f>
        <v>6.5175913286183385E-2</v>
      </c>
      <c r="T20" t="str">
        <f>Table2[[#This Row],[classification]]</f>
        <v>4H6</v>
      </c>
    </row>
    <row r="21" spans="11:20" x14ac:dyDescent="0.25">
      <c r="K21" t="str">
        <f>Table2[[#This Row],[Column1]]</f>
        <v xml:space="preserve">Conf47   </v>
      </c>
      <c r="L21">
        <f>Table3[[#This Row],[weight]]*(0.9155*Table2[[#This Row],[J1,2]]-A$9)^2</f>
        <v>0</v>
      </c>
      <c r="M21">
        <f>Table3[[#This Row],[weight]]*(0.9155*Table2[[#This Row],[J2,3]]-B$9)^2</f>
        <v>0</v>
      </c>
      <c r="N21">
        <f>Table3[[#This Row],[weight]]*(0.9155*Table2[[#This Row],[J34]]-C$9)^2</f>
        <v>0</v>
      </c>
      <c r="O21">
        <f>Table3[[#This Row],[weight]]*(0.9155*Table2[[#This Row],[J45]]-D$9)^2</f>
        <v>0</v>
      </c>
      <c r="P21">
        <f>Table3[[#This Row],[weight]]*(0.9155*Table2[[#This Row],[J56]]-E$9)^2</f>
        <v>0</v>
      </c>
      <c r="Q21">
        <f>Table3[[#This Row],[weight]]*(0.9155*Table2[[#This Row],[J67]]-F$9)^2</f>
        <v>0</v>
      </c>
      <c r="R21">
        <f>Table3[[#This Row],[weight]]*(0.9155*Table2[[#This Row],[J67'']]-G$9)^2</f>
        <v>0</v>
      </c>
      <c r="S21">
        <f>Table2[[#This Row],[weight]]</f>
        <v>0</v>
      </c>
      <c r="T21" t="str">
        <f>Table2[[#This Row],[classification]]</f>
        <v>6H4</v>
      </c>
    </row>
    <row r="22" spans="11:20" x14ac:dyDescent="0.25">
      <c r="K22" t="str">
        <f>Table2[[#This Row],[Column1]]</f>
        <v xml:space="preserve">Conf51   </v>
      </c>
      <c r="L22">
        <f>Table3[[#This Row],[weight]]*(0.9155*Table2[[#This Row],[J1,2]]-A$9)^2</f>
        <v>0</v>
      </c>
      <c r="M22">
        <f>Table3[[#This Row],[weight]]*(0.9155*Table2[[#This Row],[J2,3]]-B$9)^2</f>
        <v>0</v>
      </c>
      <c r="N22">
        <f>Table3[[#This Row],[weight]]*(0.9155*Table2[[#This Row],[J34]]-C$9)^2</f>
        <v>0</v>
      </c>
      <c r="O22">
        <f>Table3[[#This Row],[weight]]*(0.9155*Table2[[#This Row],[J45]]-D$9)^2</f>
        <v>0</v>
      </c>
      <c r="P22">
        <f>Table3[[#This Row],[weight]]*(0.9155*Table2[[#This Row],[J56]]-E$9)^2</f>
        <v>0</v>
      </c>
      <c r="Q22">
        <f>Table3[[#This Row],[weight]]*(0.9155*Table2[[#This Row],[J67]]-F$9)^2</f>
        <v>0</v>
      </c>
      <c r="R22">
        <f>Table3[[#This Row],[weight]]*(0.9155*Table2[[#This Row],[J67'']]-G$9)^2</f>
        <v>0</v>
      </c>
      <c r="S22">
        <f>Table2[[#This Row],[weight]]</f>
        <v>0</v>
      </c>
      <c r="T22" t="str">
        <f>Table2[[#This Row],[classification]]</f>
        <v>45E</v>
      </c>
    </row>
    <row r="23" spans="11:20" x14ac:dyDescent="0.25">
      <c r="K23" t="str">
        <f>Table2[[#This Row],[Column1]]</f>
        <v xml:space="preserve">Conf52   </v>
      </c>
      <c r="L23">
        <f>Table3[[#This Row],[weight]]*(0.9155*Table2[[#This Row],[J1,2]]-A$9)^2</f>
        <v>1.0458946096381055E-4</v>
      </c>
      <c r="M23">
        <f>Table3[[#This Row],[weight]]*(0.9155*Table2[[#This Row],[J2,3]]-B$9)^2</f>
        <v>3.286873297284389</v>
      </c>
      <c r="N23">
        <f>Table3[[#This Row],[weight]]*(0.9155*Table2[[#This Row],[J34]]-C$9)^2</f>
        <v>9.8151218038349322E-2</v>
      </c>
      <c r="O23">
        <f>Table3[[#This Row],[weight]]*(0.9155*Table2[[#This Row],[J45]]-D$9)^2</f>
        <v>5.3823392778125605</v>
      </c>
      <c r="P23">
        <f>Table3[[#This Row],[weight]]*(0.9155*Table2[[#This Row],[J56]]-E$9)^2</f>
        <v>5.9876812805069984E-2</v>
      </c>
      <c r="Q23">
        <f>Table3[[#This Row],[weight]]*(0.9155*Table2[[#This Row],[J67]]-F$9)^2</f>
        <v>2.8082315313926867E-2</v>
      </c>
      <c r="R23">
        <f>Table3[[#This Row],[weight]]*(0.9155*Table2[[#This Row],[J67'']]-G$9)^2</f>
        <v>0.68656916781879151</v>
      </c>
      <c r="S23">
        <f>Table2[[#This Row],[weight]]</f>
        <v>6.9392959472931046E-2</v>
      </c>
      <c r="T23" t="str">
        <f>Table2[[#This Row],[classification]]</f>
        <v>4H6</v>
      </c>
    </row>
    <row r="24" spans="11:20" x14ac:dyDescent="0.25">
      <c r="K24" t="str">
        <f>Table2[[#This Row],[Column1]]</f>
        <v xml:space="preserve">Conf54   </v>
      </c>
      <c r="L24">
        <f>Table3[[#This Row],[weight]]*(0.9155*Table2[[#This Row],[J1,2]]-A$9)^2</f>
        <v>1.8955698736051636E-4</v>
      </c>
      <c r="M24">
        <f>Table3[[#This Row],[weight]]*(0.9155*Table2[[#This Row],[J2,3]]-B$9)^2</f>
        <v>5.9396786106826172</v>
      </c>
      <c r="N24">
        <f>Table3[[#This Row],[weight]]*(0.9155*Table2[[#This Row],[J34]]-C$9)^2</f>
        <v>0.19184544199674905</v>
      </c>
      <c r="O24">
        <f>Table3[[#This Row],[weight]]*(0.9155*Table2[[#This Row],[J45]]-D$9)^2</f>
        <v>9.2960019826688907</v>
      </c>
      <c r="P24">
        <f>Table3[[#This Row],[weight]]*(0.9155*Table2[[#This Row],[J56]]-E$9)^2</f>
        <v>0.22304723892297285</v>
      </c>
      <c r="Q24">
        <f>Table3[[#This Row],[weight]]*(0.9155*Table2[[#This Row],[J67]]-F$9)^2</f>
        <v>4.1722637058379315E-2</v>
      </c>
      <c r="R24">
        <f>Table3[[#This Row],[weight]]*(0.9155*Table2[[#This Row],[J67'']]-G$9)^2</f>
        <v>3.8674955925614096</v>
      </c>
      <c r="S24">
        <f>Table2[[#This Row],[weight]]</f>
        <v>0.1257671683217744</v>
      </c>
      <c r="T24" t="str">
        <f>Table2[[#This Row],[classification]]</f>
        <v>4H6</v>
      </c>
    </row>
    <row r="25" spans="11:20" x14ac:dyDescent="0.25">
      <c r="K25" t="str">
        <f>Table2[[#This Row],[Column1]]</f>
        <v xml:space="preserve">Conf55   </v>
      </c>
      <c r="L25">
        <f>Table3[[#This Row],[weight]]*(0.9155*Table2[[#This Row],[J1,2]]-A$9)^2</f>
        <v>4.1437128093761199E-6</v>
      </c>
      <c r="M25">
        <f>Table3[[#This Row],[weight]]*(0.9155*Table2[[#This Row],[J2,3]]-B$9)^2</f>
        <v>4.8417884030249735E-2</v>
      </c>
      <c r="N25">
        <f>Table3[[#This Row],[weight]]*(0.9155*Table2[[#This Row],[J34]]-C$9)^2</f>
        <v>2.7399599543589926E-4</v>
      </c>
      <c r="O25">
        <f>Table3[[#This Row],[weight]]*(0.9155*Table2[[#This Row],[J45]]-D$9)^2</f>
        <v>4.713478504447105E-2</v>
      </c>
      <c r="P25">
        <f>Table3[[#This Row],[weight]]*(0.9155*Table2[[#This Row],[J56]]-E$9)^2</f>
        <v>8.4182904624078458E-2</v>
      </c>
      <c r="Q25">
        <f>Table3[[#This Row],[weight]]*(0.9155*Table2[[#This Row],[J67]]-F$9)^2</f>
        <v>0.12947273299070886</v>
      </c>
      <c r="R25">
        <f>Table3[[#This Row],[weight]]*(0.9155*Table2[[#This Row],[J67'']]-G$9)^2</f>
        <v>1.241352916272894E-3</v>
      </c>
      <c r="S25">
        <f>Table2[[#This Row],[weight]]</f>
        <v>1.4009139902914978E-3</v>
      </c>
      <c r="T25" t="str">
        <f>Table2[[#This Row],[classification]]</f>
        <v>12C5</v>
      </c>
    </row>
    <row r="26" spans="11:20" x14ac:dyDescent="0.25">
      <c r="K26" t="str">
        <f>Table2[[#This Row],[Column1]]</f>
        <v xml:space="preserve">Conf57   </v>
      </c>
      <c r="L26">
        <f>Table3[[#This Row],[weight]]*(0.9155*Table2[[#This Row],[J1,2]]-A$9)^2</f>
        <v>1.503384031587636E-5</v>
      </c>
      <c r="M26">
        <f>Table3[[#This Row],[weight]]*(0.9155*Table2[[#This Row],[J2,3]]-B$9)^2</f>
        <v>9.2035741605352214E-3</v>
      </c>
      <c r="N26">
        <f>Table3[[#This Row],[weight]]*(0.9155*Table2[[#This Row],[J34]]-C$9)^2</f>
        <v>2.6720002357644825E-6</v>
      </c>
      <c r="O26">
        <f>Table3[[#This Row],[weight]]*(0.9155*Table2[[#This Row],[J45]]-D$9)^2</f>
        <v>1.9592674022472154E-2</v>
      </c>
      <c r="P26">
        <f>Table3[[#This Row],[weight]]*(0.9155*Table2[[#This Row],[J56]]-E$9)^2</f>
        <v>1.5946786062049164E-4</v>
      </c>
      <c r="Q26">
        <f>Table3[[#This Row],[weight]]*(0.9155*Table2[[#This Row],[J67]]-F$9)^2</f>
        <v>1.0900228448486116E-2</v>
      </c>
      <c r="R26">
        <f>Table3[[#This Row],[weight]]*(0.9155*Table2[[#This Row],[J67'']]-G$9)^2</f>
        <v>1.3944276667377054E-3</v>
      </c>
      <c r="S26">
        <f>Table2[[#This Row],[weight]]</f>
        <v>1.9744642742672638E-4</v>
      </c>
      <c r="T26" t="str">
        <f>Table2[[#This Row],[classification]]</f>
        <v>4H6</v>
      </c>
    </row>
    <row r="27" spans="11:20" x14ac:dyDescent="0.25">
      <c r="K27" t="str">
        <f>Table2[[#This Row],[Column1]]</f>
        <v xml:space="preserve">Conf58   </v>
      </c>
      <c r="L27">
        <f>Table3[[#This Row],[weight]]*(0.9155*Table2[[#This Row],[J1,2]]-A$9)^2</f>
        <v>9.0261249730611267E-6</v>
      </c>
      <c r="M27">
        <f>Table3[[#This Row],[weight]]*(0.9155*Table2[[#This Row],[J2,3]]-B$9)^2</f>
        <v>1.6190229836494995E-2</v>
      </c>
      <c r="N27">
        <f>Table3[[#This Row],[weight]]*(0.9155*Table2[[#This Row],[J34]]-C$9)^2</f>
        <v>1.9724754066117883E-6</v>
      </c>
      <c r="O27">
        <f>Table3[[#This Row],[weight]]*(0.9155*Table2[[#This Row],[J45]]-D$9)^2</f>
        <v>3.4549585783828961E-2</v>
      </c>
      <c r="P27">
        <f>Table3[[#This Row],[weight]]*(0.9155*Table2[[#This Row],[J56]]-E$9)^2</f>
        <v>8.5203828961975543E-4</v>
      </c>
      <c r="Q27">
        <f>Table3[[#This Row],[weight]]*(0.9155*Table2[[#This Row],[J67]]-F$9)^2</f>
        <v>1.0501928877995349E-4</v>
      </c>
      <c r="R27">
        <f>Table3[[#This Row],[weight]]*(0.9155*Table2[[#This Row],[J67'']]-G$9)^2</f>
        <v>1.1332945044437309E-2</v>
      </c>
      <c r="S27">
        <f>Table2[[#This Row],[weight]]</f>
        <v>3.4217458601206878E-4</v>
      </c>
      <c r="T27" t="str">
        <f>Table2[[#This Row],[classification]]</f>
        <v>4H6</v>
      </c>
    </row>
    <row r="28" spans="11:20" x14ac:dyDescent="0.25">
      <c r="K28" t="str">
        <f>Table2[[#This Row],[Column1]]</f>
        <v xml:space="preserve">Conf60   </v>
      </c>
      <c r="L28">
        <f>Table3[[#This Row],[weight]]*(0.9155*Table2[[#This Row],[J1,2]]-A$9)^2</f>
        <v>8.1379721866821082E-4</v>
      </c>
      <c r="M28">
        <f>Table3[[#This Row],[weight]]*(0.9155*Table2[[#This Row],[J2,3]]-B$9)^2</f>
        <v>0.1357178357046103</v>
      </c>
      <c r="N28">
        <f>Table3[[#This Row],[weight]]*(0.9155*Table2[[#This Row],[J34]]-C$9)^2</f>
        <v>4.9715217496805889E-3</v>
      </c>
      <c r="O28">
        <f>Table3[[#This Row],[weight]]*(0.9155*Table2[[#This Row],[J45]]-D$9)^2</f>
        <v>0.15373376768431196</v>
      </c>
      <c r="P28">
        <f>Table3[[#This Row],[weight]]*(0.9155*Table2[[#This Row],[J56]]-E$9)^2</f>
        <v>0.29229428135718111</v>
      </c>
      <c r="Q28">
        <f>Table3[[#This Row],[weight]]*(0.9155*Table2[[#This Row],[J67]]-F$9)^2</f>
        <v>3.7644819021336148E-4</v>
      </c>
      <c r="R28">
        <f>Table3[[#This Row],[weight]]*(0.9155*Table2[[#This Row],[J67'']]-G$9)^2</f>
        <v>0.20518378406743173</v>
      </c>
      <c r="S28">
        <f>Table2[[#This Row],[weight]]</f>
        <v>4.6778212638561483E-3</v>
      </c>
      <c r="T28" t="str">
        <f>Table2[[#This Row],[classification]]</f>
        <v>12C5</v>
      </c>
    </row>
    <row r="29" spans="11:20" x14ac:dyDescent="0.25">
      <c r="K29" t="str">
        <f>Table2[[#This Row],[Column1]]</f>
        <v xml:space="preserve">Conf65   </v>
      </c>
      <c r="L29">
        <f>Table3[[#This Row],[weight]]*(0.9155*Table2[[#This Row],[J1,2]]-A$9)^2</f>
        <v>4.3923593002584516E-5</v>
      </c>
      <c r="M29">
        <f>Table3[[#This Row],[weight]]*(0.9155*Table2[[#This Row],[J2,3]]-B$9)^2</f>
        <v>0.28751693264988804</v>
      </c>
      <c r="N29">
        <f>Table3[[#This Row],[weight]]*(0.9155*Table2[[#This Row],[J34]]-C$9)^2</f>
        <v>1.1469052488107751E-2</v>
      </c>
      <c r="O29">
        <f>Table3[[#This Row],[weight]]*(0.9155*Table2[[#This Row],[J45]]-D$9)^2</f>
        <v>0.37879346227521132</v>
      </c>
      <c r="P29">
        <f>Table3[[#This Row],[weight]]*(0.9155*Table2[[#This Row],[J56]]-E$9)^2</f>
        <v>1.0524759468182711E-3</v>
      </c>
      <c r="Q29">
        <f>Table3[[#This Row],[weight]]*(0.9155*Table2[[#This Row],[J67]]-F$9)^2</f>
        <v>0.452616967224166</v>
      </c>
      <c r="R29">
        <f>Table3[[#This Row],[weight]]*(0.9155*Table2[[#This Row],[J67'']]-G$9)^2</f>
        <v>2.4367205665052983E-3</v>
      </c>
      <c r="S29">
        <f>Table2[[#This Row],[weight]]</f>
        <v>6.2466570880075397E-3</v>
      </c>
      <c r="T29" t="str">
        <f>Table2[[#This Row],[classification]]</f>
        <v>4H6</v>
      </c>
    </row>
    <row r="30" spans="11:20" x14ac:dyDescent="0.25">
      <c r="K30" t="str">
        <f>Table2[[#This Row],[Column1]]</f>
        <v xml:space="preserve">Conf69   </v>
      </c>
      <c r="L30">
        <f>Table3[[#This Row],[weight]]*(0.9155*Table2[[#This Row],[J1,2]]-A$9)^2</f>
        <v>2.9642885214827409E-6</v>
      </c>
      <c r="M30">
        <f>Table3[[#This Row],[weight]]*(0.9155*Table2[[#This Row],[J2,3]]-B$9)^2</f>
        <v>1.1006231785311794E-4</v>
      </c>
      <c r="N30">
        <f>Table3[[#This Row],[weight]]*(0.9155*Table2[[#This Row],[J34]]-C$9)^2</f>
        <v>1.3301071012461534E-4</v>
      </c>
      <c r="O30">
        <f>Table3[[#This Row],[weight]]*(0.9155*Table2[[#This Row],[J45]]-D$9)^2</f>
        <v>3.6008765625385745E-6</v>
      </c>
      <c r="P30">
        <f>Table3[[#This Row],[weight]]*(0.9155*Table2[[#This Row],[J56]]-E$9)^2</f>
        <v>1.1040095713826432E-2</v>
      </c>
      <c r="Q30">
        <f>Table3[[#This Row],[weight]]*(0.9155*Table2[[#This Row],[J67]]-F$9)^2</f>
        <v>6.3929186802299035E-4</v>
      </c>
      <c r="R30">
        <f>Table3[[#This Row],[weight]]*(0.9155*Table2[[#This Row],[J67'']]-G$9)^2</f>
        <v>9.2051354088080652E-3</v>
      </c>
      <c r="S30">
        <f>Table2[[#This Row],[weight]]</f>
        <v>1.5804318205865528E-4</v>
      </c>
      <c r="T30" t="str">
        <f>Table2[[#This Row],[classification]]</f>
        <v>6H4</v>
      </c>
    </row>
    <row r="31" spans="11:20" x14ac:dyDescent="0.25">
      <c r="K31" t="str">
        <f>Table2[[#This Row],[Column1]]</f>
        <v xml:space="preserve">Conf70   </v>
      </c>
      <c r="L31">
        <f>Table3[[#This Row],[weight]]*(0.9155*Table2[[#This Row],[J1,2]]-A$9)^2</f>
        <v>4.7615922118414101E-3</v>
      </c>
      <c r="M31">
        <f>Table3[[#This Row],[weight]]*(0.9155*Table2[[#This Row],[J2,3]]-B$9)^2</f>
        <v>3.072330912069734</v>
      </c>
      <c r="N31">
        <f>Table3[[#This Row],[weight]]*(0.9155*Table2[[#This Row],[J34]]-C$9)^2</f>
        <v>3.1840637115715067E-2</v>
      </c>
      <c r="O31">
        <f>Table3[[#This Row],[weight]]*(0.9155*Table2[[#This Row],[J45]]-D$9)^2</f>
        <v>6.2071088131772081</v>
      </c>
      <c r="P31">
        <f>Table3[[#This Row],[weight]]*(0.9155*Table2[[#This Row],[J56]]-E$9)^2</f>
        <v>0.14490413592296017</v>
      </c>
      <c r="Q31">
        <f>Table3[[#This Row],[weight]]*(0.9155*Table2[[#This Row],[J67]]-F$9)^2</f>
        <v>5.5256994802209414E-2</v>
      </c>
      <c r="R31">
        <f>Table3[[#This Row],[weight]]*(0.9155*Table2[[#This Row],[J67'']]-G$9)^2</f>
        <v>8.9554586892838253E-2</v>
      </c>
      <c r="S31">
        <f>Table2[[#This Row],[weight]]</f>
        <v>6.4229697849314968E-2</v>
      </c>
      <c r="T31" t="str">
        <f>Table2[[#This Row],[classification]]</f>
        <v>4H6</v>
      </c>
    </row>
    <row r="32" spans="11:20" x14ac:dyDescent="0.25">
      <c r="K32" t="str">
        <f>Table2[[#This Row],[Column1]]</f>
        <v xml:space="preserve">Conf86   </v>
      </c>
      <c r="L32">
        <f>Table3[[#This Row],[weight]]*(0.9155*Table2[[#This Row],[J1,2]]-A$9)^2</f>
        <v>1.2599281610133287E-6</v>
      </c>
      <c r="M32">
        <f>Table3[[#This Row],[weight]]*(0.9155*Table2[[#This Row],[J2,3]]-B$9)^2</f>
        <v>1.0542082588853434E-2</v>
      </c>
      <c r="N32">
        <f>Table3[[#This Row],[weight]]*(0.9155*Table2[[#This Row],[J34]]-C$9)^2</f>
        <v>1.0144623749914106E-4</v>
      </c>
      <c r="O32">
        <f>Table3[[#This Row],[weight]]*(0.9155*Table2[[#This Row],[J45]]-D$9)^2</f>
        <v>1.955106530463639E-4</v>
      </c>
      <c r="P32">
        <f>Table3[[#This Row],[weight]]*(0.9155*Table2[[#This Row],[J56]]-E$9)^2</f>
        <v>3.3697684275373361E-4</v>
      </c>
      <c r="Q32">
        <f>Table3[[#This Row],[weight]]*(0.9155*Table2[[#This Row],[J67]]-F$9)^2</f>
        <v>8.027530194949096E-6</v>
      </c>
      <c r="R32">
        <f>Table3[[#This Row],[weight]]*(0.9155*Table2[[#This Row],[J67'']]-G$9)^2</f>
        <v>4.1023574790348908E-3</v>
      </c>
      <c r="S32">
        <f>Table2[[#This Row],[weight]]</f>
        <v>6.6362959010697685E-4</v>
      </c>
      <c r="T32" t="str">
        <f>Table2[[#This Row],[classification]]</f>
        <v>56E</v>
      </c>
    </row>
    <row r="33" spans="11:20" x14ac:dyDescent="0.25">
      <c r="K33" t="str">
        <f>Table2[[#This Row],[Column1]]</f>
        <v xml:space="preserve">Conf89   </v>
      </c>
      <c r="L33">
        <f>Table3[[#This Row],[weight]]*(0.9155*Table2[[#This Row],[J1,2]]-A$9)^2</f>
        <v>0</v>
      </c>
      <c r="M33">
        <f>Table3[[#This Row],[weight]]*(0.9155*Table2[[#This Row],[J2,3]]-B$9)^2</f>
        <v>0</v>
      </c>
      <c r="N33">
        <f>Table3[[#This Row],[weight]]*(0.9155*Table2[[#This Row],[J34]]-C$9)^2</f>
        <v>0</v>
      </c>
      <c r="O33">
        <f>Table3[[#This Row],[weight]]*(0.9155*Table2[[#This Row],[J45]]-D$9)^2</f>
        <v>0</v>
      </c>
      <c r="P33">
        <f>Table3[[#This Row],[weight]]*(0.9155*Table2[[#This Row],[J56]]-E$9)^2</f>
        <v>0</v>
      </c>
      <c r="Q33">
        <f>Table3[[#This Row],[weight]]*(0.9155*Table2[[#This Row],[J67]]-F$9)^2</f>
        <v>0</v>
      </c>
      <c r="R33">
        <f>Table3[[#This Row],[weight]]*(0.9155*Table2[[#This Row],[J67'']]-G$9)^2</f>
        <v>0</v>
      </c>
      <c r="S33">
        <f>Table2[[#This Row],[weight]]</f>
        <v>0</v>
      </c>
      <c r="T33" t="str">
        <f>Table2[[#This Row],[classification]]</f>
        <v>4H6</v>
      </c>
    </row>
    <row r="34" spans="11:20" x14ac:dyDescent="0.25">
      <c r="K34" t="str">
        <f>Table2[[#This Row],[Column1]]</f>
        <v xml:space="preserve">Conf90   </v>
      </c>
      <c r="L34">
        <f>Table3[[#This Row],[weight]]*(0.9155*Table2[[#This Row],[J1,2]]-A$9)^2</f>
        <v>0</v>
      </c>
      <c r="M34">
        <f>Table3[[#This Row],[weight]]*(0.9155*Table2[[#This Row],[J2,3]]-B$9)^2</f>
        <v>0</v>
      </c>
      <c r="N34">
        <f>Table3[[#This Row],[weight]]*(0.9155*Table2[[#This Row],[J34]]-C$9)^2</f>
        <v>0</v>
      </c>
      <c r="O34">
        <f>Table3[[#This Row],[weight]]*(0.9155*Table2[[#This Row],[J45]]-D$9)^2</f>
        <v>0</v>
      </c>
      <c r="P34">
        <f>Table3[[#This Row],[weight]]*(0.9155*Table2[[#This Row],[J56]]-E$9)^2</f>
        <v>0</v>
      </c>
      <c r="Q34">
        <f>Table3[[#This Row],[weight]]*(0.9155*Table2[[#This Row],[J67]]-F$9)^2</f>
        <v>0</v>
      </c>
      <c r="R34">
        <f>Table3[[#This Row],[weight]]*(0.9155*Table2[[#This Row],[J67'']]-G$9)^2</f>
        <v>0</v>
      </c>
      <c r="S34">
        <f>Table2[[#This Row],[weight]]</f>
        <v>0</v>
      </c>
      <c r="T34" t="str">
        <f>Table2[[#This Row],[classification]]</f>
        <v>4H6</v>
      </c>
    </row>
    <row r="35" spans="11:20" x14ac:dyDescent="0.25">
      <c r="K35" t="str">
        <f>Table2[[#This Row],[Column1]]</f>
        <v xml:space="preserve">Conf92   </v>
      </c>
      <c r="L35">
        <f>Table3[[#This Row],[weight]]*(0.9155*Table2[[#This Row],[J1,2]]-A$9)^2</f>
        <v>1.92712969220396E-3</v>
      </c>
      <c r="M35">
        <f>Table3[[#This Row],[weight]]*(0.9155*Table2[[#This Row],[J2,3]]-B$9)^2</f>
        <v>8.5903644363052262E-5</v>
      </c>
      <c r="N35">
        <f>Table3[[#This Row],[weight]]*(0.9155*Table2[[#This Row],[J34]]-C$9)^2</f>
        <v>2.846610416258097E-5</v>
      </c>
      <c r="O35">
        <f>Table3[[#This Row],[weight]]*(0.9155*Table2[[#This Row],[J45]]-D$9)^2</f>
        <v>3.0201879374432752E-4</v>
      </c>
      <c r="P35">
        <f>Table3[[#This Row],[weight]]*(0.9155*Table2[[#This Row],[J56]]-E$9)^2</f>
        <v>2.1277856059921354E-4</v>
      </c>
      <c r="Q35">
        <f>Table3[[#This Row],[weight]]*(0.9155*Table2[[#This Row],[J67]]-F$9)^2</f>
        <v>2.6306421382691677E-2</v>
      </c>
      <c r="R35">
        <f>Table3[[#This Row],[weight]]*(0.9155*Table2[[#This Row],[J67'']]-G$9)^2</f>
        <v>0.98103634645703275</v>
      </c>
      <c r="S35">
        <f>Table2[[#This Row],[weight]]</f>
        <v>0.2030773709245009</v>
      </c>
      <c r="T35" t="str">
        <f>Table2[[#This Row],[classification]]</f>
        <v>5C12</v>
      </c>
    </row>
    <row r="36" spans="11:20" x14ac:dyDescent="0.25">
      <c r="K36" t="str">
        <f>Table2[[#This Row],[Column1]]</f>
        <v xml:space="preserve">Conf93   </v>
      </c>
      <c r="L36">
        <f>Table3[[#This Row],[weight]]*(0.9155*Table2[[#This Row],[J1,2]]-A$9)^2</f>
        <v>1.0770799692238328E-5</v>
      </c>
      <c r="M36">
        <f>Table3[[#This Row],[weight]]*(0.9155*Table2[[#This Row],[J2,3]]-B$9)^2</f>
        <v>3.0179493489033621E-2</v>
      </c>
      <c r="N36">
        <f>Table3[[#This Row],[weight]]*(0.9155*Table2[[#This Row],[J34]]-C$9)^2</f>
        <v>7.005185080257833E-5</v>
      </c>
      <c r="O36">
        <f>Table3[[#This Row],[weight]]*(0.9155*Table2[[#This Row],[J45]]-D$9)^2</f>
        <v>2.7516772389263321E-2</v>
      </c>
      <c r="P36">
        <f>Table3[[#This Row],[weight]]*(0.9155*Table2[[#This Row],[J56]]-E$9)^2</f>
        <v>4.9947166495258828E-2</v>
      </c>
      <c r="Q36">
        <f>Table3[[#This Row],[weight]]*(0.9155*Table2[[#This Row],[J67]]-F$9)^2</f>
        <v>8.1408075921989717E-2</v>
      </c>
      <c r="R36">
        <f>Table3[[#This Row],[weight]]*(0.9155*Table2[[#This Row],[J67'']]-G$9)^2</f>
        <v>2.4103601491583318E-3</v>
      </c>
      <c r="S36">
        <f>Table2[[#This Row],[weight]]</f>
        <v>8.8640984616944951E-4</v>
      </c>
      <c r="T36" t="str">
        <f>Table2[[#This Row],[classification]]</f>
        <v>12C5</v>
      </c>
    </row>
    <row r="37" spans="11:20" x14ac:dyDescent="0.25">
      <c r="K37" t="str">
        <f>Table2[[#This Row],[Column1]]</f>
        <v xml:space="preserve">Conf95   </v>
      </c>
      <c r="L37">
        <f>Table3[[#This Row],[weight]]*(0.9155*Table2[[#This Row],[J1,2]]-A$9)^2</f>
        <v>4.4942990287887687E-6</v>
      </c>
      <c r="M37">
        <f>Table3[[#This Row],[weight]]*(0.9155*Table2[[#This Row],[J2,3]]-B$9)^2</f>
        <v>1.100471219576597E-4</v>
      </c>
      <c r="N37">
        <f>Table3[[#This Row],[weight]]*(0.9155*Table2[[#This Row],[J34]]-C$9)^2</f>
        <v>1.3133580559692047E-4</v>
      </c>
      <c r="O37">
        <f>Table3[[#This Row],[weight]]*(0.9155*Table2[[#This Row],[J45]]-D$9)^2</f>
        <v>4.7075731761689828E-6</v>
      </c>
      <c r="P37">
        <f>Table3[[#This Row],[weight]]*(0.9155*Table2[[#This Row],[J56]]-E$9)^2</f>
        <v>1.1355836360267027E-2</v>
      </c>
      <c r="Q37">
        <f>Table3[[#This Row],[weight]]*(0.9155*Table2[[#This Row],[J67]]-F$9)^2</f>
        <v>3.5022451177105359E-4</v>
      </c>
      <c r="R37">
        <f>Table3[[#This Row],[weight]]*(0.9155*Table2[[#This Row],[J67'']]-G$9)^2</f>
        <v>1.1092260790311635E-2</v>
      </c>
      <c r="S37">
        <f>Table2[[#This Row],[weight]]</f>
        <v>1.6083202905120859E-4</v>
      </c>
      <c r="T37" t="str">
        <f>Table2[[#This Row],[classification]]</f>
        <v>6H4</v>
      </c>
    </row>
    <row r="38" spans="11:20" x14ac:dyDescent="0.25">
      <c r="K38" t="str">
        <f>Table2[[#This Row],[Column1]]</f>
        <v xml:space="preserve">Conf100   </v>
      </c>
      <c r="L38">
        <f>Table3[[#This Row],[weight]]*(0.9155*Table2[[#This Row],[J1,2]]-A$9)^2</f>
        <v>4.4789684427184546E-3</v>
      </c>
      <c r="M38">
        <f>Table3[[#This Row],[weight]]*(0.9155*Table2[[#This Row],[J2,3]]-B$9)^2</f>
        <v>2.3754706891964103E-6</v>
      </c>
      <c r="N38">
        <f>Table3[[#This Row],[weight]]*(0.9155*Table2[[#This Row],[J34]]-C$9)^2</f>
        <v>1.721563112395577E-4</v>
      </c>
      <c r="O38">
        <f>Table3[[#This Row],[weight]]*(0.9155*Table2[[#This Row],[J45]]-D$9)^2</f>
        <v>6.957211639627975E-4</v>
      </c>
      <c r="P38">
        <f>Table3[[#This Row],[weight]]*(0.9155*Table2[[#This Row],[J56]]-E$9)^2</f>
        <v>1.117867416697748E-3</v>
      </c>
      <c r="Q38">
        <f>Table3[[#This Row],[weight]]*(0.9155*Table2[[#This Row],[J67]]-F$9)^2</f>
        <v>6.3841501986278085E-3</v>
      </c>
      <c r="R38">
        <f>Table3[[#This Row],[weight]]*(0.9155*Table2[[#This Row],[J67'']]-G$9)^2</f>
        <v>1.4230411904301952</v>
      </c>
      <c r="S38">
        <f>Table2[[#This Row],[weight]]</f>
        <v>3.9548008203148202E-2</v>
      </c>
      <c r="T38" t="str">
        <f>Table2[[#This Row],[classification]]</f>
        <v>5C12</v>
      </c>
    </row>
    <row r="39" spans="11:20" x14ac:dyDescent="0.25">
      <c r="K39" t="str">
        <f>Table2[[#This Row],[Column1]]</f>
        <v xml:space="preserve">Conf112   </v>
      </c>
      <c r="L39">
        <f>Table3[[#This Row],[weight]]*(0.9155*Table2[[#This Row],[J1,2]]-A$9)^2</f>
        <v>0</v>
      </c>
      <c r="M39">
        <f>Table3[[#This Row],[weight]]*(0.9155*Table2[[#This Row],[J2,3]]-B$9)^2</f>
        <v>0</v>
      </c>
      <c r="N39">
        <f>Table3[[#This Row],[weight]]*(0.9155*Table2[[#This Row],[J34]]-C$9)^2</f>
        <v>0</v>
      </c>
      <c r="O39">
        <f>Table3[[#This Row],[weight]]*(0.9155*Table2[[#This Row],[J45]]-D$9)^2</f>
        <v>0</v>
      </c>
      <c r="P39">
        <f>Table3[[#This Row],[weight]]*(0.9155*Table2[[#This Row],[J56]]-E$9)^2</f>
        <v>0</v>
      </c>
      <c r="Q39">
        <f>Table3[[#This Row],[weight]]*(0.9155*Table2[[#This Row],[J67]]-F$9)^2</f>
        <v>0</v>
      </c>
      <c r="R39">
        <f>Table3[[#This Row],[weight]]*(0.9155*Table2[[#This Row],[J67'']]-G$9)^2</f>
        <v>0</v>
      </c>
      <c r="S39">
        <f>Table2[[#This Row],[weight]]</f>
        <v>0</v>
      </c>
      <c r="T39" t="str">
        <f>Table2[[#This Row],[classification]]</f>
        <v>4H6</v>
      </c>
    </row>
    <row r="40" spans="11:20" x14ac:dyDescent="0.25">
      <c r="K40" t="str">
        <f>Table2[[#This Row],[Column1]]</f>
        <v xml:space="preserve">Conf115   </v>
      </c>
      <c r="L40">
        <f>Table3[[#This Row],[weight]]*(0.9155*Table2[[#This Row],[J1,2]]-A$9)^2</f>
        <v>0</v>
      </c>
      <c r="M40">
        <f>Table3[[#This Row],[weight]]*(0.9155*Table2[[#This Row],[J2,3]]-B$9)^2</f>
        <v>0</v>
      </c>
      <c r="N40">
        <f>Table3[[#This Row],[weight]]*(0.9155*Table2[[#This Row],[J34]]-C$9)^2</f>
        <v>0</v>
      </c>
      <c r="O40">
        <f>Table3[[#This Row],[weight]]*(0.9155*Table2[[#This Row],[J45]]-D$9)^2</f>
        <v>0</v>
      </c>
      <c r="P40">
        <f>Table3[[#This Row],[weight]]*(0.9155*Table2[[#This Row],[J56]]-E$9)^2</f>
        <v>0</v>
      </c>
      <c r="Q40">
        <f>Table3[[#This Row],[weight]]*(0.9155*Table2[[#This Row],[J67]]-F$9)^2</f>
        <v>0</v>
      </c>
      <c r="R40">
        <f>Table3[[#This Row],[weight]]*(0.9155*Table2[[#This Row],[J67'']]-G$9)^2</f>
        <v>0</v>
      </c>
      <c r="S40">
        <f>Table2[[#This Row],[weight]]</f>
        <v>0</v>
      </c>
      <c r="T40" t="str">
        <f>Table2[[#This Row],[classification]]</f>
        <v>12C5</v>
      </c>
    </row>
    <row r="41" spans="11:20" x14ac:dyDescent="0.25">
      <c r="K41" t="str">
        <f>Table2[[#This Row],[Column1]]</f>
        <v xml:space="preserve">Conf117   </v>
      </c>
      <c r="L41">
        <f>Table3[[#This Row],[weight]]*(0.9155*Table2[[#This Row],[J1,2]]-A$9)^2</f>
        <v>0</v>
      </c>
      <c r="M41">
        <f>Table3[[#This Row],[weight]]*(0.9155*Table2[[#This Row],[J2,3]]-B$9)^2</f>
        <v>0</v>
      </c>
      <c r="N41">
        <f>Table3[[#This Row],[weight]]*(0.9155*Table2[[#This Row],[J34]]-C$9)^2</f>
        <v>0</v>
      </c>
      <c r="O41">
        <f>Table3[[#This Row],[weight]]*(0.9155*Table2[[#This Row],[J45]]-D$9)^2</f>
        <v>0</v>
      </c>
      <c r="P41">
        <f>Table3[[#This Row],[weight]]*(0.9155*Table2[[#This Row],[J56]]-E$9)^2</f>
        <v>0</v>
      </c>
      <c r="Q41">
        <f>Table3[[#This Row],[weight]]*(0.9155*Table2[[#This Row],[J67]]-F$9)^2</f>
        <v>0</v>
      </c>
      <c r="R41">
        <f>Table3[[#This Row],[weight]]*(0.9155*Table2[[#This Row],[J67'']]-G$9)^2</f>
        <v>0</v>
      </c>
      <c r="S41">
        <f>Table2[[#This Row],[weight]]</f>
        <v>0</v>
      </c>
      <c r="T41" t="str">
        <f>Table2[[#This Row],[classification]]</f>
        <v>12C5</v>
      </c>
    </row>
    <row r="42" spans="11:20" x14ac:dyDescent="0.25">
      <c r="K42" t="str">
        <f>Table2[[#This Row],[Column1]]</f>
        <v xml:space="preserve">Conf118   </v>
      </c>
      <c r="L42">
        <f>Table3[[#This Row],[weight]]*(0.9155*Table2[[#This Row],[J1,2]]-A$9)^2</f>
        <v>1.204072475836251E-4</v>
      </c>
      <c r="M42">
        <f>Table3[[#This Row],[weight]]*(0.9155*Table2[[#This Row],[J2,3]]-B$9)^2</f>
        <v>2.2483553262424169E-6</v>
      </c>
      <c r="N42">
        <f>Table3[[#This Row],[weight]]*(0.9155*Table2[[#This Row],[J34]]-C$9)^2</f>
        <v>3.7488124183944104E-5</v>
      </c>
      <c r="O42">
        <f>Table3[[#This Row],[weight]]*(0.9155*Table2[[#This Row],[J45]]-D$9)^2</f>
        <v>2.2993161487405275E-4</v>
      </c>
      <c r="P42">
        <f>Table3[[#This Row],[weight]]*(0.9155*Table2[[#This Row],[J56]]-E$9)^2</f>
        <v>3.354756388670443E-3</v>
      </c>
      <c r="Q42">
        <f>Table3[[#This Row],[weight]]*(0.9155*Table2[[#This Row],[J67]]-F$9)^2</f>
        <v>9.3850036673961339E-4</v>
      </c>
      <c r="R42">
        <f>Table3[[#This Row],[weight]]*(0.9155*Table2[[#This Row],[J67'']]-G$9)^2</f>
        <v>7.2615660680332853E-3</v>
      </c>
      <c r="S42">
        <f>Table2[[#This Row],[weight]]</f>
        <v>2.3854228270174319E-3</v>
      </c>
      <c r="T42" t="str">
        <f>Table2[[#This Row],[classification]]</f>
        <v>5C12</v>
      </c>
    </row>
    <row r="43" spans="11:20" x14ac:dyDescent="0.25">
      <c r="K43" t="str">
        <f>Table2[[#This Row],[Column1]]</f>
        <v xml:space="preserve">Conf120   </v>
      </c>
      <c r="L43">
        <f>Table3[[#This Row],[weight]]*(0.9155*Table2[[#This Row],[J1,2]]-A$9)^2</f>
        <v>6.9087453206157618E-5</v>
      </c>
      <c r="M43">
        <f>Table3[[#This Row],[weight]]*(0.9155*Table2[[#This Row],[J2,3]]-B$9)^2</f>
        <v>0.32791176675876382</v>
      </c>
      <c r="N43">
        <f>Table3[[#This Row],[weight]]*(0.9155*Table2[[#This Row],[J34]]-C$9)^2</f>
        <v>1.2670187055409949E-2</v>
      </c>
      <c r="O43">
        <f>Table3[[#This Row],[weight]]*(0.9155*Table2[[#This Row],[J45]]-D$9)^2</f>
        <v>0.43523788966819027</v>
      </c>
      <c r="P43">
        <f>Table3[[#This Row],[weight]]*(0.9155*Table2[[#This Row],[J56]]-E$9)^2</f>
        <v>7.1593132900839155E-4</v>
      </c>
      <c r="Q43">
        <f>Table3[[#This Row],[weight]]*(0.9155*Table2[[#This Row],[J67]]-F$9)^2</f>
        <v>0.52888283989781915</v>
      </c>
      <c r="R43">
        <f>Table3[[#This Row],[weight]]*(0.9155*Table2[[#This Row],[J67'']]-G$9)^2</f>
        <v>3.4762924463396521E-3</v>
      </c>
      <c r="S43">
        <f>Table2[[#This Row],[weight]]</f>
        <v>7.1204403410527117E-3</v>
      </c>
      <c r="T43" t="str">
        <f>Table2[[#This Row],[classification]]</f>
        <v>4H6</v>
      </c>
    </row>
    <row r="44" spans="11:20" x14ac:dyDescent="0.25">
      <c r="K44" t="str">
        <f>Table2[[#This Row],[Column1]]</f>
        <v xml:space="preserve">Conf122   </v>
      </c>
      <c r="L44">
        <f>Table3[[#This Row],[weight]]*(0.9155*Table2[[#This Row],[J1,2]]-A$9)^2</f>
        <v>2.0159956107744159E-3</v>
      </c>
      <c r="M44">
        <f>Table3[[#This Row],[weight]]*(0.9155*Table2[[#This Row],[J2,3]]-B$9)^2</f>
        <v>3.7262655762755538E-4</v>
      </c>
      <c r="N44">
        <f>Table3[[#This Row],[weight]]*(0.9155*Table2[[#This Row],[J34]]-C$9)^2</f>
        <v>6.2566892472014704E-5</v>
      </c>
      <c r="O44">
        <f>Table3[[#This Row],[weight]]*(0.9155*Table2[[#This Row],[J45]]-D$9)^2</f>
        <v>5.5773178726230732E-4</v>
      </c>
      <c r="P44">
        <f>Table3[[#This Row],[weight]]*(0.9155*Table2[[#This Row],[J56]]-E$9)^2</f>
        <v>2.8249203446864607E-3</v>
      </c>
      <c r="Q44">
        <f>Table3[[#This Row],[weight]]*(0.9155*Table2[[#This Row],[J67]]-F$9)^2</f>
        <v>2.256828035840295E-4</v>
      </c>
      <c r="R44">
        <f>Table3[[#This Row],[weight]]*(0.9155*Table2[[#This Row],[J67'']]-G$9)^2</f>
        <v>0.22202874916690113</v>
      </c>
      <c r="S44">
        <f>Table2[[#This Row],[weight]]</f>
        <v>3.389102395072556E-2</v>
      </c>
      <c r="T44" t="str">
        <f>Table2[[#This Row],[classification]]</f>
        <v>5C12</v>
      </c>
    </row>
    <row r="45" spans="11:20" x14ac:dyDescent="0.25">
      <c r="K45" t="str">
        <f>Table2[[#This Row],[Column1]]</f>
        <v xml:space="preserve">Conf124   </v>
      </c>
      <c r="L45">
        <f>Table3[[#This Row],[weight]]*(0.9155*Table2[[#This Row],[J1,2]]-A$9)^2</f>
        <v>0</v>
      </c>
      <c r="M45">
        <f>Table3[[#This Row],[weight]]*(0.9155*Table2[[#This Row],[J2,3]]-B$9)^2</f>
        <v>0</v>
      </c>
      <c r="N45">
        <f>Table3[[#This Row],[weight]]*(0.9155*Table2[[#This Row],[J34]]-C$9)^2</f>
        <v>0</v>
      </c>
      <c r="O45">
        <f>Table3[[#This Row],[weight]]*(0.9155*Table2[[#This Row],[J45]]-D$9)^2</f>
        <v>0</v>
      </c>
      <c r="P45">
        <f>Table3[[#This Row],[weight]]*(0.9155*Table2[[#This Row],[J56]]-E$9)^2</f>
        <v>0</v>
      </c>
      <c r="Q45">
        <f>Table3[[#This Row],[weight]]*(0.9155*Table2[[#This Row],[J67]]-F$9)^2</f>
        <v>0</v>
      </c>
      <c r="R45">
        <f>Table3[[#This Row],[weight]]*(0.9155*Table2[[#This Row],[J67'']]-G$9)^2</f>
        <v>0</v>
      </c>
      <c r="S45">
        <f>Table2[[#This Row],[weight]]</f>
        <v>0</v>
      </c>
      <c r="T45" t="str">
        <f>Table2[[#This Row],[classification]]</f>
        <v>12C5</v>
      </c>
    </row>
    <row r="46" spans="11:20" x14ac:dyDescent="0.25">
      <c r="K46" t="str">
        <f>Table2[[#This Row],[Column1]]</f>
        <v xml:space="preserve">Conf125   </v>
      </c>
      <c r="L46">
        <f>Table3[[#This Row],[weight]]*(0.9155*Table2[[#This Row],[J1,2]]-A$9)^2</f>
        <v>0</v>
      </c>
      <c r="M46">
        <f>Table3[[#This Row],[weight]]*(0.9155*Table2[[#This Row],[J2,3]]-B$9)^2</f>
        <v>0</v>
      </c>
      <c r="N46">
        <f>Table3[[#This Row],[weight]]*(0.9155*Table2[[#This Row],[J34]]-C$9)^2</f>
        <v>0</v>
      </c>
      <c r="O46">
        <f>Table3[[#This Row],[weight]]*(0.9155*Table2[[#This Row],[J45]]-D$9)^2</f>
        <v>0</v>
      </c>
      <c r="P46">
        <f>Table3[[#This Row],[weight]]*(0.9155*Table2[[#This Row],[J56]]-E$9)^2</f>
        <v>0</v>
      </c>
      <c r="Q46">
        <f>Table3[[#This Row],[weight]]*(0.9155*Table2[[#This Row],[J67]]-F$9)^2</f>
        <v>0</v>
      </c>
      <c r="R46">
        <f>Table3[[#This Row],[weight]]*(0.9155*Table2[[#This Row],[J67'']]-G$9)^2</f>
        <v>0</v>
      </c>
      <c r="S46">
        <f>Table2[[#This Row],[weight]]</f>
        <v>0</v>
      </c>
      <c r="T46" t="str">
        <f>Table2[[#This Row],[classification]]</f>
        <v>12C5</v>
      </c>
    </row>
    <row r="47" spans="11:20" x14ac:dyDescent="0.25">
      <c r="K47" t="str">
        <f>Table2[[#This Row],[Column1]]</f>
        <v xml:space="preserve">Conf126   </v>
      </c>
      <c r="L47">
        <f>Table3[[#This Row],[weight]]*(0.9155*Table2[[#This Row],[J1,2]]-A$9)^2</f>
        <v>0</v>
      </c>
      <c r="M47">
        <f>Table3[[#This Row],[weight]]*(0.9155*Table2[[#This Row],[J2,3]]-B$9)^2</f>
        <v>0</v>
      </c>
      <c r="N47">
        <f>Table3[[#This Row],[weight]]*(0.9155*Table2[[#This Row],[J34]]-C$9)^2</f>
        <v>0</v>
      </c>
      <c r="O47">
        <f>Table3[[#This Row],[weight]]*(0.9155*Table2[[#This Row],[J45]]-D$9)^2</f>
        <v>0</v>
      </c>
      <c r="P47">
        <f>Table3[[#This Row],[weight]]*(0.9155*Table2[[#This Row],[J56]]-E$9)^2</f>
        <v>0</v>
      </c>
      <c r="Q47">
        <f>Table3[[#This Row],[weight]]*(0.9155*Table2[[#This Row],[J67]]-F$9)^2</f>
        <v>0</v>
      </c>
      <c r="R47">
        <f>Table3[[#This Row],[weight]]*(0.9155*Table2[[#This Row],[J67'']]-G$9)^2</f>
        <v>0</v>
      </c>
      <c r="S47">
        <f>Table2[[#This Row],[weight]]</f>
        <v>0</v>
      </c>
      <c r="T47" t="str">
        <f>Table2[[#This Row],[classification]]</f>
        <v>5C12</v>
      </c>
    </row>
    <row r="48" spans="11:20" x14ac:dyDescent="0.25">
      <c r="K48" t="str">
        <f>Table2[[#This Row],[Column1]]</f>
        <v xml:space="preserve">Conf129   </v>
      </c>
      <c r="L48">
        <f>Table3[[#This Row],[weight]]*(0.9155*Table2[[#This Row],[J1,2]]-A$9)^2</f>
        <v>7.0322538001894126E-4</v>
      </c>
      <c r="M48">
        <f>Table3[[#This Row],[weight]]*(0.9155*Table2[[#This Row],[J2,3]]-B$9)^2</f>
        <v>7.5730210280737779E-8</v>
      </c>
      <c r="N48">
        <f>Table3[[#This Row],[weight]]*(0.9155*Table2[[#This Row],[J34]]-C$9)^2</f>
        <v>6.2986014212791734E-5</v>
      </c>
      <c r="O48">
        <f>Table3[[#This Row],[weight]]*(0.9155*Table2[[#This Row],[J45]]-D$9)^2</f>
        <v>1.7134808649206225E-4</v>
      </c>
      <c r="P48">
        <f>Table3[[#This Row],[weight]]*(0.9155*Table2[[#This Row],[J56]]-E$9)^2</f>
        <v>2.5885842118750696E-4</v>
      </c>
      <c r="Q48">
        <f>Table3[[#This Row],[weight]]*(0.9155*Table2[[#This Row],[J67]]-F$9)^2</f>
        <v>0.4223451124350267</v>
      </c>
      <c r="R48">
        <f>Table3[[#This Row],[weight]]*(0.9155*Table2[[#This Row],[J67'']]-G$9)^2</f>
        <v>4.2243326864033343E-2</v>
      </c>
      <c r="S48">
        <f>Table2[[#This Row],[weight]]</f>
        <v>7.2327591341994988E-3</v>
      </c>
      <c r="T48" t="str">
        <f>Table2[[#This Row],[classification]]</f>
        <v>5C12</v>
      </c>
    </row>
    <row r="49" spans="11:20" x14ac:dyDescent="0.25">
      <c r="K49" t="str">
        <f>Table2[[#This Row],[Column1]]</f>
        <v xml:space="preserve">Conf144   </v>
      </c>
      <c r="L49">
        <f>Table3[[#This Row],[weight]]*(0.9155*Table2[[#This Row],[J1,2]]-A$9)^2</f>
        <v>8.3534254757255497E-5</v>
      </c>
      <c r="M49">
        <f>Table3[[#This Row],[weight]]*(0.9155*Table2[[#This Row],[J2,3]]-B$9)^2</f>
        <v>1.912866856448448E-8</v>
      </c>
      <c r="N49">
        <f>Table3[[#This Row],[weight]]*(0.9155*Table2[[#This Row],[J34]]-C$9)^2</f>
        <v>1.2738186911518278E-5</v>
      </c>
      <c r="O49">
        <f>Table3[[#This Row],[weight]]*(0.9155*Table2[[#This Row],[J45]]-D$9)^2</f>
        <v>2.5054994759911741E-7</v>
      </c>
      <c r="P49">
        <f>Table3[[#This Row],[weight]]*(0.9155*Table2[[#This Row],[J56]]-E$9)^2</f>
        <v>1.9205145704795823E-4</v>
      </c>
      <c r="Q49">
        <f>Table3[[#This Row],[weight]]*(0.9155*Table2[[#This Row],[J67]]-F$9)^2</f>
        <v>5.2520406351786505E-4</v>
      </c>
      <c r="R49">
        <f>Table3[[#This Row],[weight]]*(0.9155*Table2[[#This Row],[J67'']]-G$9)^2</f>
        <v>1.2072970607576673E-3</v>
      </c>
      <c r="S49">
        <f>Table2[[#This Row],[weight]]</f>
        <v>2.083749674702386E-4</v>
      </c>
      <c r="T49" t="str">
        <f>Table2[[#This Row],[classification]]</f>
        <v>5C12</v>
      </c>
    </row>
    <row r="50" spans="11:20" x14ac:dyDescent="0.25">
      <c r="K50" t="str">
        <f>Table2[[#This Row],[Column1]]</f>
        <v xml:space="preserve">Conf155   </v>
      </c>
      <c r="L50">
        <f>Table3[[#This Row],[weight]]*(0.9155*Table2[[#This Row],[J1,2]]-A$9)^2</f>
        <v>2.9823982745347298E-3</v>
      </c>
      <c r="M50">
        <f>Table3[[#This Row],[weight]]*(0.9155*Table2[[#This Row],[J2,3]]-B$9)^2</f>
        <v>1.2901801257592208E-5</v>
      </c>
      <c r="N50">
        <f>Table3[[#This Row],[weight]]*(0.9155*Table2[[#This Row],[J34]]-C$9)^2</f>
        <v>1.1376333306299454E-4</v>
      </c>
      <c r="O50">
        <f>Table3[[#This Row],[weight]]*(0.9155*Table2[[#This Row],[J45]]-D$9)^2</f>
        <v>1.6430548899877171E-3</v>
      </c>
      <c r="P50">
        <f>Table3[[#This Row],[weight]]*(0.9155*Table2[[#This Row],[J56]]-E$9)^2</f>
        <v>2.7210012206140134E-3</v>
      </c>
      <c r="Q50">
        <f>Table3[[#This Row],[weight]]*(0.9155*Table2[[#This Row],[J67]]-F$9)^2</f>
        <v>5.1828331943488536E-4</v>
      </c>
      <c r="R50">
        <f>Table3[[#This Row],[weight]]*(0.9155*Table2[[#This Row],[J67'']]-G$9)^2</f>
        <v>1.9846785531464282</v>
      </c>
      <c r="S50">
        <f>Table2[[#This Row],[weight]]</f>
        <v>5.0066633606989631E-2</v>
      </c>
      <c r="T50" t="str">
        <f>Table2[[#This Row],[classification]]</f>
        <v>5C12</v>
      </c>
    </row>
    <row r="51" spans="11:20" x14ac:dyDescent="0.25">
      <c r="K51" t="str">
        <f>Table2[[#This Row],[Column1]]</f>
        <v xml:space="preserve">Conf159   </v>
      </c>
      <c r="L51">
        <f>Table3[[#This Row],[weight]]*(0.9155*Table2[[#This Row],[J1,2]]-A$9)^2</f>
        <v>4.1798290450870161E-6</v>
      </c>
      <c r="M51">
        <f>Table3[[#This Row],[weight]]*(0.9155*Table2[[#This Row],[J2,3]]-B$9)^2</f>
        <v>8.1440317946932675E-7</v>
      </c>
      <c r="N51">
        <f>Table3[[#This Row],[weight]]*(0.9155*Table2[[#This Row],[J34]]-C$9)^2</f>
        <v>2.967737473704296E-7</v>
      </c>
      <c r="O51">
        <f>Table3[[#This Row],[weight]]*(0.9155*Table2[[#This Row],[J45]]-D$9)^2</f>
        <v>4.0046009099949219E-6</v>
      </c>
      <c r="P51">
        <f>Table3[[#This Row],[weight]]*(0.9155*Table2[[#This Row],[J56]]-E$9)^2</f>
        <v>1.2568786106923369E-4</v>
      </c>
      <c r="Q51">
        <f>Table3[[#This Row],[weight]]*(0.9155*Table2[[#This Row],[J67]]-F$9)^2</f>
        <v>2.1211739363895744E-2</v>
      </c>
      <c r="R51">
        <f>Table3[[#This Row],[weight]]*(0.9155*Table2[[#This Row],[J67'']]-G$9)^2</f>
        <v>2.4691110672600118E-3</v>
      </c>
      <c r="S51">
        <f>Table2[[#This Row],[weight]]</f>
        <v>3.6685112455900641E-4</v>
      </c>
      <c r="T51" t="str">
        <f>Table2[[#This Row],[classification]]</f>
        <v>5C12</v>
      </c>
    </row>
    <row r="52" spans="11:20" x14ac:dyDescent="0.25">
      <c r="K52" t="str">
        <f>Table2[[#This Row],[Column1]]</f>
        <v xml:space="preserve">Conf164   </v>
      </c>
      <c r="L52">
        <f>Table3[[#This Row],[weight]]*(0.9155*Table2[[#This Row],[J1,2]]-A$9)^2</f>
        <v>1.266136478679846E-4</v>
      </c>
      <c r="M52">
        <f>Table3[[#This Row],[weight]]*(0.9155*Table2[[#This Row],[J2,3]]-B$9)^2</f>
        <v>2.9036462091726303E-7</v>
      </c>
      <c r="N52">
        <f>Table3[[#This Row],[weight]]*(0.9155*Table2[[#This Row],[J34]]-C$9)^2</f>
        <v>1.8865423069453252E-6</v>
      </c>
      <c r="O52">
        <f>Table3[[#This Row],[weight]]*(0.9155*Table2[[#This Row],[J45]]-D$9)^2</f>
        <v>1.7688529019365898E-5</v>
      </c>
      <c r="P52">
        <f>Table3[[#This Row],[weight]]*(0.9155*Table2[[#This Row],[J56]]-E$9)^2</f>
        <v>1.7968867458563348E-4</v>
      </c>
      <c r="Q52">
        <f>Table3[[#This Row],[weight]]*(0.9155*Table2[[#This Row],[J67]]-F$9)^2</f>
        <v>9.6789432858754724E-5</v>
      </c>
      <c r="R52">
        <f>Table3[[#This Row],[weight]]*(0.9155*Table2[[#This Row],[J67'']]-G$9)^2</f>
        <v>3.7672285813051022E-2</v>
      </c>
      <c r="S52">
        <f>Table2[[#This Row],[weight]]</f>
        <v>1.0160227235357724E-3</v>
      </c>
      <c r="T52" t="str">
        <f>Table2[[#This Row],[classification]]</f>
        <v>5C12</v>
      </c>
    </row>
    <row r="53" spans="11:20" x14ac:dyDescent="0.25">
      <c r="K53" t="str">
        <f>Table2[[#This Row],[Column1]]</f>
        <v xml:space="preserve">Conf170   </v>
      </c>
      <c r="L53">
        <f>Table3[[#This Row],[weight]]*(0.9155*Table2[[#This Row],[J1,2]]-A$9)^2</f>
        <v>1.1727122047167722E-6</v>
      </c>
      <c r="M53">
        <f>Table3[[#This Row],[weight]]*(0.9155*Table2[[#This Row],[J2,3]]-B$9)^2</f>
        <v>1.0882849197743928E-3</v>
      </c>
      <c r="N53">
        <f>Table3[[#This Row],[weight]]*(0.9155*Table2[[#This Row],[J34]]-C$9)^2</f>
        <v>8.4656966658895227E-8</v>
      </c>
      <c r="O53">
        <f>Table3[[#This Row],[weight]]*(0.9155*Table2[[#This Row],[J45]]-D$9)^2</f>
        <v>1.9365084126219668E-5</v>
      </c>
      <c r="P53">
        <f>Table3[[#This Row],[weight]]*(0.9155*Table2[[#This Row],[J56]]-E$9)^2</f>
        <v>8.4402186936114892E-7</v>
      </c>
      <c r="Q53">
        <f>Table3[[#This Row],[weight]]*(0.9155*Table2[[#This Row],[J67]]-F$9)^2</f>
        <v>1.4646181864606167E-5</v>
      </c>
      <c r="R53">
        <f>Table3[[#This Row],[weight]]*(0.9155*Table2[[#This Row],[J67'']]-G$9)^2</f>
        <v>5.7180656577651842E-4</v>
      </c>
      <c r="S53">
        <f>Table2[[#This Row],[weight]]</f>
        <v>6.6177406450344546E-5</v>
      </c>
      <c r="T53" t="str">
        <f>Table2[[#This Row],[classification]]</f>
        <v>56E</v>
      </c>
    </row>
    <row r="54" spans="11:20" x14ac:dyDescent="0.25">
      <c r="K54" t="str">
        <f>Table2[[#This Row],[Column1]]</f>
        <v xml:space="preserve">Conf184   </v>
      </c>
      <c r="L54">
        <f>Table3[[#This Row],[weight]]*(0.9155*Table2[[#This Row],[J1,2]]-A$9)^2</f>
        <v>2.9253399993368634E-6</v>
      </c>
      <c r="M54">
        <f>Table3[[#This Row],[weight]]*(0.9155*Table2[[#This Row],[J2,3]]-B$9)^2</f>
        <v>0.46337583584946379</v>
      </c>
      <c r="N54">
        <f>Table3[[#This Row],[weight]]*(0.9155*Table2[[#This Row],[J34]]-C$9)^2</f>
        <v>8.8795032759433849E-3</v>
      </c>
      <c r="O54">
        <f>Table3[[#This Row],[weight]]*(0.9155*Table2[[#This Row],[J45]]-D$9)^2</f>
        <v>0.59584077912184841</v>
      </c>
      <c r="P54">
        <f>Table3[[#This Row],[weight]]*(0.9155*Table2[[#This Row],[J56]]-E$9)^2</f>
        <v>1.3651234428339593E-2</v>
      </c>
      <c r="Q54">
        <f>Table3[[#This Row],[weight]]*(0.9155*Table2[[#This Row],[J67]]-F$9)^2</f>
        <v>0.93715666024164812</v>
      </c>
      <c r="R54">
        <f>Table3[[#This Row],[weight]]*(0.9155*Table2[[#This Row],[J67'']]-G$9)^2</f>
        <v>4.1136031095092077E-3</v>
      </c>
      <c r="S54">
        <f>Table2[[#This Row],[weight]]</f>
        <v>1.030239157805673E-2</v>
      </c>
      <c r="T54" t="str">
        <f>Table2[[#This Row],[classification]]</f>
        <v>4H6</v>
      </c>
    </row>
    <row r="55" spans="11:20" x14ac:dyDescent="0.25">
      <c r="K55" t="str">
        <f>Table2[[#This Row],[Column1]]</f>
        <v xml:space="preserve">Conf189   </v>
      </c>
      <c r="L55">
        <f>Table3[[#This Row],[weight]]*(0.9155*Table2[[#This Row],[J1,2]]-A$9)^2</f>
        <v>7.5816912571852199E-5</v>
      </c>
      <c r="M55">
        <f>Table3[[#This Row],[weight]]*(0.9155*Table2[[#This Row],[J2,3]]-B$9)^2</f>
        <v>5.2291096606042021E-7</v>
      </c>
      <c r="N55">
        <f>Table3[[#This Row],[weight]]*(0.9155*Table2[[#This Row],[J34]]-C$9)^2</f>
        <v>8.358766127244157E-7</v>
      </c>
      <c r="O55">
        <f>Table3[[#This Row],[weight]]*(0.9155*Table2[[#This Row],[J45]]-D$9)^2</f>
        <v>1.5020408252829043E-5</v>
      </c>
      <c r="P55">
        <f>Table3[[#This Row],[weight]]*(0.9155*Table2[[#This Row],[J56]]-E$9)^2</f>
        <v>1.1594399696891744E-8</v>
      </c>
      <c r="Q55">
        <f>Table3[[#This Row],[weight]]*(0.9155*Table2[[#This Row],[J67]]-F$9)^2</f>
        <v>6.1537371563252084E-2</v>
      </c>
      <c r="R55">
        <f>Table3[[#This Row],[weight]]*(0.9155*Table2[[#This Row],[J67'']]-G$9)^2</f>
        <v>7.8195092732677909E-3</v>
      </c>
      <c r="S55">
        <f>Table2[[#This Row],[weight]]</f>
        <v>1.04232169145276E-3</v>
      </c>
      <c r="T55" t="str">
        <f>Table2[[#This Row],[classification]]</f>
        <v>5C12</v>
      </c>
    </row>
    <row r="56" spans="11:20" x14ac:dyDescent="0.25">
      <c r="K56" t="str">
        <f>Table2[[#This Row],[Column1]]</f>
        <v xml:space="preserve">Conf190   </v>
      </c>
      <c r="L56">
        <f>Table3[[#This Row],[weight]]*(0.9155*Table2[[#This Row],[J1,2]]-A$9)^2</f>
        <v>7.1634979453515267E-5</v>
      </c>
      <c r="M56">
        <f>Table3[[#This Row],[weight]]*(0.9155*Table2[[#This Row],[J2,3]]-B$9)^2</f>
        <v>0.10602296540762929</v>
      </c>
      <c r="N56">
        <f>Table3[[#This Row],[weight]]*(0.9155*Table2[[#This Row],[J34]]-C$9)^2</f>
        <v>1.6089205131207748E-3</v>
      </c>
      <c r="O56">
        <f>Table3[[#This Row],[weight]]*(0.9155*Table2[[#This Row],[J45]]-D$9)^2</f>
        <v>0.21366365107110236</v>
      </c>
      <c r="P56">
        <f>Table3[[#This Row],[weight]]*(0.9155*Table2[[#This Row],[J56]]-E$9)^2</f>
        <v>6.3078111622859607E-3</v>
      </c>
      <c r="Q56">
        <f>Table3[[#This Row],[weight]]*(0.9155*Table2[[#This Row],[J67]]-F$9)^2</f>
        <v>6.2435247023675422E-2</v>
      </c>
      <c r="R56">
        <f>Table3[[#This Row],[weight]]*(0.9155*Table2[[#This Row],[J67'']]-G$9)^2</f>
        <v>3.3232480701700179E-2</v>
      </c>
      <c r="S56">
        <f>Table2[[#This Row],[weight]]</f>
        <v>2.2383726649305704E-3</v>
      </c>
      <c r="T56" t="str">
        <f>Table2[[#This Row],[classification]]</f>
        <v>4H6</v>
      </c>
    </row>
    <row r="57" spans="11:20" x14ac:dyDescent="0.25">
      <c r="K57" t="str">
        <f>Table2[[#This Row],[Column1]]</f>
        <v xml:space="preserve">Conf199   </v>
      </c>
      <c r="L57">
        <f>Table3[[#This Row],[weight]]*(0.9155*Table2[[#This Row],[J1,2]]-A$9)^2</f>
        <v>0</v>
      </c>
      <c r="M57">
        <f>Table3[[#This Row],[weight]]*(0.9155*Table2[[#This Row],[J2,3]]-B$9)^2</f>
        <v>0</v>
      </c>
      <c r="N57">
        <f>Table3[[#This Row],[weight]]*(0.9155*Table2[[#This Row],[J34]]-C$9)^2</f>
        <v>0</v>
      </c>
      <c r="O57">
        <f>Table3[[#This Row],[weight]]*(0.9155*Table2[[#This Row],[J45]]-D$9)^2</f>
        <v>0</v>
      </c>
      <c r="P57">
        <f>Table3[[#This Row],[weight]]*(0.9155*Table2[[#This Row],[J56]]-E$9)^2</f>
        <v>0</v>
      </c>
      <c r="Q57">
        <f>Table3[[#This Row],[weight]]*(0.9155*Table2[[#This Row],[J67]]-F$9)^2</f>
        <v>0</v>
      </c>
      <c r="R57">
        <f>Table3[[#This Row],[weight]]*(0.9155*Table2[[#This Row],[J67'']]-G$9)^2</f>
        <v>0</v>
      </c>
      <c r="S57">
        <f>Table2[[#This Row],[weight]]</f>
        <v>0</v>
      </c>
      <c r="T57" t="str">
        <f>Table2[[#This Row],[classification]]</f>
        <v>4H6</v>
      </c>
    </row>
    <row r="58" spans="11:20" x14ac:dyDescent="0.25">
      <c r="K58" t="str">
        <f>Table2[[#This Row],[Column1]]</f>
        <v xml:space="preserve">Conf201   </v>
      </c>
      <c r="L58">
        <f>Table3[[#This Row],[weight]]*(0.9155*Table2[[#This Row],[J1,2]]-A$9)^2</f>
        <v>0</v>
      </c>
      <c r="M58">
        <f>Table3[[#This Row],[weight]]*(0.9155*Table2[[#This Row],[J2,3]]-B$9)^2</f>
        <v>0</v>
      </c>
      <c r="N58">
        <f>Table3[[#This Row],[weight]]*(0.9155*Table2[[#This Row],[J34]]-C$9)^2</f>
        <v>0</v>
      </c>
      <c r="O58">
        <f>Table3[[#This Row],[weight]]*(0.9155*Table2[[#This Row],[J45]]-D$9)^2</f>
        <v>0</v>
      </c>
      <c r="P58">
        <f>Table3[[#This Row],[weight]]*(0.9155*Table2[[#This Row],[J56]]-E$9)^2</f>
        <v>0</v>
      </c>
      <c r="Q58">
        <f>Table3[[#This Row],[weight]]*(0.9155*Table2[[#This Row],[J67]]-F$9)^2</f>
        <v>0</v>
      </c>
      <c r="R58">
        <f>Table3[[#This Row],[weight]]*(0.9155*Table2[[#This Row],[J67'']]-G$9)^2</f>
        <v>0</v>
      </c>
      <c r="S58">
        <f>Table2[[#This Row],[weight]]</f>
        <v>0</v>
      </c>
      <c r="T58" t="str">
        <f>Table2[[#This Row],[classification]]</f>
        <v>4H6</v>
      </c>
    </row>
    <row r="59" spans="11:20" x14ac:dyDescent="0.25">
      <c r="K59" t="str">
        <f>Table2[[#This Row],[Column1]]</f>
        <v xml:space="preserve">Conf205   </v>
      </c>
      <c r="L59">
        <f>Table3[[#This Row],[weight]]*(0.9155*Table2[[#This Row],[J1,2]]-A$9)^2</f>
        <v>6.6785112411452358E-6</v>
      </c>
      <c r="M59">
        <f>Table3[[#This Row],[weight]]*(0.9155*Table2[[#This Row],[J2,3]]-B$9)^2</f>
        <v>1.7330247512661355E-6</v>
      </c>
      <c r="N59">
        <f>Table3[[#This Row],[weight]]*(0.9155*Table2[[#This Row],[J34]]-C$9)^2</f>
        <v>5.6484987185337909E-6</v>
      </c>
      <c r="O59">
        <f>Table3[[#This Row],[weight]]*(0.9155*Table2[[#This Row],[J45]]-D$9)^2</f>
        <v>1.0201479766664455E-6</v>
      </c>
      <c r="P59">
        <f>Table3[[#This Row],[weight]]*(0.9155*Table2[[#This Row],[J56]]-E$9)^2</f>
        <v>2.0841748023974788E-5</v>
      </c>
      <c r="Q59">
        <f>Table3[[#This Row],[weight]]*(0.9155*Table2[[#This Row],[J67]]-F$9)^2</f>
        <v>8.8387384215425444E-3</v>
      </c>
      <c r="R59">
        <f>Table3[[#This Row],[weight]]*(0.9155*Table2[[#This Row],[J67'']]-G$9)^2</f>
        <v>1.343656054634147E-3</v>
      </c>
      <c r="S59">
        <f>Table2[[#This Row],[weight]]</f>
        <v>1.4985359940182793E-4</v>
      </c>
      <c r="T59" t="str">
        <f>Table2[[#This Row],[classification]]</f>
        <v>5C12</v>
      </c>
    </row>
    <row r="60" spans="11:20" x14ac:dyDescent="0.25">
      <c r="K60" t="str">
        <f>Table2[[#This Row],[Column1]]</f>
        <v xml:space="preserve">Conf217   </v>
      </c>
      <c r="L60">
        <f>Table3[[#This Row],[weight]]*(0.9155*Table2[[#This Row],[J1,2]]-A$9)^2</f>
        <v>0</v>
      </c>
      <c r="M60">
        <f>Table3[[#This Row],[weight]]*(0.9155*Table2[[#This Row],[J2,3]]-B$9)^2</f>
        <v>0</v>
      </c>
      <c r="N60">
        <f>Table3[[#This Row],[weight]]*(0.9155*Table2[[#This Row],[J34]]-C$9)^2</f>
        <v>0</v>
      </c>
      <c r="O60">
        <f>Table3[[#This Row],[weight]]*(0.9155*Table2[[#This Row],[J45]]-D$9)^2</f>
        <v>0</v>
      </c>
      <c r="P60">
        <f>Table3[[#This Row],[weight]]*(0.9155*Table2[[#This Row],[J56]]-E$9)^2</f>
        <v>0</v>
      </c>
      <c r="Q60">
        <f>Table3[[#This Row],[weight]]*(0.9155*Table2[[#This Row],[J67]]-F$9)^2</f>
        <v>0</v>
      </c>
      <c r="R60">
        <f>Table3[[#This Row],[weight]]*(0.9155*Table2[[#This Row],[J67'']]-G$9)^2</f>
        <v>0</v>
      </c>
      <c r="S60">
        <f>Table2[[#This Row],[weight]]</f>
        <v>0</v>
      </c>
      <c r="T60" t="str">
        <f>Table2[[#This Row],[classification]]</f>
        <v>E45</v>
      </c>
    </row>
    <row r="61" spans="11:20" x14ac:dyDescent="0.25">
      <c r="K61" t="str">
        <f>Table2[[#This Row],[Column1]]</f>
        <v xml:space="preserve">Conf225   </v>
      </c>
      <c r="L61">
        <f>Table3[[#This Row],[weight]]*(0.9155*Table2[[#This Row],[J1,2]]-A$9)^2</f>
        <v>0</v>
      </c>
      <c r="M61">
        <f>Table3[[#This Row],[weight]]*(0.9155*Table2[[#This Row],[J2,3]]-B$9)^2</f>
        <v>0</v>
      </c>
      <c r="N61">
        <f>Table3[[#This Row],[weight]]*(0.9155*Table2[[#This Row],[J34]]-C$9)^2</f>
        <v>0</v>
      </c>
      <c r="O61">
        <f>Table3[[#This Row],[weight]]*(0.9155*Table2[[#This Row],[J45]]-D$9)^2</f>
        <v>0</v>
      </c>
      <c r="P61">
        <f>Table3[[#This Row],[weight]]*(0.9155*Table2[[#This Row],[J56]]-E$9)^2</f>
        <v>0</v>
      </c>
      <c r="Q61">
        <f>Table3[[#This Row],[weight]]*(0.9155*Table2[[#This Row],[J67]]-F$9)^2</f>
        <v>0</v>
      </c>
      <c r="R61">
        <f>Table3[[#This Row],[weight]]*(0.9155*Table2[[#This Row],[J67'']]-G$9)^2</f>
        <v>0</v>
      </c>
      <c r="S61">
        <f>Table2[[#This Row],[weight]]</f>
        <v>0</v>
      </c>
      <c r="T61" t="str">
        <f>Table2[[#This Row],[classification]]</f>
        <v>E45</v>
      </c>
    </row>
    <row r="62" spans="11:20" x14ac:dyDescent="0.25">
      <c r="K62" t="str">
        <f>Table2[[#This Row],[Column1]]</f>
        <v xml:space="preserve">Conf247   </v>
      </c>
      <c r="L62">
        <f>Table3[[#This Row],[weight]]*(0.9155*Table2[[#This Row],[J1,2]]-A$9)^2</f>
        <v>2.5275502267964308E-5</v>
      </c>
      <c r="M62">
        <f>Table3[[#This Row],[weight]]*(0.9155*Table2[[#This Row],[J2,3]]-B$9)^2</f>
        <v>1.5787935824210477E-4</v>
      </c>
      <c r="N62">
        <f>Table3[[#This Row],[weight]]*(0.9155*Table2[[#This Row],[J34]]-C$9)^2</f>
        <v>1.0161191829009227E-3</v>
      </c>
      <c r="O62">
        <f>Table3[[#This Row],[weight]]*(0.9155*Table2[[#This Row],[J45]]-D$9)^2</f>
        <v>5.9648394429286655E-6</v>
      </c>
      <c r="P62">
        <f>Table3[[#This Row],[weight]]*(0.9155*Table2[[#This Row],[J56]]-E$9)^2</f>
        <v>8.6394073755214104E-7</v>
      </c>
      <c r="Q62">
        <f>Table3[[#This Row],[weight]]*(0.9155*Table2[[#This Row],[J67]]-F$9)^2</f>
        <v>4.4084283228576717E-6</v>
      </c>
      <c r="R62">
        <f>Table3[[#This Row],[weight]]*(0.9155*Table2[[#This Row],[J67'']]-G$9)^2</f>
        <v>3.3446093856866953E-4</v>
      </c>
      <c r="S62">
        <f>Table2[[#This Row],[weight]]</f>
        <v>6.9990312959703602E-5</v>
      </c>
      <c r="T62" t="str">
        <f>Table2[[#This Row],[classification]]</f>
        <v>5C12</v>
      </c>
    </row>
    <row r="63" spans="11:20" x14ac:dyDescent="0.25">
      <c r="K63" t="str">
        <f>Table2[[#This Row],[Column1]]</f>
        <v xml:space="preserve">Conf376   </v>
      </c>
      <c r="L63">
        <f>Table3[[#This Row],[weight]]*(0.9155*Table2[[#This Row],[J1,2]]-A$9)^2</f>
        <v>1.3165160813403218E-6</v>
      </c>
      <c r="M63">
        <f>Table3[[#This Row],[weight]]*(0.9155*Table2[[#This Row],[J2,3]]-B$9)^2</f>
        <v>2.8110869710520933E-3</v>
      </c>
      <c r="N63">
        <f>Table3[[#This Row],[weight]]*(0.9155*Table2[[#This Row],[J34]]-C$9)^2</f>
        <v>1.4292455361266263E-4</v>
      </c>
      <c r="O63">
        <f>Table3[[#This Row],[weight]]*(0.9155*Table2[[#This Row],[J45]]-D$9)^2</f>
        <v>4.6580252531084991E-3</v>
      </c>
      <c r="P63">
        <f>Table3[[#This Row],[weight]]*(0.9155*Table2[[#This Row],[J56]]-E$9)^2</f>
        <v>1.0663607442710933E-4</v>
      </c>
      <c r="Q63">
        <f>Table3[[#This Row],[weight]]*(0.9155*Table2[[#This Row],[J67]]-F$9)^2</f>
        <v>1.8630513522855362E-5</v>
      </c>
      <c r="R63">
        <f>Table3[[#This Row],[weight]]*(0.9155*Table2[[#This Row],[J67'']]-G$9)^2</f>
        <v>1.9611303162190663E-3</v>
      </c>
      <c r="S63">
        <f>Table2[[#This Row],[weight]]</f>
        <v>6.3396689828579256E-5</v>
      </c>
      <c r="T63" t="str">
        <f>Table2[[#This Row],[classification]]</f>
        <v>4H6</v>
      </c>
    </row>
    <row r="64" spans="11:20" x14ac:dyDescent="0.25">
      <c r="K64" t="str">
        <f>Table2[[#This Row],[Column1]]</f>
        <v xml:space="preserve">Conf387   </v>
      </c>
      <c r="L64">
        <f>Table3[[#This Row],[weight]]*(0.9155*Table2[[#This Row],[J1,2]]-A$9)^2</f>
        <v>1.3305970110958196E-3</v>
      </c>
      <c r="M64">
        <f>Table3[[#This Row],[weight]]*(0.9155*Table2[[#This Row],[J2,3]]-B$9)^2</f>
        <v>0.35185591833704472</v>
      </c>
      <c r="N64">
        <f>Table3[[#This Row],[weight]]*(0.9155*Table2[[#This Row],[J34]]-C$9)^2</f>
        <v>7.2434699870485423E-4</v>
      </c>
      <c r="O64">
        <f>Table3[[#This Row],[weight]]*(0.9155*Table2[[#This Row],[J45]]-D$9)^2</f>
        <v>0.27371070887073101</v>
      </c>
      <c r="P64">
        <f>Table3[[#This Row],[weight]]*(0.9155*Table2[[#This Row],[J56]]-E$9)^2</f>
        <v>0.50291429090640205</v>
      </c>
      <c r="Q64">
        <f>Table3[[#This Row],[weight]]*(0.9155*Table2[[#This Row],[J67]]-F$9)^2</f>
        <v>2.8878002923110597E-3</v>
      </c>
      <c r="R64">
        <f>Table3[[#This Row],[weight]]*(0.9155*Table2[[#This Row],[J67'']]-G$9)^2</f>
        <v>0.27870586400027303</v>
      </c>
      <c r="S64">
        <f>Table2[[#This Row],[weight]]</f>
        <v>9.4715556602746019E-3</v>
      </c>
      <c r="T64" t="str">
        <f>Table2[[#This Row],[classification]]</f>
        <v>12C5</v>
      </c>
    </row>
  </sheetData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40C877-BDD3-45E1-BA89-4846EDD764E0}">
  <dimension ref="A1:T64"/>
  <sheetViews>
    <sheetView topLeftCell="A49" workbookViewId="0">
      <selection activeCell="R3" sqref="R3"/>
    </sheetView>
  </sheetViews>
  <sheetFormatPr defaultRowHeight="15" x14ac:dyDescent="0.25"/>
  <cols>
    <col min="1" max="1" width="14.5703125" customWidth="1"/>
    <col min="11" max="11" width="10.5703125" customWidth="1"/>
    <col min="20" max="20" width="14" customWidth="1"/>
  </cols>
  <sheetData>
    <row r="1" spans="1:20" x14ac:dyDescent="0.25">
      <c r="A1" t="s">
        <v>46</v>
      </c>
      <c r="B1">
        <f>SUMIF(Table1[Classification],E1,Table1[weight])</f>
        <v>0.6041471727249127</v>
      </c>
      <c r="D1" t="s">
        <v>11</v>
      </c>
      <c r="E1" t="s">
        <v>17</v>
      </c>
      <c r="G1">
        <f>COUNTIF(Table3[classification],E1)</f>
        <v>26</v>
      </c>
      <c r="K1" t="s">
        <v>45</v>
      </c>
      <c r="L1" t="s">
        <v>36</v>
      </c>
      <c r="M1" t="s">
        <v>37</v>
      </c>
      <c r="N1" t="s">
        <v>38</v>
      </c>
      <c r="O1" t="s">
        <v>39</v>
      </c>
      <c r="P1" t="s">
        <v>40</v>
      </c>
      <c r="Q1" t="s">
        <v>41</v>
      </c>
      <c r="R1" t="s">
        <v>43</v>
      </c>
      <c r="S1" t="s">
        <v>15</v>
      </c>
      <c r="T1" t="s">
        <v>44</v>
      </c>
    </row>
    <row r="2" spans="1:20" x14ac:dyDescent="0.25">
      <c r="K2" t="str">
        <f>Table2[[#This Row],[Column1]]</f>
        <v xml:space="preserve">Conf1   </v>
      </c>
      <c r="L2">
        <f>Table4[[#This Row],[weight]]*(0.9155*Table2[[#This Row],[J1,2]]-A$9)^2</f>
        <v>3.1560479468586354E-4</v>
      </c>
      <c r="M2">
        <f>Table4[[#This Row],[weight]]*(0.9155*Table2[[#This Row],[J2,3]]-B$9)^2</f>
        <v>0.38178477101195757</v>
      </c>
      <c r="N2">
        <f>Table4[[#This Row],[weight]]*(0.9155*Table2[[#This Row],[J34]]-C$9)^2</f>
        <v>4.1120128755753592E-4</v>
      </c>
      <c r="O2">
        <f>Table4[[#This Row],[weight]]*(0.9155*Table2[[#This Row],[J45]]-D$9)^2</f>
        <v>0.61388457804854957</v>
      </c>
      <c r="P2">
        <f>Table4[[#This Row],[weight]]*(0.9155*Table2[[#This Row],[J56]]-E$9)^2</f>
        <v>1.1531457628941364</v>
      </c>
      <c r="Q2">
        <f>Table4[[#This Row],[weight]]*(0.9155*Table2[[#This Row],[J67]]-F$9)^2</f>
        <v>0.68754077451791029</v>
      </c>
      <c r="R2">
        <f>Table4[[#This Row],[weight]]*(0.9155*Table2[[#This Row],[J67'']]-G$9)^2</f>
        <v>5.6039251855911493E-2</v>
      </c>
      <c r="S2">
        <f>Table2[[#This Row],[weight]]</f>
        <v>1.0272961753302522E-2</v>
      </c>
      <c r="T2" t="str">
        <f>Table2[[#This Row],[classification]]</f>
        <v>6H4</v>
      </c>
    </row>
    <row r="3" spans="1:20" x14ac:dyDescent="0.25">
      <c r="A3" t="s">
        <v>60</v>
      </c>
      <c r="K3" t="str">
        <f>Table2[[#This Row],[Column1]]</f>
        <v xml:space="preserve">Conf2   </v>
      </c>
      <c r="L3">
        <f>Table4[[#This Row],[weight]]*(0.9155*Table2[[#This Row],[J1,2]]-A$9)^2</f>
        <v>1.4421911599706605E-4</v>
      </c>
      <c r="M3">
        <f>Table4[[#This Row],[weight]]*(0.9155*Table2[[#This Row],[J2,3]]-B$9)^2</f>
        <v>2.2725622138233099E-4</v>
      </c>
      <c r="N3">
        <f>Table4[[#This Row],[weight]]*(0.9155*Table2[[#This Row],[J34]]-C$9)^2</f>
        <v>9.397944101447685E-4</v>
      </c>
      <c r="O3">
        <f>Table4[[#This Row],[weight]]*(0.9155*Table2[[#This Row],[J45]]-D$9)^2</f>
        <v>1.9463935596563887E-2</v>
      </c>
      <c r="P3">
        <f>Table4[[#This Row],[weight]]*(0.9155*Table2[[#This Row],[J56]]-E$9)^2</f>
        <v>1.2990905882365008E-2</v>
      </c>
      <c r="Q3">
        <f>Table4[[#This Row],[weight]]*(0.9155*Table2[[#This Row],[J67]]-F$9)^2</f>
        <v>0.1053449261120866</v>
      </c>
      <c r="R3">
        <f>Table4[[#This Row],[weight]]*(0.9155*Table2[[#This Row],[J67'']]-G$9)^2</f>
        <v>0.38792148977174606</v>
      </c>
      <c r="S3">
        <f>Table2[[#This Row],[weight]]</f>
        <v>4.1418984438592342E-2</v>
      </c>
      <c r="T3" t="str">
        <f>Table2[[#This Row],[classification]]</f>
        <v>4H6</v>
      </c>
    </row>
    <row r="4" spans="1:20" x14ac:dyDescent="0.25">
      <c r="A4" t="s">
        <v>36</v>
      </c>
      <c r="B4" t="s">
        <v>37</v>
      </c>
      <c r="C4" t="s">
        <v>38</v>
      </c>
      <c r="D4" t="s">
        <v>39</v>
      </c>
      <c r="E4" t="s">
        <v>40</v>
      </c>
      <c r="F4" t="s">
        <v>41</v>
      </c>
      <c r="G4" t="s">
        <v>43</v>
      </c>
      <c r="K4" t="str">
        <f>Table2[[#This Row],[Column1]]</f>
        <v xml:space="preserve">Conf4   </v>
      </c>
      <c r="L4">
        <f>Table4[[#This Row],[weight]]*(0.9155*Table2[[#This Row],[J1,2]]-A$9)^2</f>
        <v>4.6366603149816788E-6</v>
      </c>
      <c r="M4">
        <f>Table4[[#This Row],[weight]]*(0.9155*Table2[[#This Row],[J2,3]]-B$9)^2</f>
        <v>2.4644817335454037E-5</v>
      </c>
      <c r="N4">
        <f>Table4[[#This Row],[weight]]*(0.9155*Table2[[#This Row],[J34]]-C$9)^2</f>
        <v>2.9989368940367966E-3</v>
      </c>
      <c r="O4">
        <f>Table4[[#This Row],[weight]]*(0.9155*Table2[[#This Row],[J45]]-D$9)^2</f>
        <v>2.4605889539494768E-3</v>
      </c>
      <c r="P4">
        <f>Table4[[#This Row],[weight]]*(0.9155*Table2[[#This Row],[J56]]-E$9)^2</f>
        <v>5.568716210073133E-4</v>
      </c>
      <c r="Q4">
        <f>Table4[[#This Row],[weight]]*(0.9155*Table2[[#This Row],[J67]]-F$9)^2</f>
        <v>4.8584956082246849E-4</v>
      </c>
      <c r="R4">
        <f>Table4[[#This Row],[weight]]*(0.9155*Table2[[#This Row],[J67'']]-G$9)^2</f>
        <v>0.82869426023870607</v>
      </c>
      <c r="S4">
        <f>Table2[[#This Row],[weight]]</f>
        <v>0.12912337862648315</v>
      </c>
      <c r="T4" t="str">
        <f>Table2[[#This Row],[classification]]</f>
        <v>4H6</v>
      </c>
    </row>
    <row r="5" spans="1:20" x14ac:dyDescent="0.25">
      <c r="A5">
        <f>SUMIF(Table1[Classification],E1,Table2[J1,23])/$B$1</f>
        <v>7.5661081082206589</v>
      </c>
      <c r="B5">
        <f>SUMIF(Table1[Classification],E1,Table2[J2,34])/$B$1</f>
        <v>1.9317878013069862</v>
      </c>
      <c r="C5">
        <f>SUMIF(Table1[Classification],E1,Table2[J345])/$B$1</f>
        <v>1.8945951861597921</v>
      </c>
      <c r="D5">
        <f>SUMIF(Table1[Classification],E1,Table2[J456])/$B$1</f>
        <v>1.4466866400558369</v>
      </c>
      <c r="E5">
        <f>SUMIF(Table1[Classification],E1,Table2[J567])/$B$1</f>
        <v>10.763288722729843</v>
      </c>
      <c r="F5">
        <f>SUMIF(Table1[Classification],E1,Table2[J678])/$B$1</f>
        <v>1.8978336631263162</v>
      </c>
      <c r="G5">
        <f>SUMIF(Table1[Classification],E1,Table2[J67''9])/$B$1</f>
        <v>4.4101222586211</v>
      </c>
      <c r="K5" t="str">
        <f>Table2[[#This Row],[Column1]]</f>
        <v xml:space="preserve">Conf5   </v>
      </c>
      <c r="L5">
        <f>Table4[[#This Row],[weight]]*(0.9155*Table2[[#This Row],[J1,2]]-A$9)^2</f>
        <v>0</v>
      </c>
      <c r="M5">
        <f>Table4[[#This Row],[weight]]*(0.9155*Table2[[#This Row],[J2,3]]-B$9)^2</f>
        <v>0</v>
      </c>
      <c r="N5">
        <f>Table4[[#This Row],[weight]]*(0.9155*Table2[[#This Row],[J34]]-C$9)^2</f>
        <v>0</v>
      </c>
      <c r="O5">
        <f>Table4[[#This Row],[weight]]*(0.9155*Table2[[#This Row],[J45]]-D$9)^2</f>
        <v>0</v>
      </c>
      <c r="P5">
        <f>Table4[[#This Row],[weight]]*(0.9155*Table2[[#This Row],[J56]]-E$9)^2</f>
        <v>0</v>
      </c>
      <c r="Q5">
        <f>Table4[[#This Row],[weight]]*(0.9155*Table2[[#This Row],[J67]]-F$9)^2</f>
        <v>0</v>
      </c>
      <c r="R5">
        <f>Table4[[#This Row],[weight]]*(0.9155*Table2[[#This Row],[J67'']]-G$9)^2</f>
        <v>0</v>
      </c>
      <c r="S5">
        <f>Table2[[#This Row],[weight]]</f>
        <v>0</v>
      </c>
      <c r="T5" t="str">
        <f>Table2[[#This Row],[classification]]</f>
        <v>6H4</v>
      </c>
    </row>
    <row r="6" spans="1:20" x14ac:dyDescent="0.25">
      <c r="K6" t="str">
        <f>Table2[[#This Row],[Column1]]</f>
        <v xml:space="preserve">Conf8   </v>
      </c>
      <c r="L6">
        <f>Table4[[#This Row],[weight]]*(0.9155*Table2[[#This Row],[J1,2]]-A$9)^2</f>
        <v>0</v>
      </c>
      <c r="M6">
        <f>Table4[[#This Row],[weight]]*(0.9155*Table2[[#This Row],[J2,3]]-B$9)^2</f>
        <v>0</v>
      </c>
      <c r="N6">
        <f>Table4[[#This Row],[weight]]*(0.9155*Table2[[#This Row],[J34]]-C$9)^2</f>
        <v>0</v>
      </c>
      <c r="O6">
        <f>Table4[[#This Row],[weight]]*(0.9155*Table2[[#This Row],[J45]]-D$9)^2</f>
        <v>0</v>
      </c>
      <c r="P6">
        <f>Table4[[#This Row],[weight]]*(0.9155*Table2[[#This Row],[J56]]-E$9)^2</f>
        <v>0</v>
      </c>
      <c r="Q6">
        <f>Table4[[#This Row],[weight]]*(0.9155*Table2[[#This Row],[J67]]-F$9)^2</f>
        <v>0</v>
      </c>
      <c r="R6">
        <f>Table4[[#This Row],[weight]]*(0.9155*Table2[[#This Row],[J67'']]-G$9)^2</f>
        <v>0</v>
      </c>
      <c r="S6">
        <f>Table2[[#This Row],[weight]]</f>
        <v>0</v>
      </c>
      <c r="T6" t="str">
        <f>Table2[[#This Row],[classification]]</f>
        <v>6H4</v>
      </c>
    </row>
    <row r="7" spans="1:20" x14ac:dyDescent="0.25">
      <c r="A7" t="s">
        <v>61</v>
      </c>
      <c r="K7" t="str">
        <f>Table2[[#This Row],[Column1]]</f>
        <v xml:space="preserve">Conf14   </v>
      </c>
      <c r="L7">
        <f>Table4[[#This Row],[weight]]*(0.9155*Table2[[#This Row],[J1,2]]-A$9)^2</f>
        <v>7.9843633938248807E-5</v>
      </c>
      <c r="M7">
        <f>Table4[[#This Row],[weight]]*(0.9155*Table2[[#This Row],[J2,3]]-B$9)^2</f>
        <v>1.9433962561410088E-6</v>
      </c>
      <c r="N7">
        <f>Table4[[#This Row],[weight]]*(0.9155*Table2[[#This Row],[J34]]-C$9)^2</f>
        <v>7.7785447356616179E-4</v>
      </c>
      <c r="O7">
        <f>Table4[[#This Row],[weight]]*(0.9155*Table2[[#This Row],[J45]]-D$9)^2</f>
        <v>5.6379136003635859E-4</v>
      </c>
      <c r="P7">
        <f>Table4[[#This Row],[weight]]*(0.9155*Table2[[#This Row],[J56]]-E$9)^2</f>
        <v>2.0950341131494515E-4</v>
      </c>
      <c r="Q7">
        <f>Table4[[#This Row],[weight]]*(0.9155*Table2[[#This Row],[J67]]-F$9)^2</f>
        <v>9.4059129946589659E-4</v>
      </c>
      <c r="R7">
        <f>Table4[[#This Row],[weight]]*(0.9155*Table2[[#This Row],[J67'']]-G$9)^2</f>
        <v>1.0924697169591867E-3</v>
      </c>
      <c r="S7">
        <f>Table2[[#This Row],[weight]]</f>
        <v>7.9783512323809073E-4</v>
      </c>
      <c r="T7" t="str">
        <f>Table2[[#This Row],[classification]]</f>
        <v>4H6</v>
      </c>
    </row>
    <row r="8" spans="1:20" x14ac:dyDescent="0.25">
      <c r="A8" t="s">
        <v>36</v>
      </c>
      <c r="B8" t="s">
        <v>37</v>
      </c>
      <c r="C8" t="s">
        <v>38</v>
      </c>
      <c r="D8" t="s">
        <v>39</v>
      </c>
      <c r="E8" t="s">
        <v>40</v>
      </c>
      <c r="F8" t="s">
        <v>41</v>
      </c>
      <c r="G8" t="s">
        <v>43</v>
      </c>
      <c r="K8" t="str">
        <f>Table2[[#This Row],[Column1]]</f>
        <v xml:space="preserve">Conf20   </v>
      </c>
      <c r="L8">
        <f>Table4[[#This Row],[weight]]*(0.9155*Table2[[#This Row],[J1,2]]-A$9)^2</f>
        <v>3.0819170675708907E-3</v>
      </c>
      <c r="M8">
        <f>Table4[[#This Row],[weight]]*(0.9155*Table2[[#This Row],[J2,3]]-B$9)^2</f>
        <v>0.75054041296251472</v>
      </c>
      <c r="N8">
        <f>Table4[[#This Row],[weight]]*(0.9155*Table2[[#This Row],[J34]]-C$9)^2</f>
        <v>3.0342822460081208E-4</v>
      </c>
      <c r="O8">
        <f>Table4[[#This Row],[weight]]*(0.9155*Table2[[#This Row],[J45]]-D$9)^2</f>
        <v>1.5532535141931654</v>
      </c>
      <c r="P8">
        <f>Table4[[#This Row],[weight]]*(0.9155*Table2[[#This Row],[J56]]-E$9)^2</f>
        <v>2.2938280971834302</v>
      </c>
      <c r="Q8">
        <f>Table4[[#This Row],[weight]]*(0.9155*Table2[[#This Row],[J67]]-F$9)^2</f>
        <v>0.10638118647524601</v>
      </c>
      <c r="R8">
        <f>Table4[[#This Row],[weight]]*(0.9155*Table2[[#This Row],[J67'']]-G$9)^2</f>
        <v>1.3288136812237825</v>
      </c>
      <c r="S8">
        <f>Table2[[#This Row],[weight]]</f>
        <v>2.2257703201222123E-2</v>
      </c>
      <c r="T8" t="str">
        <f>Table2[[#This Row],[classification]]</f>
        <v>6H4</v>
      </c>
    </row>
    <row r="9" spans="1:20" x14ac:dyDescent="0.25">
      <c r="A9">
        <f>A5</f>
        <v>7.5661081082206589</v>
      </c>
      <c r="B9">
        <f t="shared" ref="B9:G9" si="0">B5</f>
        <v>1.9317878013069862</v>
      </c>
      <c r="C9">
        <f>C5</f>
        <v>1.8945951861597921</v>
      </c>
      <c r="D9">
        <f t="shared" si="0"/>
        <v>1.4466866400558369</v>
      </c>
      <c r="E9">
        <f t="shared" si="0"/>
        <v>10.763288722729843</v>
      </c>
      <c r="F9">
        <f t="shared" si="0"/>
        <v>1.8978336631263162</v>
      </c>
      <c r="G9">
        <f t="shared" si="0"/>
        <v>4.4101222586211</v>
      </c>
      <c r="K9" t="str">
        <f>Table2[[#This Row],[Column1]]</f>
        <v xml:space="preserve">Conf21   </v>
      </c>
      <c r="L9">
        <f>Table4[[#This Row],[weight]]*(0.9155*Table2[[#This Row],[J1,2]]-A$9)^2</f>
        <v>9.6365997252631985E-4</v>
      </c>
      <c r="M9">
        <f>Table4[[#This Row],[weight]]*(0.9155*Table2[[#This Row],[J2,3]]-B$9)^2</f>
        <v>6.5715136811765886E-5</v>
      </c>
      <c r="N9">
        <f>Table4[[#This Row],[weight]]*(0.9155*Table2[[#This Row],[J34]]-C$9)^2</f>
        <v>5.175489395441598E-3</v>
      </c>
      <c r="O9">
        <f>Table4[[#This Row],[weight]]*(0.9155*Table2[[#This Row],[J45]]-D$9)^2</f>
        <v>4.1550802589753875E-2</v>
      </c>
      <c r="P9">
        <f>Table4[[#This Row],[weight]]*(0.9155*Table2[[#This Row],[J56]]-E$9)^2</f>
        <v>9.333058575466447E-3</v>
      </c>
      <c r="Q9">
        <f>Table4[[#This Row],[weight]]*(0.9155*Table2[[#This Row],[J67]]-F$9)^2</f>
        <v>7.5826148508724225E-2</v>
      </c>
      <c r="R9">
        <f>Table4[[#This Row],[weight]]*(0.9155*Table2[[#This Row],[J67'']]-G$9)^2</f>
        <v>0.11501242947155206</v>
      </c>
      <c r="S9">
        <f>Table2[[#This Row],[weight]]</f>
        <v>6.7465758719203059E-2</v>
      </c>
      <c r="T9" t="str">
        <f>Table2[[#This Row],[classification]]</f>
        <v>4H6</v>
      </c>
    </row>
    <row r="10" spans="1:20" x14ac:dyDescent="0.25">
      <c r="K10" t="str">
        <f>Table2[[#This Row],[Column1]]</f>
        <v xml:space="preserve">Conf25   </v>
      </c>
      <c r="L10">
        <f>Table4[[#This Row],[weight]]*(0.9155*Table2[[#This Row],[J1,2]]-A$9)^2</f>
        <v>1.0654571961586857E-5</v>
      </c>
      <c r="M10">
        <f>Table4[[#This Row],[weight]]*(0.9155*Table2[[#This Row],[J2,3]]-B$9)^2</f>
        <v>7.2187045836622538E-6</v>
      </c>
      <c r="N10">
        <f>Table4[[#This Row],[weight]]*(0.9155*Table2[[#This Row],[J34]]-C$9)^2</f>
        <v>2.4873782511882202E-4</v>
      </c>
      <c r="O10">
        <f>Table4[[#This Row],[weight]]*(0.9155*Table2[[#This Row],[J45]]-D$9)^2</f>
        <v>3.6393722235617996E-4</v>
      </c>
      <c r="P10">
        <f>Table4[[#This Row],[weight]]*(0.9155*Table2[[#This Row],[J56]]-E$9)^2</f>
        <v>2.9812614722693313E-4</v>
      </c>
      <c r="Q10">
        <f>Table4[[#This Row],[weight]]*(0.9155*Table2[[#This Row],[J67]]-F$9)^2</f>
        <v>1.2586111246973499E-3</v>
      </c>
      <c r="R10">
        <f>Table4[[#This Row],[weight]]*(0.9155*Table2[[#This Row],[J67'']]-G$9)^2</f>
        <v>3.2048664291060643E-3</v>
      </c>
      <c r="S10">
        <f>Table2[[#This Row],[weight]]</f>
        <v>4.5284945585008989E-4</v>
      </c>
      <c r="T10" t="str">
        <f>Table2[[#This Row],[classification]]</f>
        <v>4H6</v>
      </c>
    </row>
    <row r="11" spans="1:20" x14ac:dyDescent="0.25">
      <c r="A11" t="s">
        <v>62</v>
      </c>
      <c r="K11" t="str">
        <f>Table2[[#This Row],[Column1]]</f>
        <v xml:space="preserve">Conf27   </v>
      </c>
      <c r="L11">
        <f>Table4[[#This Row],[weight]]*(0.9155*Table2[[#This Row],[J1,2]]-A$9)^2</f>
        <v>3.9110059393022425E-6</v>
      </c>
      <c r="M11">
        <f>Table4[[#This Row],[weight]]*(0.9155*Table2[[#This Row],[J2,3]]-B$9)^2</f>
        <v>4.8536585675046416E-7</v>
      </c>
      <c r="N11">
        <f>Table4[[#This Row],[weight]]*(0.9155*Table2[[#This Row],[J34]]-C$9)^2</f>
        <v>1.4320674630352237E-4</v>
      </c>
      <c r="O11">
        <f>Table4[[#This Row],[weight]]*(0.9155*Table2[[#This Row],[J45]]-D$9)^2</f>
        <v>1.5476396490994877E-4</v>
      </c>
      <c r="P11">
        <f>Table4[[#This Row],[weight]]*(0.9155*Table2[[#This Row],[J56]]-E$9)^2</f>
        <v>7.1047019197833621E-6</v>
      </c>
      <c r="Q11">
        <f>Table4[[#This Row],[weight]]*(0.9155*Table2[[#This Row],[J67]]-F$9)^2</f>
        <v>9.6081157319394851E-3</v>
      </c>
      <c r="R11">
        <f>Table4[[#This Row],[weight]]*(0.9155*Table2[[#This Row],[J67'']]-G$9)^2</f>
        <v>1.4080203262453208E-3</v>
      </c>
      <c r="S11">
        <f>Table2[[#This Row],[weight]]</f>
        <v>1.7880601637319888E-4</v>
      </c>
      <c r="T11" t="str">
        <f>Table2[[#This Row],[classification]]</f>
        <v>4H6</v>
      </c>
    </row>
    <row r="12" spans="1:20" x14ac:dyDescent="0.25">
      <c r="A12" t="s">
        <v>36</v>
      </c>
      <c r="B12" t="s">
        <v>37</v>
      </c>
      <c r="C12" t="s">
        <v>38</v>
      </c>
      <c r="D12" t="s">
        <v>39</v>
      </c>
      <c r="E12" t="s">
        <v>40</v>
      </c>
      <c r="F12" t="s">
        <v>41</v>
      </c>
      <c r="G12" t="s">
        <v>43</v>
      </c>
      <c r="K12" t="str">
        <f>Table2[[#This Row],[Column1]]</f>
        <v xml:space="preserve">Conf29   </v>
      </c>
      <c r="L12">
        <f>Table4[[#This Row],[weight]]*(0.9155*Table2[[#This Row],[J1,2]]-A$9)^2</f>
        <v>2.0866632720613356E-4</v>
      </c>
      <c r="M12">
        <f>Table4[[#This Row],[weight]]*(0.9155*Table2[[#This Row],[J2,3]]-B$9)^2</f>
        <v>2.7330290370037691E-4</v>
      </c>
      <c r="N12">
        <f>Table4[[#This Row],[weight]]*(0.9155*Table2[[#This Row],[J34]]-C$9)^2</f>
        <v>1.1525624618368769E-5</v>
      </c>
      <c r="O12">
        <f>Table4[[#This Row],[weight]]*(0.9155*Table2[[#This Row],[J45]]-D$9)^2</f>
        <v>2.2264892391553156E-2</v>
      </c>
      <c r="P12">
        <f>Table4[[#This Row],[weight]]*(0.9155*Table2[[#This Row],[J56]]-E$9)^2</f>
        <v>5.5389109677472702E-2</v>
      </c>
      <c r="Q12">
        <f>Table4[[#This Row],[weight]]*(0.9155*Table2[[#This Row],[J67]]-F$9)^2</f>
        <v>0.91694119885636427</v>
      </c>
      <c r="R12">
        <f>Table4[[#This Row],[weight]]*(0.9155*Table2[[#This Row],[J67'']]-G$9)^2</f>
        <v>2.7938653352096326E-3</v>
      </c>
      <c r="S12">
        <f>Table2[[#This Row],[weight]]</f>
        <v>1.0302176735342018E-2</v>
      </c>
      <c r="T12" t="str">
        <f>Table2[[#This Row],[classification]]</f>
        <v>4H6</v>
      </c>
    </row>
    <row r="13" spans="1:20" x14ac:dyDescent="0.25">
      <c r="A13">
        <f>SQRT(SUMIF($T$2:$T$64,$E$1,L$2:L$64)/(($G$1-1)*$B$1/$G$1))</f>
        <v>0.10510231067808477</v>
      </c>
      <c r="B13">
        <f>SQRT(SUMIF($T$2:$T$46,$E$1,M$2:M$46)/(($G$1-1)*$B$1/$G$1))</f>
        <v>3.8505589765357756E-2</v>
      </c>
      <c r="C13">
        <f>SQRT(SUMIF($T$2:$T$46,$E$1,N$2:N$46)/(($G$1-1)*$B$1/$G$1))</f>
        <v>0.24194378419501075</v>
      </c>
      <c r="D13">
        <f>SQRT(SUMIF($T$2:$T$64,$E$1,O$2:O$64)/(($G$1-1)*$B$1/$G$1))</f>
        <v>0.64324991193402326</v>
      </c>
      <c r="E13">
        <f t="shared" ref="E13" si="1">SQRT(SUMIF($T$2:$T$46,$E$1,P$2:P$46)/(($G$1-1)*$B$1/$G$1))</f>
        <v>0.48838631591949205</v>
      </c>
      <c r="F13">
        <f>SQRT(SUMIF($T$2:$T$64,$E$1,Q$2:Q$64)/(($G$1-1)*$B$1/$G$1))</f>
        <v>2.3968919203527661</v>
      </c>
      <c r="G13">
        <f>SQRT(SUMIF($T$2:$T$64,$E$1,R$2:R$64)/(($G$1-1)*$B$1/$G$1))</f>
        <v>3.2404334298558832</v>
      </c>
      <c r="K13" t="str">
        <f>Table2[[#This Row],[Column1]]</f>
        <v xml:space="preserve">Conf30   </v>
      </c>
      <c r="L13">
        <f>Table4[[#This Row],[weight]]*(0.9155*Table2[[#This Row],[J1,2]]-A$9)^2</f>
        <v>8.506304939599704E-6</v>
      </c>
      <c r="M13">
        <f>Table4[[#This Row],[weight]]*(0.9155*Table2[[#This Row],[J2,3]]-B$9)^2</f>
        <v>0.14344821887048906</v>
      </c>
      <c r="N13">
        <f>Table4[[#This Row],[weight]]*(0.9155*Table2[[#This Row],[J34]]-C$9)^2</f>
        <v>4.1994723422117246E-4</v>
      </c>
      <c r="O13">
        <f>Table4[[#This Row],[weight]]*(0.9155*Table2[[#This Row],[J45]]-D$9)^2</f>
        <v>0.12537389582504471</v>
      </c>
      <c r="P13">
        <f>Table4[[#This Row],[weight]]*(0.9155*Table2[[#This Row],[J56]]-E$9)^2</f>
        <v>0.42009353972689922</v>
      </c>
      <c r="Q13">
        <f>Table4[[#This Row],[weight]]*(0.9155*Table2[[#This Row],[J67]]-F$9)^2</f>
        <v>9.7188666190723739E-4</v>
      </c>
      <c r="R13">
        <f>Table4[[#This Row],[weight]]*(0.9155*Table2[[#This Row],[J67'']]-G$9)^2</f>
        <v>0.25004087353192017</v>
      </c>
      <c r="S13">
        <f>Table2[[#This Row],[weight]]</f>
        <v>3.8333394367693792E-3</v>
      </c>
      <c r="T13" t="str">
        <f>Table2[[#This Row],[classification]]</f>
        <v>6H4</v>
      </c>
    </row>
    <row r="14" spans="1:20" x14ac:dyDescent="0.25">
      <c r="K14" t="str">
        <f>Table2[[#This Row],[Column1]]</f>
        <v xml:space="preserve">Conf32   </v>
      </c>
      <c r="L14">
        <f>Table4[[#This Row],[weight]]*(0.9155*Table2[[#This Row],[J1,2]]-A$9)^2</f>
        <v>3.8379071296064053E-6</v>
      </c>
      <c r="M14">
        <f>Table4[[#This Row],[weight]]*(0.9155*Table2[[#This Row],[J2,3]]-B$9)^2</f>
        <v>2.4848752563112831E-6</v>
      </c>
      <c r="N14">
        <f>Table4[[#This Row],[weight]]*(0.9155*Table2[[#This Row],[J34]]-C$9)^2</f>
        <v>2.7090414369840868E-4</v>
      </c>
      <c r="O14">
        <f>Table4[[#This Row],[weight]]*(0.9155*Table2[[#This Row],[J45]]-D$9)^2</f>
        <v>7.782159063406621E-4</v>
      </c>
      <c r="P14">
        <f>Table4[[#This Row],[weight]]*(0.9155*Table2[[#This Row],[J56]]-E$9)^2</f>
        <v>3.5916984556889648E-4</v>
      </c>
      <c r="Q14">
        <f>Table4[[#This Row],[weight]]*(0.9155*Table2[[#This Row],[J67]]-F$9)^2</f>
        <v>5.061124451295378E-4</v>
      </c>
      <c r="R14">
        <f>Table4[[#This Row],[weight]]*(0.9155*Table2[[#This Row],[J67'']]-G$9)^2</f>
        <v>2.4245818863195198E-2</v>
      </c>
      <c r="S14">
        <f>Table2[[#This Row],[weight]]</f>
        <v>8.2602975100257733E-4</v>
      </c>
      <c r="T14" t="str">
        <f>Table2[[#This Row],[classification]]</f>
        <v>4H6</v>
      </c>
    </row>
    <row r="15" spans="1:20" x14ac:dyDescent="0.25">
      <c r="K15" t="str">
        <f>Table2[[#This Row],[Column1]]</f>
        <v xml:space="preserve">Conf35   </v>
      </c>
      <c r="L15">
        <f>Table4[[#This Row],[weight]]*(0.9155*Table2[[#This Row],[J1,2]]-A$9)^2</f>
        <v>1.281295207780871E-6</v>
      </c>
      <c r="M15">
        <f>Table4[[#This Row],[weight]]*(0.9155*Table2[[#This Row],[J2,3]]-B$9)^2</f>
        <v>2.0390987349277658E-3</v>
      </c>
      <c r="N15">
        <f>Table4[[#This Row],[weight]]*(0.9155*Table2[[#This Row],[J34]]-C$9)^2</f>
        <v>1.0902147032332031E-5</v>
      </c>
      <c r="O15">
        <f>Table4[[#This Row],[weight]]*(0.9155*Table2[[#This Row],[J45]]-D$9)^2</f>
        <v>6.5635397881175219E-3</v>
      </c>
      <c r="P15">
        <f>Table4[[#This Row],[weight]]*(0.9155*Table2[[#This Row],[J56]]-E$9)^2</f>
        <v>5.7412293667067626E-3</v>
      </c>
      <c r="Q15">
        <f>Table4[[#This Row],[weight]]*(0.9155*Table2[[#This Row],[J67]]-F$9)^2</f>
        <v>3.6489241819791788E-4</v>
      </c>
      <c r="R15">
        <f>Table4[[#This Row],[weight]]*(0.9155*Table2[[#This Row],[J67'']]-G$9)^2</f>
        <v>9.1998457743347071E-4</v>
      </c>
      <c r="S15">
        <f>Table2[[#This Row],[weight]]</f>
        <v>7.5332099155016408E-5</v>
      </c>
      <c r="T15" t="str">
        <f>Table2[[#This Row],[classification]]</f>
        <v>6H4</v>
      </c>
    </row>
    <row r="16" spans="1:20" x14ac:dyDescent="0.25">
      <c r="K16" t="str">
        <f>Table2[[#This Row],[Column1]]</f>
        <v xml:space="preserve">Conf36   </v>
      </c>
      <c r="L16">
        <f>Table4[[#This Row],[weight]]*(0.9155*Table2[[#This Row],[J1,2]]-A$9)^2</f>
        <v>1.1684790829941675E-8</v>
      </c>
      <c r="M16">
        <f>Table4[[#This Row],[weight]]*(0.9155*Table2[[#This Row],[J2,3]]-B$9)^2</f>
        <v>5.0214102962593723E-7</v>
      </c>
      <c r="N16">
        <f>Table4[[#This Row],[weight]]*(0.9155*Table2[[#This Row],[J34]]-C$9)^2</f>
        <v>4.3368610530878961E-5</v>
      </c>
      <c r="O16">
        <f>Table4[[#This Row],[weight]]*(0.9155*Table2[[#This Row],[J45]]-D$9)^2</f>
        <v>1.245052250221434E-3</v>
      </c>
      <c r="P16">
        <f>Table4[[#This Row],[weight]]*(0.9155*Table2[[#This Row],[J56]]-E$9)^2</f>
        <v>6.5530208677921995E-4</v>
      </c>
      <c r="Q16">
        <f>Table4[[#This Row],[weight]]*(0.9155*Table2[[#This Row],[J67]]-F$9)^2</f>
        <v>6.3058513492214738E-2</v>
      </c>
      <c r="R16">
        <f>Table4[[#This Row],[weight]]*(0.9155*Table2[[#This Row],[J67'']]-G$9)^2</f>
        <v>3.6551392891048667E-2</v>
      </c>
      <c r="S16">
        <f>Table2[[#This Row],[weight]]</f>
        <v>2.3140512086136269E-3</v>
      </c>
      <c r="T16" t="str">
        <f>Table2[[#This Row],[classification]]</f>
        <v>4H6</v>
      </c>
    </row>
    <row r="17" spans="7:20" x14ac:dyDescent="0.25">
      <c r="K17" t="str">
        <f>Table2[[#This Row],[Column1]]</f>
        <v xml:space="preserve">Conf40   </v>
      </c>
      <c r="L17">
        <f>Table4[[#This Row],[weight]]*(0.9155*Table2[[#This Row],[J1,2]]-A$9)^2</f>
        <v>4.0831607409295307E-7</v>
      </c>
      <c r="M17">
        <f>Table4[[#This Row],[weight]]*(0.9155*Table2[[#This Row],[J2,3]]-B$9)^2</f>
        <v>8.2642786631909617E-7</v>
      </c>
      <c r="N17">
        <f>Table4[[#This Row],[weight]]*(0.9155*Table2[[#This Row],[J34]]-C$9)^2</f>
        <v>2.0354564709063435E-4</v>
      </c>
      <c r="O17">
        <f>Table4[[#This Row],[weight]]*(0.9155*Table2[[#This Row],[J45]]-D$9)^2</f>
        <v>2.1107371253621833E-4</v>
      </c>
      <c r="P17">
        <f>Table4[[#This Row],[weight]]*(0.9155*Table2[[#This Row],[J56]]-E$9)^2</f>
        <v>1.2638526690737241E-4</v>
      </c>
      <c r="Q17">
        <f>Table4[[#This Row],[weight]]*(0.9155*Table2[[#This Row],[J67]]-F$9)^2</f>
        <v>5.2880829907265528E-4</v>
      </c>
      <c r="R17">
        <f>Table4[[#This Row],[weight]]*(0.9155*Table2[[#This Row],[J67'']]-G$9)^2</f>
        <v>1.3052793902710435E-3</v>
      </c>
      <c r="S17">
        <f>Table2[[#This Row],[weight]]</f>
        <v>1.9068434469591663E-4</v>
      </c>
      <c r="T17" t="str">
        <f>Table2[[#This Row],[classification]]</f>
        <v>4H6</v>
      </c>
    </row>
    <row r="18" spans="7:20" x14ac:dyDescent="0.25">
      <c r="G18" t="s">
        <v>36</v>
      </c>
      <c r="K18" t="str">
        <f>Table2[[#This Row],[Column1]]</f>
        <v xml:space="preserve">Conf42   </v>
      </c>
      <c r="L18">
        <f>Table4[[#This Row],[weight]]*(0.9155*Table2[[#This Row],[J1,2]]-A$9)^2</f>
        <v>0</v>
      </c>
      <c r="M18">
        <f>Table4[[#This Row],[weight]]*(0.9155*Table2[[#This Row],[J2,3]]-B$9)^2</f>
        <v>0</v>
      </c>
      <c r="N18">
        <f>Table4[[#This Row],[weight]]*(0.9155*Table2[[#This Row],[J34]]-C$9)^2</f>
        <v>0</v>
      </c>
      <c r="O18">
        <f>Table4[[#This Row],[weight]]*(0.9155*Table2[[#This Row],[J45]]-D$9)^2</f>
        <v>0</v>
      </c>
      <c r="P18">
        <f>Table4[[#This Row],[weight]]*(0.9155*Table2[[#This Row],[J56]]-E$9)^2</f>
        <v>0</v>
      </c>
      <c r="Q18">
        <f>Table4[[#This Row],[weight]]*(0.9155*Table2[[#This Row],[J67]]-F$9)^2</f>
        <v>0</v>
      </c>
      <c r="R18">
        <f>Table4[[#This Row],[weight]]*(0.9155*Table2[[#This Row],[J67'']]-G$9)^2</f>
        <v>0</v>
      </c>
      <c r="S18">
        <f>Table2[[#This Row],[weight]]</f>
        <v>0</v>
      </c>
      <c r="T18" t="str">
        <f>Table2[[#This Row],[classification]]</f>
        <v>6H4</v>
      </c>
    </row>
    <row r="19" spans="7:20" x14ac:dyDescent="0.25">
      <c r="G19" t="s">
        <v>37</v>
      </c>
      <c r="K19" t="str">
        <f>Table2[[#This Row],[Column1]]</f>
        <v xml:space="preserve">Conf43   </v>
      </c>
      <c r="L19">
        <f>Table4[[#This Row],[weight]]*(0.9155*Table2[[#This Row],[J1,2]]-A$9)^2</f>
        <v>1.6014888737306733E-5</v>
      </c>
      <c r="M19">
        <f>Table4[[#This Row],[weight]]*(0.9155*Table2[[#This Row],[J2,3]]-B$9)^2</f>
        <v>2.3887124980099673E-3</v>
      </c>
      <c r="N19">
        <f>Table4[[#This Row],[weight]]*(0.9155*Table2[[#This Row],[J34]]-C$9)^2</f>
        <v>1.4151031185476639E-3</v>
      </c>
      <c r="O19">
        <f>Table4[[#This Row],[weight]]*(0.9155*Table2[[#This Row],[J45]]-D$9)^2</f>
        <v>3.5176824612520537E-2</v>
      </c>
      <c r="P19">
        <f>Table4[[#This Row],[weight]]*(0.9155*Table2[[#This Row],[J56]]-E$9)^2</f>
        <v>0.20560936462105853</v>
      </c>
      <c r="Q19">
        <f>Table4[[#This Row],[weight]]*(0.9155*Table2[[#This Row],[J67]]-F$9)^2</f>
        <v>0.30280813879879265</v>
      </c>
      <c r="R19">
        <f>Table4[[#This Row],[weight]]*(0.9155*Table2[[#This Row],[J67'']]-G$9)^2</f>
        <v>4.7227119765248619E-4</v>
      </c>
      <c r="S19">
        <f>Table2[[#This Row],[weight]]</f>
        <v>2.8734747504188434E-3</v>
      </c>
      <c r="T19" t="str">
        <f>Table2[[#This Row],[classification]]</f>
        <v>12C5</v>
      </c>
    </row>
    <row r="20" spans="7:20" x14ac:dyDescent="0.25">
      <c r="G20" t="s">
        <v>38</v>
      </c>
      <c r="K20" t="str">
        <f>Table2[[#This Row],[Column1]]</f>
        <v xml:space="preserve">Conf44   </v>
      </c>
      <c r="L20">
        <f>Table4[[#This Row],[weight]]*(0.9155*Table2[[#This Row],[J1,2]]-A$9)^2</f>
        <v>1.1571810146085541E-3</v>
      </c>
      <c r="M20">
        <f>Table4[[#This Row],[weight]]*(0.9155*Table2[[#This Row],[J2,3]]-B$9)^2</f>
        <v>4.0090000585918837E-5</v>
      </c>
      <c r="N20">
        <f>Table4[[#This Row],[weight]]*(0.9155*Table2[[#This Row],[J34]]-C$9)^2</f>
        <v>5.8602927892421877E-3</v>
      </c>
      <c r="O20">
        <f>Table4[[#This Row],[weight]]*(0.9155*Table2[[#This Row],[J45]]-D$9)^2</f>
        <v>4.0516020446610415E-2</v>
      </c>
      <c r="P20">
        <f>Table4[[#This Row],[weight]]*(0.9155*Table2[[#This Row],[J56]]-E$9)^2</f>
        <v>1.0781834387036199E-2</v>
      </c>
      <c r="Q20">
        <f>Table4[[#This Row],[weight]]*(0.9155*Table2[[#This Row],[J67]]-F$9)^2</f>
        <v>7.2747356885830228E-2</v>
      </c>
      <c r="R20">
        <f>Table4[[#This Row],[weight]]*(0.9155*Table2[[#This Row],[J67'']]-G$9)^2</f>
        <v>0.10740074112685227</v>
      </c>
      <c r="S20">
        <f>Table2[[#This Row],[weight]]</f>
        <v>6.5175913286183385E-2</v>
      </c>
      <c r="T20" t="str">
        <f>Table2[[#This Row],[classification]]</f>
        <v>4H6</v>
      </c>
    </row>
    <row r="21" spans="7:20" x14ac:dyDescent="0.25">
      <c r="G21" t="s">
        <v>39</v>
      </c>
      <c r="K21" t="str">
        <f>Table2[[#This Row],[Column1]]</f>
        <v xml:space="preserve">Conf47   </v>
      </c>
      <c r="L21">
        <f>Table4[[#This Row],[weight]]*(0.9155*Table2[[#This Row],[J1,2]]-A$9)^2</f>
        <v>0</v>
      </c>
      <c r="M21">
        <f>Table4[[#This Row],[weight]]*(0.9155*Table2[[#This Row],[J2,3]]-B$9)^2</f>
        <v>0</v>
      </c>
      <c r="N21">
        <f>Table4[[#This Row],[weight]]*(0.9155*Table2[[#This Row],[J34]]-C$9)^2</f>
        <v>0</v>
      </c>
      <c r="O21">
        <f>Table4[[#This Row],[weight]]*(0.9155*Table2[[#This Row],[J45]]-D$9)^2</f>
        <v>0</v>
      </c>
      <c r="P21">
        <f>Table4[[#This Row],[weight]]*(0.9155*Table2[[#This Row],[J56]]-E$9)^2</f>
        <v>0</v>
      </c>
      <c r="Q21">
        <f>Table4[[#This Row],[weight]]*(0.9155*Table2[[#This Row],[J67]]-F$9)^2</f>
        <v>0</v>
      </c>
      <c r="R21">
        <f>Table4[[#This Row],[weight]]*(0.9155*Table2[[#This Row],[J67'']]-G$9)^2</f>
        <v>0</v>
      </c>
      <c r="S21">
        <f>Table2[[#This Row],[weight]]</f>
        <v>0</v>
      </c>
      <c r="T21" t="str">
        <f>Table2[[#This Row],[classification]]</f>
        <v>6H4</v>
      </c>
    </row>
    <row r="22" spans="7:20" x14ac:dyDescent="0.25">
      <c r="G22" t="s">
        <v>40</v>
      </c>
      <c r="K22" t="str">
        <f>Table2[[#This Row],[Column1]]</f>
        <v xml:space="preserve">Conf51   </v>
      </c>
      <c r="L22">
        <f>Table4[[#This Row],[weight]]*(0.9155*Table2[[#This Row],[J1,2]]-A$9)^2</f>
        <v>0</v>
      </c>
      <c r="M22">
        <f>Table4[[#This Row],[weight]]*(0.9155*Table2[[#This Row],[J2,3]]-B$9)^2</f>
        <v>0</v>
      </c>
      <c r="N22">
        <f>Table4[[#This Row],[weight]]*(0.9155*Table2[[#This Row],[J34]]-C$9)^2</f>
        <v>0</v>
      </c>
      <c r="O22">
        <f>Table4[[#This Row],[weight]]*(0.9155*Table2[[#This Row],[J45]]-D$9)^2</f>
        <v>0</v>
      </c>
      <c r="P22">
        <f>Table4[[#This Row],[weight]]*(0.9155*Table2[[#This Row],[J56]]-E$9)^2</f>
        <v>0</v>
      </c>
      <c r="Q22">
        <f>Table4[[#This Row],[weight]]*(0.9155*Table2[[#This Row],[J67]]-F$9)^2</f>
        <v>0</v>
      </c>
      <c r="R22">
        <f>Table4[[#This Row],[weight]]*(0.9155*Table2[[#This Row],[J67'']]-G$9)^2</f>
        <v>0</v>
      </c>
      <c r="S22">
        <f>Table2[[#This Row],[weight]]</f>
        <v>0</v>
      </c>
      <c r="T22" t="str">
        <f>Table2[[#This Row],[classification]]</f>
        <v>45E</v>
      </c>
    </row>
    <row r="23" spans="7:20" x14ac:dyDescent="0.25">
      <c r="G23" t="s">
        <v>41</v>
      </c>
      <c r="K23" t="str">
        <f>Table2[[#This Row],[Column1]]</f>
        <v xml:space="preserve">Conf52   </v>
      </c>
      <c r="L23">
        <f>Table4[[#This Row],[weight]]*(0.9155*Table2[[#This Row],[J1,2]]-A$9)^2</f>
        <v>6.3458023092634146E-4</v>
      </c>
      <c r="M23">
        <f>Table4[[#This Row],[weight]]*(0.9155*Table2[[#This Row],[J2,3]]-B$9)^2</f>
        <v>2.1573965920299865E-6</v>
      </c>
      <c r="N23">
        <f>Table4[[#This Row],[weight]]*(0.9155*Table2[[#This Row],[J34]]-C$9)^2</f>
        <v>2.5518488240850383E-3</v>
      </c>
      <c r="O23">
        <f>Table4[[#This Row],[weight]]*(0.9155*Table2[[#This Row],[J45]]-D$9)^2</f>
        <v>3.4000990650365722E-3</v>
      </c>
      <c r="P23">
        <f>Table4[[#This Row],[weight]]*(0.9155*Table2[[#This Row],[J56]]-E$9)^2</f>
        <v>2.0063584421858389E-3</v>
      </c>
      <c r="Q23">
        <f>Table4[[#This Row],[weight]]*(0.9155*Table2[[#This Row],[J67]]-F$9)^2</f>
        <v>1.9162506551409039E-2</v>
      </c>
      <c r="R23">
        <f>Table4[[#This Row],[weight]]*(0.9155*Table2[[#This Row],[J67'']]-G$9)^2</f>
        <v>0.75007529414493879</v>
      </c>
      <c r="S23">
        <f>Table2[[#This Row],[weight]]</f>
        <v>6.9392959472931046E-2</v>
      </c>
      <c r="T23" t="str">
        <f>Table2[[#This Row],[classification]]</f>
        <v>4H6</v>
      </c>
    </row>
    <row r="24" spans="7:20" x14ac:dyDescent="0.25">
      <c r="G24" t="s">
        <v>43</v>
      </c>
      <c r="K24" t="str">
        <f>Table2[[#This Row],[Column1]]</f>
        <v xml:space="preserve">Conf54   </v>
      </c>
      <c r="L24">
        <f>Table4[[#This Row],[weight]]*(0.9155*Table2[[#This Row],[J1,2]]-A$9)^2</f>
        <v>1.1501074362985752E-3</v>
      </c>
      <c r="M24">
        <f>Table4[[#This Row],[weight]]*(0.9155*Table2[[#This Row],[J2,3]]-B$9)^2</f>
        <v>2.5407881197458596E-6</v>
      </c>
      <c r="N24">
        <f>Table4[[#This Row],[weight]]*(0.9155*Table2[[#This Row],[J34]]-C$9)^2</f>
        <v>7.0964552385282586E-3</v>
      </c>
      <c r="O24">
        <f>Table4[[#This Row],[weight]]*(0.9155*Table2[[#This Row],[J45]]-D$9)^2</f>
        <v>2.3363053418056123E-2</v>
      </c>
      <c r="P24">
        <f>Table4[[#This Row],[weight]]*(0.9155*Table2[[#This Row],[J56]]-E$9)^2</f>
        <v>6.8149903014642745E-3</v>
      </c>
      <c r="Q24">
        <f>Table4[[#This Row],[weight]]*(0.9155*Table2[[#This Row],[J67]]-F$9)^2</f>
        <v>5.929379441181365E-2</v>
      </c>
      <c r="R24">
        <f>Table4[[#This Row],[weight]]*(0.9155*Table2[[#This Row],[J67'']]-G$9)^2</f>
        <v>3.671612749226548</v>
      </c>
      <c r="S24">
        <f>Table2[[#This Row],[weight]]</f>
        <v>0.1257671683217744</v>
      </c>
      <c r="T24" t="str">
        <f>Table2[[#This Row],[classification]]</f>
        <v>4H6</v>
      </c>
    </row>
    <row r="25" spans="7:20" x14ac:dyDescent="0.25">
      <c r="K25" t="str">
        <f>Table2[[#This Row],[Column1]]</f>
        <v xml:space="preserve">Conf55   </v>
      </c>
      <c r="L25">
        <f>Table4[[#This Row],[weight]]*(0.9155*Table2[[#This Row],[J1,2]]-A$9)^2</f>
        <v>8.9803370752254456E-6</v>
      </c>
      <c r="M25">
        <f>Table4[[#This Row],[weight]]*(0.9155*Table2[[#This Row],[J2,3]]-B$9)^2</f>
        <v>1.3947908528128018E-3</v>
      </c>
      <c r="N25">
        <f>Table4[[#This Row],[weight]]*(0.9155*Table2[[#This Row],[J34]]-C$9)^2</f>
        <v>4.3195642354036732E-4</v>
      </c>
      <c r="O25">
        <f>Table4[[#This Row],[weight]]*(0.9155*Table2[[#This Row],[J45]]-D$9)^2</f>
        <v>1.4596202269257256E-2</v>
      </c>
      <c r="P25">
        <f>Table4[[#This Row],[weight]]*(0.9155*Table2[[#This Row],[J56]]-E$9)^2</f>
        <v>0.10974315255253231</v>
      </c>
      <c r="Q25">
        <f>Table4[[#This Row],[weight]]*(0.9155*Table2[[#This Row],[J67]]-F$9)^2</f>
        <v>0.12650936591735493</v>
      </c>
      <c r="R25">
        <f>Table4[[#This Row],[weight]]*(0.9155*Table2[[#This Row],[J67'']]-G$9)^2</f>
        <v>8.9450774298451864E-4</v>
      </c>
      <c r="S25">
        <f>Table2[[#This Row],[weight]]</f>
        <v>1.4009139902914978E-3</v>
      </c>
      <c r="T25" t="str">
        <f>Table2[[#This Row],[classification]]</f>
        <v>12C5</v>
      </c>
    </row>
    <row r="26" spans="7:20" x14ac:dyDescent="0.25">
      <c r="K26" t="str">
        <f>Table2[[#This Row],[Column1]]</f>
        <v xml:space="preserve">Conf57   </v>
      </c>
      <c r="L26">
        <f>Table4[[#This Row],[weight]]*(0.9155*Table2[[#This Row],[J1,2]]-A$9)^2</f>
        <v>3.9525613769501954E-6</v>
      </c>
      <c r="M26">
        <f>Table4[[#This Row],[weight]]*(0.9155*Table2[[#This Row],[J2,3]]-B$9)^2</f>
        <v>4.8094729935198451E-7</v>
      </c>
      <c r="N26">
        <f>Table4[[#This Row],[weight]]*(0.9155*Table2[[#This Row],[J34]]-C$9)^2</f>
        <v>1.5332008777674524E-4</v>
      </c>
      <c r="O26">
        <f>Table4[[#This Row],[weight]]*(0.9155*Table2[[#This Row],[J45]]-D$9)^2</f>
        <v>1.7190852399388688E-4</v>
      </c>
      <c r="P26">
        <f>Table4[[#This Row],[weight]]*(0.9155*Table2[[#This Row],[J56]]-E$9)^2</f>
        <v>7.9175921544548808E-6</v>
      </c>
      <c r="Q26">
        <f>Table4[[#This Row],[weight]]*(0.9155*Table2[[#This Row],[J67]]-F$9)^2</f>
        <v>1.0577977935961458E-2</v>
      </c>
      <c r="R26">
        <f>Table4[[#This Row],[weight]]*(0.9155*Table2[[#This Row],[J67'']]-G$9)^2</f>
        <v>1.547712156320769E-3</v>
      </c>
      <c r="S26">
        <f>Table2[[#This Row],[weight]]</f>
        <v>1.9744642742672638E-4</v>
      </c>
      <c r="T26" t="str">
        <f>Table2[[#This Row],[classification]]</f>
        <v>4H6</v>
      </c>
    </row>
    <row r="27" spans="7:20" x14ac:dyDescent="0.25">
      <c r="K27" t="str">
        <f>Table2[[#This Row],[Column1]]</f>
        <v xml:space="preserve">Conf58   </v>
      </c>
      <c r="L27">
        <f>Table4[[#This Row],[weight]]*(0.9155*Table2[[#This Row],[J1,2]]-A$9)^2</f>
        <v>2.6758299251502877E-7</v>
      </c>
      <c r="M27">
        <f>Table4[[#This Row],[weight]]*(0.9155*Table2[[#This Row],[J2,3]]-B$9)^2</f>
        <v>1.2532607662922795E-9</v>
      </c>
      <c r="N27">
        <f>Table4[[#This Row],[weight]]*(0.9155*Table2[[#This Row],[J34]]-C$9)^2</f>
        <v>3.9429030217032803E-4</v>
      </c>
      <c r="O27">
        <f>Table4[[#This Row],[weight]]*(0.9155*Table2[[#This Row],[J45]]-D$9)^2</f>
        <v>3.5604286373269278E-4</v>
      </c>
      <c r="P27">
        <f>Table4[[#This Row],[weight]]*(0.9155*Table2[[#This Row],[J56]]-E$9)^2</f>
        <v>7.8525688944877097E-5</v>
      </c>
      <c r="Q27">
        <f>Table4[[#This Row],[weight]]*(0.9155*Table2[[#This Row],[J67]]-F$9)^2</f>
        <v>1.5116126441673452E-4</v>
      </c>
      <c r="R27">
        <f>Table4[[#This Row],[weight]]*(0.9155*Table2[[#This Row],[J67'']]-G$9)^2</f>
        <v>1.0779596683532275E-2</v>
      </c>
      <c r="S27">
        <f>Table2[[#This Row],[weight]]</f>
        <v>3.4217458601206878E-4</v>
      </c>
      <c r="T27" t="str">
        <f>Table2[[#This Row],[classification]]</f>
        <v>4H6</v>
      </c>
    </row>
    <row r="28" spans="7:20" x14ac:dyDescent="0.25">
      <c r="K28" t="str">
        <f>Table2[[#This Row],[Column1]]</f>
        <v xml:space="preserve">Conf60   </v>
      </c>
      <c r="L28">
        <f>Table4[[#This Row],[weight]]*(0.9155*Table2[[#This Row],[J1,2]]-A$9)^2</f>
        <v>1.4230129341920813E-3</v>
      </c>
      <c r="M28">
        <f>Table4[[#This Row],[weight]]*(0.9155*Table2[[#This Row],[J2,3]]-B$9)^2</f>
        <v>1.0390127242099726E-2</v>
      </c>
      <c r="N28">
        <f>Table4[[#This Row],[weight]]*(0.9155*Table2[[#This Row],[J34]]-C$9)^2</f>
        <v>5.2132938103974379E-6</v>
      </c>
      <c r="O28">
        <f>Table4[[#This Row],[weight]]*(0.9155*Table2[[#This Row],[J45]]-D$9)^2</f>
        <v>5.0805823791892475E-2</v>
      </c>
      <c r="P28">
        <f>Table4[[#This Row],[weight]]*(0.9155*Table2[[#This Row],[J56]]-E$9)^2</f>
        <v>0.3792149374811587</v>
      </c>
      <c r="Q28">
        <f>Table4[[#This Row],[weight]]*(0.9155*Table2[[#This Row],[J67]]-F$9)^2</f>
        <v>1.4004676154682395E-4</v>
      </c>
      <c r="R28">
        <f>Table4[[#This Row],[weight]]*(0.9155*Table2[[#This Row],[J67'']]-G$9)^2</f>
        <v>0.19646394835164249</v>
      </c>
      <c r="S28">
        <f>Table2[[#This Row],[weight]]</f>
        <v>4.6778212638561483E-3</v>
      </c>
      <c r="T28" t="str">
        <f>Table2[[#This Row],[classification]]</f>
        <v>12C5</v>
      </c>
    </row>
    <row r="29" spans="7:20" x14ac:dyDescent="0.25">
      <c r="K29" t="str">
        <f>Table2[[#This Row],[Column1]]</f>
        <v xml:space="preserve">Conf65   </v>
      </c>
      <c r="L29">
        <f>Table4[[#This Row],[weight]]*(0.9155*Table2[[#This Row],[J1,2]]-A$9)^2</f>
        <v>2.9769768816131621E-4</v>
      </c>
      <c r="M29">
        <f>Table4[[#This Row],[weight]]*(0.9155*Table2[[#This Row],[J2,3]]-B$9)^2</f>
        <v>5.3312488568213264E-5</v>
      </c>
      <c r="N29">
        <f>Table4[[#This Row],[weight]]*(0.9155*Table2[[#This Row],[J34]]-C$9)^2</f>
        <v>7.9823089666390993E-4</v>
      </c>
      <c r="O29">
        <f>Table4[[#This Row],[weight]]*(0.9155*Table2[[#This Row],[J45]]-D$9)^2</f>
        <v>9.6237902103299012E-3</v>
      </c>
      <c r="P29">
        <f>Table4[[#This Row],[weight]]*(0.9155*Table2[[#This Row],[J56]]-E$9)^2</f>
        <v>1.423196376640277E-2</v>
      </c>
      <c r="Q29">
        <f>Table4[[#This Row],[weight]]*(0.9155*Table2[[#This Row],[J67]]-F$9)^2</f>
        <v>0.44092589277895378</v>
      </c>
      <c r="R29">
        <f>Table4[[#This Row],[weight]]*(0.9155*Table2[[#This Row],[J67'']]-G$9)^2</f>
        <v>1.4531141542622856E-3</v>
      </c>
      <c r="S29">
        <f>Table2[[#This Row],[weight]]</f>
        <v>6.2466570880075397E-3</v>
      </c>
      <c r="T29" t="str">
        <f>Table2[[#This Row],[classification]]</f>
        <v>4H6</v>
      </c>
    </row>
    <row r="30" spans="7:20" x14ac:dyDescent="0.25">
      <c r="K30" t="str">
        <f>Table2[[#This Row],[Column1]]</f>
        <v xml:space="preserve">Conf69   </v>
      </c>
      <c r="L30">
        <f>Table4[[#This Row],[weight]]*(0.9155*Table2[[#This Row],[J1,2]]-A$9)^2</f>
        <v>1.1641490812173502E-5</v>
      </c>
      <c r="M30">
        <f>Table4[[#This Row],[weight]]*(0.9155*Table2[[#This Row],[J2,3]]-B$9)^2</f>
        <v>5.7699019182179279E-3</v>
      </c>
      <c r="N30">
        <f>Table4[[#This Row],[weight]]*(0.9155*Table2[[#This Row],[J34]]-C$9)^2</f>
        <v>1.0149769181636761E-6</v>
      </c>
      <c r="O30">
        <f>Table4[[#This Row],[weight]]*(0.9155*Table2[[#This Row],[J45]]-D$9)^2</f>
        <v>1.2455122810906058E-2</v>
      </c>
      <c r="P30">
        <f>Table4[[#This Row],[weight]]*(0.9155*Table2[[#This Row],[J56]]-E$9)^2</f>
        <v>1.4134180191610671E-2</v>
      </c>
      <c r="Q30">
        <f>Table4[[#This Row],[weight]]*(0.9155*Table2[[#This Row],[J67]]-F$9)^2</f>
        <v>5.7088176658606684E-4</v>
      </c>
      <c r="R30">
        <f>Table4[[#This Row],[weight]]*(0.9155*Table2[[#This Row],[J67'']]-G$9)^2</f>
        <v>8.8651652664447737E-3</v>
      </c>
      <c r="S30">
        <f>Table2[[#This Row],[weight]]</f>
        <v>1.5804318205865528E-4</v>
      </c>
      <c r="T30" t="str">
        <f>Table2[[#This Row],[classification]]</f>
        <v>6H4</v>
      </c>
    </row>
    <row r="31" spans="7:20" x14ac:dyDescent="0.25">
      <c r="K31" t="str">
        <f>Table2[[#This Row],[Column1]]</f>
        <v xml:space="preserve">Conf70   </v>
      </c>
      <c r="L31">
        <f>Table4[[#This Row],[weight]]*(0.9155*Table2[[#This Row],[J1,2]]-A$9)^2</f>
        <v>1.2200792699986623E-3</v>
      </c>
      <c r="M31">
        <f>Table4[[#This Row],[weight]]*(0.9155*Table2[[#This Row],[J2,3]]-B$9)^2</f>
        <v>9.9957298585720133E-5</v>
      </c>
      <c r="N31">
        <f>Table4[[#This Row],[weight]]*(0.9155*Table2[[#This Row],[J34]]-C$9)^2</f>
        <v>5.5309986909489696E-3</v>
      </c>
      <c r="O31">
        <f>Table4[[#This Row],[weight]]*(0.9155*Table2[[#This Row],[J45]]-D$9)^2</f>
        <v>4.1330792727564063E-2</v>
      </c>
      <c r="P31">
        <f>Table4[[#This Row],[weight]]*(0.9155*Table2[[#This Row],[J56]]-E$9)^2</f>
        <v>1.0434834730861944E-2</v>
      </c>
      <c r="Q31">
        <f>Table4[[#This Row],[weight]]*(0.9155*Table2[[#This Row],[J67]]-F$9)^2</f>
        <v>6.9227794395335468E-2</v>
      </c>
      <c r="R31">
        <f>Table4[[#This Row],[weight]]*(0.9155*Table2[[#This Row],[J67'']]-G$9)^2</f>
        <v>0.1124326642630077</v>
      </c>
      <c r="S31">
        <f>Table2[[#This Row],[weight]]</f>
        <v>6.4229697849314968E-2</v>
      </c>
      <c r="T31" t="str">
        <f>Table2[[#This Row],[classification]]</f>
        <v>4H6</v>
      </c>
    </row>
    <row r="32" spans="7:20" x14ac:dyDescent="0.25">
      <c r="K32" t="str">
        <f>Table2[[#This Row],[Column1]]</f>
        <v xml:space="preserve">Conf86   </v>
      </c>
      <c r="L32">
        <f>Table4[[#This Row],[weight]]*(0.9155*Table2[[#This Row],[J1,2]]-A$9)^2</f>
        <v>2.1031899653766292E-5</v>
      </c>
      <c r="M32">
        <f>Table4[[#This Row],[weight]]*(0.9155*Table2[[#This Row],[J2,3]]-B$9)^2</f>
        <v>5.5467911565224431E-3</v>
      </c>
      <c r="N32">
        <f>Table4[[#This Row],[weight]]*(0.9155*Table2[[#This Row],[J34]]-C$9)^2</f>
        <v>2.4415190756697281E-4</v>
      </c>
      <c r="O32">
        <f>Table4[[#This Row],[weight]]*(0.9155*Table2[[#This Row],[J45]]-D$9)^2</f>
        <v>4.7784613304956487E-2</v>
      </c>
      <c r="P32">
        <f>Table4[[#This Row],[weight]]*(0.9155*Table2[[#This Row],[J56]]-E$9)^2</f>
        <v>2.177793365827792E-3</v>
      </c>
      <c r="Q32">
        <f>Table4[[#This Row],[weight]]*(0.9155*Table2[[#This Row],[J67]]-F$9)^2</f>
        <v>3.2306137734857264E-5</v>
      </c>
      <c r="R32">
        <f>Table4[[#This Row],[weight]]*(0.9155*Table2[[#This Row],[J67'']]-G$9)^2</f>
        <v>4.5852317054381553E-3</v>
      </c>
      <c r="S32">
        <f>Table2[[#This Row],[weight]]</f>
        <v>6.6362959010697685E-4</v>
      </c>
      <c r="T32" t="str">
        <f>Table2[[#This Row],[classification]]</f>
        <v>56E</v>
      </c>
    </row>
    <row r="33" spans="11:20" x14ac:dyDescent="0.25">
      <c r="K33" t="str">
        <f>Table2[[#This Row],[Column1]]</f>
        <v xml:space="preserve">Conf89   </v>
      </c>
      <c r="L33">
        <f>Table4[[#This Row],[weight]]*(0.9155*Table2[[#This Row],[J1,2]]-A$9)^2</f>
        <v>0</v>
      </c>
      <c r="M33">
        <f>Table4[[#This Row],[weight]]*(0.9155*Table2[[#This Row],[J2,3]]-B$9)^2</f>
        <v>0</v>
      </c>
      <c r="N33">
        <f>Table4[[#This Row],[weight]]*(0.9155*Table2[[#This Row],[J34]]-C$9)^2</f>
        <v>0</v>
      </c>
      <c r="O33">
        <f>Table4[[#This Row],[weight]]*(0.9155*Table2[[#This Row],[J45]]-D$9)^2</f>
        <v>0</v>
      </c>
      <c r="P33">
        <f>Table4[[#This Row],[weight]]*(0.9155*Table2[[#This Row],[J56]]-E$9)^2</f>
        <v>0</v>
      </c>
      <c r="Q33">
        <f>Table4[[#This Row],[weight]]*(0.9155*Table2[[#This Row],[J67]]-F$9)^2</f>
        <v>0</v>
      </c>
      <c r="R33">
        <f>Table4[[#This Row],[weight]]*(0.9155*Table2[[#This Row],[J67'']]-G$9)^2</f>
        <v>0</v>
      </c>
      <c r="S33">
        <f>Table2[[#This Row],[weight]]</f>
        <v>0</v>
      </c>
      <c r="T33" t="str">
        <f>Table2[[#This Row],[classification]]</f>
        <v>4H6</v>
      </c>
    </row>
    <row r="34" spans="11:20" x14ac:dyDescent="0.25">
      <c r="K34" t="str">
        <f>Table2[[#This Row],[Column1]]</f>
        <v xml:space="preserve">Conf90   </v>
      </c>
      <c r="L34">
        <f>Table4[[#This Row],[weight]]*(0.9155*Table2[[#This Row],[J1,2]]-A$9)^2</f>
        <v>0</v>
      </c>
      <c r="M34">
        <f>Table4[[#This Row],[weight]]*(0.9155*Table2[[#This Row],[J2,3]]-B$9)^2</f>
        <v>0</v>
      </c>
      <c r="N34">
        <f>Table4[[#This Row],[weight]]*(0.9155*Table2[[#This Row],[J34]]-C$9)^2</f>
        <v>0</v>
      </c>
      <c r="O34">
        <f>Table4[[#This Row],[weight]]*(0.9155*Table2[[#This Row],[J45]]-D$9)^2</f>
        <v>0</v>
      </c>
      <c r="P34">
        <f>Table4[[#This Row],[weight]]*(0.9155*Table2[[#This Row],[J56]]-E$9)^2</f>
        <v>0</v>
      </c>
      <c r="Q34">
        <f>Table4[[#This Row],[weight]]*(0.9155*Table2[[#This Row],[J67]]-F$9)^2</f>
        <v>0</v>
      </c>
      <c r="R34">
        <f>Table4[[#This Row],[weight]]*(0.9155*Table2[[#This Row],[J67'']]-G$9)^2</f>
        <v>0</v>
      </c>
      <c r="S34">
        <f>Table2[[#This Row],[weight]]</f>
        <v>0</v>
      </c>
      <c r="T34" t="str">
        <f>Table2[[#This Row],[classification]]</f>
        <v>4H6</v>
      </c>
    </row>
    <row r="35" spans="11:20" x14ac:dyDescent="0.25">
      <c r="K35" t="str">
        <f>Table2[[#This Row],[Column1]]</f>
        <v xml:space="preserve">Conf92   </v>
      </c>
      <c r="L35">
        <f>Table4[[#This Row],[weight]]*(0.9155*Table2[[#This Row],[J1,2]]-A$9)^2</f>
        <v>2.7855580999513888E-4</v>
      </c>
      <c r="M35">
        <f>Table4[[#This Row],[weight]]*(0.9155*Table2[[#This Row],[J2,3]]-B$9)^2</f>
        <v>9.6609321957019691</v>
      </c>
      <c r="N35">
        <f>Table4[[#This Row],[weight]]*(0.9155*Table2[[#This Row],[J34]]-C$9)^2</f>
        <v>0.20690120406165466</v>
      </c>
      <c r="O35">
        <f>Table4[[#This Row],[weight]]*(0.9155*Table2[[#This Row],[J45]]-D$9)^2</f>
        <v>16.694778274095857</v>
      </c>
      <c r="P35">
        <f>Table4[[#This Row],[weight]]*(0.9155*Table2[[#This Row],[J56]]-E$9)^2</f>
        <v>0.25991255510325206</v>
      </c>
      <c r="Q35">
        <f>Table4[[#This Row],[weight]]*(0.9155*Table2[[#This Row],[J67]]-F$9)^2</f>
        <v>4.496850612569947E-2</v>
      </c>
      <c r="R35">
        <f>Table4[[#This Row],[weight]]*(0.9155*Table2[[#This Row],[J67'']]-G$9)^2</f>
        <v>1.1121384503430336</v>
      </c>
      <c r="S35">
        <f>Table2[[#This Row],[weight]]</f>
        <v>0.2030773709245009</v>
      </c>
      <c r="T35" t="str">
        <f>Table2[[#This Row],[classification]]</f>
        <v>5C12</v>
      </c>
    </row>
    <row r="36" spans="11:20" x14ac:dyDescent="0.25">
      <c r="K36" t="str">
        <f>Table2[[#This Row],[Column1]]</f>
        <v xml:space="preserve">Conf93   </v>
      </c>
      <c r="L36">
        <f>Table4[[#This Row],[weight]]*(0.9155*Table2[[#This Row],[J1,2]]-A$9)^2</f>
        <v>5.1993717136314371E-7</v>
      </c>
      <c r="M36">
        <f>Table4[[#This Row],[weight]]*(0.9155*Table2[[#This Row],[J2,3]]-B$9)^2</f>
        <v>9.6198158408382849E-4</v>
      </c>
      <c r="N36">
        <f>Table4[[#This Row],[weight]]*(0.9155*Table2[[#This Row],[J34]]-C$9)^2</f>
        <v>4.5494493768338898E-4</v>
      </c>
      <c r="O36">
        <f>Table4[[#This Row],[weight]]*(0.9155*Table2[[#This Row],[J45]]-D$9)^2</f>
        <v>1.0591703890086684E-2</v>
      </c>
      <c r="P36">
        <f>Table4[[#This Row],[weight]]*(0.9155*Table2[[#This Row],[J56]]-E$9)^2</f>
        <v>6.564207028778786E-2</v>
      </c>
      <c r="Q36">
        <f>Table4[[#This Row],[weight]]*(0.9155*Table2[[#This Row],[J67]]-F$9)^2</f>
        <v>7.9538971078387755E-2</v>
      </c>
      <c r="R36">
        <f>Table4[[#This Row],[weight]]*(0.9155*Table2[[#This Row],[J67'']]-G$9)^2</f>
        <v>2.0124236698854095E-3</v>
      </c>
      <c r="S36">
        <f>Table2[[#This Row],[weight]]</f>
        <v>8.8640984616944951E-4</v>
      </c>
      <c r="T36" t="str">
        <f>Table2[[#This Row],[classification]]</f>
        <v>12C5</v>
      </c>
    </row>
    <row r="37" spans="11:20" x14ac:dyDescent="0.25">
      <c r="K37" t="str">
        <f>Table2[[#This Row],[Column1]]</f>
        <v xml:space="preserve">Conf95   </v>
      </c>
      <c r="L37">
        <f>Table4[[#This Row],[weight]]*(0.9155*Table2[[#This Row],[J1,2]]-A$9)^2</f>
        <v>1.4631207345718541E-5</v>
      </c>
      <c r="M37">
        <f>Table4[[#This Row],[weight]]*(0.9155*Table2[[#This Row],[J2,3]]-B$9)^2</f>
        <v>5.8859615188656643E-3</v>
      </c>
      <c r="N37">
        <f>Table4[[#This Row],[weight]]*(0.9155*Table2[[#This Row],[J34]]-C$9)^2</f>
        <v>1.4172083656580064E-6</v>
      </c>
      <c r="O37">
        <f>Table4[[#This Row],[weight]]*(0.9155*Table2[[#This Row],[J45]]-D$9)^2</f>
        <v>1.2617459005181584E-2</v>
      </c>
      <c r="P37">
        <f>Table4[[#This Row],[weight]]*(0.9155*Table2[[#This Row],[J56]]-E$9)^2</f>
        <v>1.452037680458187E-2</v>
      </c>
      <c r="Q37">
        <f>Table4[[#This Row],[weight]]*(0.9155*Table2[[#This Row],[J67]]-F$9)^2</f>
        <v>2.9966991782324424E-4</v>
      </c>
      <c r="R37">
        <f>Table4[[#This Row],[weight]]*(0.9155*Table2[[#This Row],[J67'']]-G$9)^2</f>
        <v>1.0715500579376334E-2</v>
      </c>
      <c r="S37">
        <f>Table2[[#This Row],[weight]]</f>
        <v>1.6083202905120859E-4</v>
      </c>
      <c r="T37" t="str">
        <f>Table2[[#This Row],[classification]]</f>
        <v>6H4</v>
      </c>
    </row>
    <row r="38" spans="11:20" x14ac:dyDescent="0.25">
      <c r="K38" t="str">
        <f>Table2[[#This Row],[Column1]]</f>
        <v xml:space="preserve">Conf100   </v>
      </c>
      <c r="L38">
        <f>Table4[[#This Row],[weight]]*(0.9155*Table2[[#This Row],[J1,2]]-A$9)^2</f>
        <v>8.7727404089522169E-3</v>
      </c>
      <c r="M38">
        <f>Table4[[#This Row],[weight]]*(0.9155*Table2[[#This Row],[J2,3]]-B$9)^2</f>
        <v>1.8744184368822945</v>
      </c>
      <c r="N38">
        <f>Table4[[#This Row],[weight]]*(0.9155*Table2[[#This Row],[J34]]-C$9)^2</f>
        <v>3.4319428387099768E-2</v>
      </c>
      <c r="O38">
        <f>Table4[[#This Row],[weight]]*(0.9155*Table2[[#This Row],[J45]]-D$9)^2</f>
        <v>3.1295833193774678</v>
      </c>
      <c r="P38">
        <f>Table4[[#This Row],[weight]]*(0.9155*Table2[[#This Row],[J56]]-E$9)^2</f>
        <v>3.4265323471224796E-2</v>
      </c>
      <c r="Q38">
        <f>Table4[[#This Row],[weight]]*(0.9155*Table2[[#This Row],[J67]]-F$9)^2</f>
        <v>3.3518849156926002E-3</v>
      </c>
      <c r="R38">
        <f>Table4[[#This Row],[weight]]*(0.9155*Table2[[#This Row],[J67'']]-G$9)^2</f>
        <v>1.3563459282325487</v>
      </c>
      <c r="S38">
        <f>Table2[[#This Row],[weight]]</f>
        <v>3.9548008203148202E-2</v>
      </c>
      <c r="T38" t="str">
        <f>Table2[[#This Row],[classification]]</f>
        <v>5C12</v>
      </c>
    </row>
    <row r="39" spans="11:20" x14ac:dyDescent="0.25">
      <c r="K39" t="str">
        <f>Table2[[#This Row],[Column1]]</f>
        <v xml:space="preserve">Conf112   </v>
      </c>
      <c r="L39">
        <f>Table4[[#This Row],[weight]]*(0.9155*Table2[[#This Row],[J1,2]]-A$9)^2</f>
        <v>0</v>
      </c>
      <c r="M39">
        <f>Table4[[#This Row],[weight]]*(0.9155*Table2[[#This Row],[J2,3]]-B$9)^2</f>
        <v>0</v>
      </c>
      <c r="N39">
        <f>Table4[[#This Row],[weight]]*(0.9155*Table2[[#This Row],[J34]]-C$9)^2</f>
        <v>0</v>
      </c>
      <c r="O39">
        <f>Table4[[#This Row],[weight]]*(0.9155*Table2[[#This Row],[J45]]-D$9)^2</f>
        <v>0</v>
      </c>
      <c r="P39">
        <f>Table4[[#This Row],[weight]]*(0.9155*Table2[[#This Row],[J56]]-E$9)^2</f>
        <v>0</v>
      </c>
      <c r="Q39">
        <f>Table4[[#This Row],[weight]]*(0.9155*Table2[[#This Row],[J67]]-F$9)^2</f>
        <v>0</v>
      </c>
      <c r="R39">
        <f>Table4[[#This Row],[weight]]*(0.9155*Table2[[#This Row],[J67'']]-G$9)^2</f>
        <v>0</v>
      </c>
      <c r="S39">
        <f>Table2[[#This Row],[weight]]</f>
        <v>0</v>
      </c>
      <c r="T39" t="str">
        <f>Table2[[#This Row],[classification]]</f>
        <v>4H6</v>
      </c>
    </row>
    <row r="40" spans="11:20" x14ac:dyDescent="0.25">
      <c r="K40" t="str">
        <f>Table2[[#This Row],[Column1]]</f>
        <v xml:space="preserve">Conf115   </v>
      </c>
      <c r="L40">
        <f>Table4[[#This Row],[weight]]*(0.9155*Table2[[#This Row],[J1,2]]-A$9)^2</f>
        <v>0</v>
      </c>
      <c r="M40">
        <f>Table4[[#This Row],[weight]]*(0.9155*Table2[[#This Row],[J2,3]]-B$9)^2</f>
        <v>0</v>
      </c>
      <c r="N40">
        <f>Table4[[#This Row],[weight]]*(0.9155*Table2[[#This Row],[J34]]-C$9)^2</f>
        <v>0</v>
      </c>
      <c r="O40">
        <f>Table4[[#This Row],[weight]]*(0.9155*Table2[[#This Row],[J45]]-D$9)^2</f>
        <v>0</v>
      </c>
      <c r="P40">
        <f>Table4[[#This Row],[weight]]*(0.9155*Table2[[#This Row],[J56]]-E$9)^2</f>
        <v>0</v>
      </c>
      <c r="Q40">
        <f>Table4[[#This Row],[weight]]*(0.9155*Table2[[#This Row],[J67]]-F$9)^2</f>
        <v>0</v>
      </c>
      <c r="R40">
        <f>Table4[[#This Row],[weight]]*(0.9155*Table2[[#This Row],[J67'']]-G$9)^2</f>
        <v>0</v>
      </c>
      <c r="S40">
        <f>Table2[[#This Row],[weight]]</f>
        <v>0</v>
      </c>
      <c r="T40" t="str">
        <f>Table2[[#This Row],[classification]]</f>
        <v>12C5</v>
      </c>
    </row>
    <row r="41" spans="11:20" x14ac:dyDescent="0.25">
      <c r="K41" t="str">
        <f>Table2[[#This Row],[Column1]]</f>
        <v xml:space="preserve">Conf117   </v>
      </c>
      <c r="L41">
        <f>Table4[[#This Row],[weight]]*(0.9155*Table2[[#This Row],[J1,2]]-A$9)^2</f>
        <v>0</v>
      </c>
      <c r="M41">
        <f>Table4[[#This Row],[weight]]*(0.9155*Table2[[#This Row],[J2,3]]-B$9)^2</f>
        <v>0</v>
      </c>
      <c r="N41">
        <f>Table4[[#This Row],[weight]]*(0.9155*Table2[[#This Row],[J34]]-C$9)^2</f>
        <v>0</v>
      </c>
      <c r="O41">
        <f>Table4[[#This Row],[weight]]*(0.9155*Table2[[#This Row],[J45]]-D$9)^2</f>
        <v>0</v>
      </c>
      <c r="P41">
        <f>Table4[[#This Row],[weight]]*(0.9155*Table2[[#This Row],[J56]]-E$9)^2</f>
        <v>0</v>
      </c>
      <c r="Q41">
        <f>Table4[[#This Row],[weight]]*(0.9155*Table2[[#This Row],[J67]]-F$9)^2</f>
        <v>0</v>
      </c>
      <c r="R41">
        <f>Table4[[#This Row],[weight]]*(0.9155*Table2[[#This Row],[J67'']]-G$9)^2</f>
        <v>0</v>
      </c>
      <c r="S41">
        <f>Table2[[#This Row],[weight]]</f>
        <v>0</v>
      </c>
      <c r="T41" t="str">
        <f>Table2[[#This Row],[classification]]</f>
        <v>12C5</v>
      </c>
    </row>
    <row r="42" spans="11:20" x14ac:dyDescent="0.25">
      <c r="K42" t="str">
        <f>Table2[[#This Row],[Column1]]</f>
        <v xml:space="preserve">Conf118   </v>
      </c>
      <c r="L42">
        <f>Table4[[#This Row],[weight]]*(0.9155*Table2[[#This Row],[J1,2]]-A$9)^2</f>
        <v>1.941581088393065E-5</v>
      </c>
      <c r="M42">
        <f>Table4[[#This Row],[weight]]*(0.9155*Table2[[#This Row],[J2,3]]-B$9)^2</f>
        <v>0.11180017527920456</v>
      </c>
      <c r="N42">
        <f>Table4[[#This Row],[weight]]*(0.9155*Table2[[#This Row],[J34]]-C$9)^2</f>
        <v>3.0077516648540407E-3</v>
      </c>
      <c r="O42">
        <f>Table4[[#This Row],[weight]]*(0.9155*Table2[[#This Row],[J45]]-D$9)^2</f>
        <v>0.2080411636517793</v>
      </c>
      <c r="P42">
        <f>Table4[[#This Row],[weight]]*(0.9155*Table2[[#This Row],[J56]]-E$9)^2</f>
        <v>1.2453120269664691E-2</v>
      </c>
      <c r="Q42">
        <f>Table4[[#This Row],[weight]]*(0.9155*Table2[[#This Row],[J67]]-F$9)^2</f>
        <v>1.2988371379348367E-3</v>
      </c>
      <c r="R42">
        <f>Table4[[#This Row],[weight]]*(0.9155*Table2[[#This Row],[J67'']]-G$9)^2</f>
        <v>8.493977992980923E-3</v>
      </c>
      <c r="S42">
        <f>Table2[[#This Row],[weight]]</f>
        <v>2.3854228270174319E-3</v>
      </c>
      <c r="T42" t="str">
        <f>Table2[[#This Row],[classification]]</f>
        <v>5C12</v>
      </c>
    </row>
    <row r="43" spans="11:20" x14ac:dyDescent="0.25">
      <c r="K43" t="str">
        <f>Table2[[#This Row],[Column1]]</f>
        <v xml:space="preserve">Conf120   </v>
      </c>
      <c r="L43">
        <f>Table4[[#This Row],[weight]]*(0.9155*Table2[[#This Row],[J1,2]]-A$9)^2</f>
        <v>3.8640600853745926E-4</v>
      </c>
      <c r="M43">
        <f>Table4[[#This Row],[weight]]*(0.9155*Table2[[#This Row],[J2,3]]-B$9)^2</f>
        <v>5.8384834794634713E-5</v>
      </c>
      <c r="N43">
        <f>Table4[[#This Row],[weight]]*(0.9155*Table2[[#This Row],[J34]]-C$9)^2</f>
        <v>8.0585230848535046E-4</v>
      </c>
      <c r="O43">
        <f>Table4[[#This Row],[weight]]*(0.9155*Table2[[#This Row],[J45]]-D$9)^2</f>
        <v>1.0426662726868503E-2</v>
      </c>
      <c r="P43">
        <f>Table4[[#This Row],[weight]]*(0.9155*Table2[[#This Row],[J56]]-E$9)^2</f>
        <v>1.4277561658350015E-2</v>
      </c>
      <c r="Q43">
        <f>Table4[[#This Row],[weight]]*(0.9155*Table2[[#This Row],[J67]]-F$9)^2</f>
        <v>0.5153890684067628</v>
      </c>
      <c r="R43">
        <f>Table4[[#This Row],[weight]]*(0.9155*Table2[[#This Row],[J67'']]-G$9)^2</f>
        <v>2.2048697350004164E-3</v>
      </c>
      <c r="S43">
        <f>Table2[[#This Row],[weight]]</f>
        <v>7.1204403410527117E-3</v>
      </c>
      <c r="T43" t="str">
        <f>Table2[[#This Row],[classification]]</f>
        <v>4H6</v>
      </c>
    </row>
    <row r="44" spans="11:20" x14ac:dyDescent="0.25">
      <c r="K44" t="str">
        <f>Table2[[#This Row],[Column1]]</f>
        <v xml:space="preserve">Conf122   </v>
      </c>
      <c r="L44">
        <f>Table4[[#This Row],[weight]]*(0.9155*Table2[[#This Row],[J1,2]]-A$9)^2</f>
        <v>4.0594551387262599E-4</v>
      </c>
      <c r="M44">
        <f>Table4[[#This Row],[weight]]*(0.9155*Table2[[#This Row],[J2,3]]-B$9)^2</f>
        <v>1.5541824648009055</v>
      </c>
      <c r="N44">
        <f>Table4[[#This Row],[weight]]*(0.9155*Table2[[#This Row],[J34]]-C$9)^2</f>
        <v>3.6691632459157013E-2</v>
      </c>
      <c r="O44">
        <f>Table4[[#This Row],[weight]]*(0.9155*Table2[[#This Row],[J45]]-D$9)^2</f>
        <v>2.8415574125262593</v>
      </c>
      <c r="P44">
        <f>Table4[[#This Row],[weight]]*(0.9155*Table2[[#This Row],[J56]]-E$9)^2</f>
        <v>6.5259927602004747E-2</v>
      </c>
      <c r="Q44">
        <f>Table4[[#This Row],[weight]]*(0.9155*Table2[[#This Row],[J67]]-F$9)^2</f>
        <v>1.2527077085528659E-3</v>
      </c>
      <c r="R44">
        <f>Table4[[#This Row],[weight]]*(0.9155*Table2[[#This Row],[J67'']]-G$9)^2</f>
        <v>0.24739495938918635</v>
      </c>
      <c r="S44">
        <f>Table2[[#This Row],[weight]]</f>
        <v>3.389102395072556E-2</v>
      </c>
      <c r="T44" t="str">
        <f>Table2[[#This Row],[classification]]</f>
        <v>5C12</v>
      </c>
    </row>
    <row r="45" spans="11:20" x14ac:dyDescent="0.25">
      <c r="K45" t="str">
        <f>Table2[[#This Row],[Column1]]</f>
        <v xml:space="preserve">Conf124   </v>
      </c>
      <c r="L45">
        <f>Table4[[#This Row],[weight]]*(0.9155*Table2[[#This Row],[J1,2]]-A$9)^2</f>
        <v>0</v>
      </c>
      <c r="M45">
        <f>Table4[[#This Row],[weight]]*(0.9155*Table2[[#This Row],[J2,3]]-B$9)^2</f>
        <v>0</v>
      </c>
      <c r="N45">
        <f>Table4[[#This Row],[weight]]*(0.9155*Table2[[#This Row],[J34]]-C$9)^2</f>
        <v>0</v>
      </c>
      <c r="O45">
        <f>Table4[[#This Row],[weight]]*(0.9155*Table2[[#This Row],[J45]]-D$9)^2</f>
        <v>0</v>
      </c>
      <c r="P45">
        <f>Table4[[#This Row],[weight]]*(0.9155*Table2[[#This Row],[J56]]-E$9)^2</f>
        <v>0</v>
      </c>
      <c r="Q45">
        <f>Table4[[#This Row],[weight]]*(0.9155*Table2[[#This Row],[J67]]-F$9)^2</f>
        <v>0</v>
      </c>
      <c r="R45">
        <f>Table4[[#This Row],[weight]]*(0.9155*Table2[[#This Row],[J67'']]-G$9)^2</f>
        <v>0</v>
      </c>
      <c r="S45">
        <f>Table2[[#This Row],[weight]]</f>
        <v>0</v>
      </c>
      <c r="T45" t="str">
        <f>Table2[[#This Row],[classification]]</f>
        <v>12C5</v>
      </c>
    </row>
    <row r="46" spans="11:20" x14ac:dyDescent="0.25">
      <c r="K46" t="str">
        <f>Table2[[#This Row],[Column1]]</f>
        <v xml:space="preserve">Conf125   </v>
      </c>
      <c r="L46">
        <f>Table4[[#This Row],[weight]]*(0.9155*Table2[[#This Row],[J1,2]]-A$9)^2</f>
        <v>0</v>
      </c>
      <c r="M46">
        <f>Table4[[#This Row],[weight]]*(0.9155*Table2[[#This Row],[J2,3]]-B$9)^2</f>
        <v>0</v>
      </c>
      <c r="N46">
        <f>Table4[[#This Row],[weight]]*(0.9155*Table2[[#This Row],[J34]]-C$9)^2</f>
        <v>0</v>
      </c>
      <c r="O46">
        <f>Table4[[#This Row],[weight]]*(0.9155*Table2[[#This Row],[J45]]-D$9)^2</f>
        <v>0</v>
      </c>
      <c r="P46">
        <f>Table4[[#This Row],[weight]]*(0.9155*Table2[[#This Row],[J56]]-E$9)^2</f>
        <v>0</v>
      </c>
      <c r="Q46">
        <f>Table4[[#This Row],[weight]]*(0.9155*Table2[[#This Row],[J67]]-F$9)^2</f>
        <v>0</v>
      </c>
      <c r="R46">
        <f>Table4[[#This Row],[weight]]*(0.9155*Table2[[#This Row],[J67'']]-G$9)^2</f>
        <v>0</v>
      </c>
      <c r="S46">
        <f>Table2[[#This Row],[weight]]</f>
        <v>0</v>
      </c>
      <c r="T46" t="str">
        <f>Table2[[#This Row],[classification]]</f>
        <v>12C5</v>
      </c>
    </row>
    <row r="47" spans="11:20" x14ac:dyDescent="0.25">
      <c r="K47" t="str">
        <f>Table2[[#This Row],[Column1]]</f>
        <v xml:space="preserve">Conf126   </v>
      </c>
      <c r="L47">
        <f>Table4[[#This Row],[weight]]*(0.9155*Table2[[#This Row],[J1,2]]-A$9)^2</f>
        <v>0</v>
      </c>
      <c r="M47">
        <f>Table4[[#This Row],[weight]]*(0.9155*Table2[[#This Row],[J2,3]]-B$9)^2</f>
        <v>0</v>
      </c>
      <c r="N47">
        <f>Table4[[#This Row],[weight]]*(0.9155*Table2[[#This Row],[J34]]-C$9)^2</f>
        <v>0</v>
      </c>
      <c r="O47">
        <f>Table4[[#This Row],[weight]]*(0.9155*Table2[[#This Row],[J45]]-D$9)^2</f>
        <v>0</v>
      </c>
      <c r="P47">
        <f>Table4[[#This Row],[weight]]*(0.9155*Table2[[#This Row],[J56]]-E$9)^2</f>
        <v>0</v>
      </c>
      <c r="Q47">
        <f>Table4[[#This Row],[weight]]*(0.9155*Table2[[#This Row],[J67]]-F$9)^2</f>
        <v>0</v>
      </c>
      <c r="R47">
        <f>Table4[[#This Row],[weight]]*(0.9155*Table2[[#This Row],[J67'']]-G$9)^2</f>
        <v>0</v>
      </c>
      <c r="S47">
        <f>Table2[[#This Row],[weight]]</f>
        <v>0</v>
      </c>
      <c r="T47" t="str">
        <f>Table2[[#This Row],[classification]]</f>
        <v>5C12</v>
      </c>
    </row>
    <row r="48" spans="11:20" x14ac:dyDescent="0.25">
      <c r="K48" t="str">
        <f>Table2[[#This Row],[Column1]]</f>
        <v xml:space="preserve">Conf129   </v>
      </c>
      <c r="L48">
        <f>Table4[[#This Row],[weight]]*(0.9155*Table2[[#This Row],[J1,2]]-A$9)^2</f>
        <v>1.4404191743504758E-3</v>
      </c>
      <c r="M48">
        <f>Table4[[#This Row],[weight]]*(0.9155*Table2[[#This Row],[J2,3]]-B$9)^2</f>
        <v>0.34171084646666133</v>
      </c>
      <c r="N48">
        <f>Table4[[#This Row],[weight]]*(0.9155*Table2[[#This Row],[J34]]-C$9)^2</f>
        <v>8.6066536079949397E-3</v>
      </c>
      <c r="O48">
        <f>Table4[[#This Row],[weight]]*(0.9155*Table2[[#This Row],[J45]]-D$9)^2</f>
        <v>0.60982323143706607</v>
      </c>
      <c r="P48">
        <f>Table4[[#This Row],[weight]]*(0.9155*Table2[[#This Row],[J56]]-E$9)^2</f>
        <v>5.986318237941381E-3</v>
      </c>
      <c r="Q48">
        <f>Table4[[#This Row],[weight]]*(0.9155*Table2[[#This Row],[J67]]-F$9)^2</f>
        <v>0.41020208223583349</v>
      </c>
      <c r="R48">
        <f>Table4[[#This Row],[weight]]*(0.9155*Table2[[#This Row],[J67'']]-G$9)^2</f>
        <v>4.7362892015903407E-2</v>
      </c>
      <c r="S48">
        <f>Table2[[#This Row],[weight]]</f>
        <v>7.2327591341994988E-3</v>
      </c>
      <c r="T48" t="str">
        <f>Table2[[#This Row],[classification]]</f>
        <v>5C12</v>
      </c>
    </row>
    <row r="49" spans="11:20" x14ac:dyDescent="0.25">
      <c r="K49" t="str">
        <f>Table2[[#This Row],[Column1]]</f>
        <v xml:space="preserve">Conf144   </v>
      </c>
      <c r="L49">
        <f>Table4[[#This Row],[weight]]*(0.9155*Table2[[#This Row],[J1,2]]-A$9)^2</f>
        <v>1.2277819868432586E-4</v>
      </c>
      <c r="M49">
        <f>Table4[[#This Row],[weight]]*(0.9155*Table2[[#This Row],[J2,3]]-B$9)^2</f>
        <v>9.8813994689625415E-3</v>
      </c>
      <c r="N49">
        <f>Table4[[#This Row],[weight]]*(0.9155*Table2[[#This Row],[J34]]-C$9)^2</f>
        <v>1.1729980187667318E-4</v>
      </c>
      <c r="O49">
        <f>Table4[[#This Row],[weight]]*(0.9155*Table2[[#This Row],[J45]]-D$9)^2</f>
        <v>1.6854658560325243E-2</v>
      </c>
      <c r="P49">
        <f>Table4[[#This Row],[weight]]*(0.9155*Table2[[#This Row],[J56]]-E$9)^2</f>
        <v>4.0208716776826234E-6</v>
      </c>
      <c r="Q49">
        <f>Table4[[#This Row],[weight]]*(0.9155*Table2[[#This Row],[J67]]-F$9)^2</f>
        <v>6.0096776339243596E-4</v>
      </c>
      <c r="R49">
        <f>Table4[[#This Row],[weight]]*(0.9155*Table2[[#This Row],[J67'']]-G$9)^2</f>
        <v>1.0688105896969975E-3</v>
      </c>
      <c r="S49">
        <f>Table2[[#This Row],[weight]]</f>
        <v>2.083749674702386E-4</v>
      </c>
      <c r="T49" t="str">
        <f>Table2[[#This Row],[classification]]</f>
        <v>5C12</v>
      </c>
    </row>
    <row r="50" spans="11:20" x14ac:dyDescent="0.25">
      <c r="K50" t="str">
        <f>Table2[[#This Row],[Column1]]</f>
        <v xml:space="preserve">Conf155   </v>
      </c>
      <c r="L50">
        <f>Table4[[#This Row],[weight]]*(0.9155*Table2[[#This Row],[J1,2]]-A$9)^2</f>
        <v>7.1733259553255664E-3</v>
      </c>
      <c r="M50">
        <f>Table4[[#This Row],[weight]]*(0.9155*Table2[[#This Row],[J2,3]]-B$9)^2</f>
        <v>2.3565788903136466</v>
      </c>
      <c r="N50">
        <f>Table4[[#This Row],[weight]]*(0.9155*Table2[[#This Row],[J34]]-C$9)^2</f>
        <v>4.5172135275533619E-2</v>
      </c>
      <c r="O50">
        <f>Table4[[#This Row],[weight]]*(0.9155*Table2[[#This Row],[J45]]-D$9)^2</f>
        <v>3.9188588902243491</v>
      </c>
      <c r="P50">
        <f>Table4[[#This Row],[weight]]*(0.9155*Table2[[#This Row],[J56]]-E$9)^2</f>
        <v>3.7532011037311595E-2</v>
      </c>
      <c r="Q50">
        <f>Table4[[#This Row],[weight]]*(0.9155*Table2[[#This Row],[J67]]-F$9)^2</f>
        <v>2.2586550255310873E-3</v>
      </c>
      <c r="R50">
        <f>Table4[[#This Row],[weight]]*(0.9155*Table2[[#This Row],[J67'']]-G$9)^2</f>
        <v>1.8960059542102847</v>
      </c>
      <c r="S50">
        <f>Table2[[#This Row],[weight]]</f>
        <v>5.0066633606989631E-2</v>
      </c>
      <c r="T50" t="str">
        <f>Table2[[#This Row],[classification]]</f>
        <v>5C12</v>
      </c>
    </row>
    <row r="51" spans="11:20" x14ac:dyDescent="0.25">
      <c r="K51" t="str">
        <f>Table2[[#This Row],[Column1]]</f>
        <v xml:space="preserve">Conf159   </v>
      </c>
      <c r="L51">
        <f>Table4[[#This Row],[weight]]*(0.9155*Table2[[#This Row],[J1,2]]-A$9)^2</f>
        <v>2.1341151192339618E-5</v>
      </c>
      <c r="M51">
        <f>Table4[[#This Row],[weight]]*(0.9155*Table2[[#This Row],[J2,3]]-B$9)^2</f>
        <v>1.7586700413150014E-2</v>
      </c>
      <c r="N51">
        <f>Table4[[#This Row],[weight]]*(0.9155*Table2[[#This Row],[J34]]-C$9)^2</f>
        <v>3.4452204452470325E-4</v>
      </c>
      <c r="O51">
        <f>Table4[[#This Row],[weight]]*(0.9155*Table2[[#This Row],[J45]]-D$9)^2</f>
        <v>3.0598541880853574E-2</v>
      </c>
      <c r="P51">
        <f>Table4[[#This Row],[weight]]*(0.9155*Table2[[#This Row],[J56]]-E$9)^2</f>
        <v>1.0406770431819258E-3</v>
      </c>
      <c r="Q51">
        <f>Table4[[#This Row],[weight]]*(0.9155*Table2[[#This Row],[J67]]-F$9)^2</f>
        <v>2.0598882900339417E-2</v>
      </c>
      <c r="R51">
        <f>Table4[[#This Row],[weight]]*(0.9155*Table2[[#This Row],[J67'']]-G$9)^2</f>
        <v>2.7473169985133532E-3</v>
      </c>
      <c r="S51">
        <f>Table2[[#This Row],[weight]]</f>
        <v>3.6685112455900641E-4</v>
      </c>
      <c r="T51" t="str">
        <f>Table2[[#This Row],[classification]]</f>
        <v>5C12</v>
      </c>
    </row>
    <row r="52" spans="11:20" x14ac:dyDescent="0.25">
      <c r="K52" t="str">
        <f>Table2[[#This Row],[Column1]]</f>
        <v xml:space="preserve">Conf164   </v>
      </c>
      <c r="L52">
        <f>Table4[[#This Row],[weight]]*(0.9155*Table2[[#This Row],[J1,2]]-A$9)^2</f>
        <v>2.4142661541296602E-4</v>
      </c>
      <c r="M52">
        <f>Table4[[#This Row],[weight]]*(0.9155*Table2[[#This Row],[J2,3]]-B$9)^2</f>
        <v>4.8283599400724686E-2</v>
      </c>
      <c r="N52">
        <f>Table4[[#This Row],[weight]]*(0.9155*Table2[[#This Row],[J34]]-C$9)^2</f>
        <v>9.2555328356798828E-4</v>
      </c>
      <c r="O52">
        <f>Table4[[#This Row],[weight]]*(0.9155*Table2[[#This Row],[J45]]-D$9)^2</f>
        <v>8.5255512627716676E-2</v>
      </c>
      <c r="P52">
        <f>Table4[[#This Row],[weight]]*(0.9155*Table2[[#This Row],[J56]]-E$9)^2</f>
        <v>2.3458291724703646E-3</v>
      </c>
      <c r="Q52">
        <f>Table4[[#This Row],[weight]]*(0.9155*Table2[[#This Row],[J67]]-F$9)^2</f>
        <v>1.7863047594903717E-4</v>
      </c>
      <c r="R52">
        <f>Table4[[#This Row],[weight]]*(0.9155*Table2[[#This Row],[J67'']]-G$9)^2</f>
        <v>3.5932626520224296E-2</v>
      </c>
      <c r="S52">
        <f>Table2[[#This Row],[weight]]</f>
        <v>1.0160227235357724E-3</v>
      </c>
      <c r="T52" t="str">
        <f>Table2[[#This Row],[classification]]</f>
        <v>5C12</v>
      </c>
    </row>
    <row r="53" spans="11:20" x14ac:dyDescent="0.25">
      <c r="K53" t="str">
        <f>Table2[[#This Row],[Column1]]</f>
        <v xml:space="preserve">Conf170   </v>
      </c>
      <c r="L53">
        <f>Table4[[#This Row],[weight]]*(0.9155*Table2[[#This Row],[J1,2]]-A$9)^2</f>
        <v>1.1734448356962745E-10</v>
      </c>
      <c r="M53">
        <f>Table4[[#This Row],[weight]]*(0.9155*Table2[[#This Row],[J2,3]]-B$9)^2</f>
        <v>5.2682480975315684E-4</v>
      </c>
      <c r="N53">
        <f>Table4[[#This Row],[weight]]*(0.9155*Table2[[#This Row],[J34]]-C$9)^2</f>
        <v>6.1213542240063002E-5</v>
      </c>
      <c r="O53">
        <f>Table4[[#This Row],[weight]]*(0.9155*Table2[[#This Row],[J45]]-D$9)^2</f>
        <v>4.7671572579632412E-3</v>
      </c>
      <c r="P53">
        <f>Table4[[#This Row],[weight]]*(0.9155*Table2[[#This Row],[J56]]-E$9)^2</f>
        <v>9.7191209941274663E-5</v>
      </c>
      <c r="Q53">
        <f>Table4[[#This Row],[weight]]*(0.9155*Table2[[#This Row],[J67]]-F$9)^2</f>
        <v>8.5665571925279421E-6</v>
      </c>
      <c r="R53">
        <f>Table4[[#This Row],[weight]]*(0.9155*Table2[[#This Row],[J67'']]-G$9)^2</f>
        <v>6.2849150330770835E-4</v>
      </c>
      <c r="S53">
        <f>Table2[[#This Row],[weight]]</f>
        <v>6.6177406450344546E-5</v>
      </c>
      <c r="T53" t="str">
        <f>Table2[[#This Row],[classification]]</f>
        <v>56E</v>
      </c>
    </row>
    <row r="54" spans="11:20" x14ac:dyDescent="0.25">
      <c r="K54" t="str">
        <f>Table2[[#This Row],[Column1]]</f>
        <v xml:space="preserve">Conf184   </v>
      </c>
      <c r="L54">
        <f>Table4[[#This Row],[weight]]*(0.9155*Table2[[#This Row],[J1,2]]-A$9)^2</f>
        <v>1.4247986518258136E-4</v>
      </c>
      <c r="M54">
        <f>Table4[[#This Row],[weight]]*(0.9155*Table2[[#This Row],[J2,3]]-B$9)^2</f>
        <v>2.9844078813252113E-4</v>
      </c>
      <c r="N54">
        <f>Table4[[#This Row],[weight]]*(0.9155*Table2[[#This Row],[J34]]-C$9)^2</f>
        <v>4.9266474475314472E-5</v>
      </c>
      <c r="O54">
        <f>Table4[[#This Row],[weight]]*(0.9155*Table2[[#This Row],[J45]]-D$9)^2</f>
        <v>2.0873513232485381E-2</v>
      </c>
      <c r="P54">
        <f>Table4[[#This Row],[weight]]*(0.9155*Table2[[#This Row],[J56]]-E$9)^2</f>
        <v>5.2158371201281077E-2</v>
      </c>
      <c r="Q54">
        <f>Table4[[#This Row],[weight]]*(0.9155*Table2[[#This Row],[J67]]-F$9)^2</f>
        <v>0.91553715989285078</v>
      </c>
      <c r="R54">
        <f>Table4[[#This Row],[weight]]*(0.9155*Table2[[#This Row],[J67'']]-G$9)^2</f>
        <v>2.4699077269708862E-3</v>
      </c>
      <c r="S54">
        <f>Table2[[#This Row],[weight]]</f>
        <v>1.030239157805673E-2</v>
      </c>
      <c r="T54" t="str">
        <f>Table2[[#This Row],[classification]]</f>
        <v>4H6</v>
      </c>
    </row>
    <row r="55" spans="11:20" x14ac:dyDescent="0.25">
      <c r="K55" t="str">
        <f>Table2[[#This Row],[Column1]]</f>
        <v xml:space="preserve">Conf189   </v>
      </c>
      <c r="L55">
        <f>Table4[[#This Row],[weight]]*(0.9155*Table2[[#This Row],[J1,2]]-A$9)^2</f>
        <v>1.7025128497586439E-4</v>
      </c>
      <c r="M55">
        <f>Table4[[#This Row],[weight]]*(0.9155*Table2[[#This Row],[J2,3]]-B$9)^2</f>
        <v>4.9612353351314906E-2</v>
      </c>
      <c r="N55">
        <f>Table4[[#This Row],[weight]]*(0.9155*Table2[[#This Row],[J34]]-C$9)^2</f>
        <v>1.0969058275988072E-3</v>
      </c>
      <c r="O55">
        <f>Table4[[#This Row],[weight]]*(0.9155*Table2[[#This Row],[J45]]-D$9)^2</f>
        <v>8.7235163275115324E-2</v>
      </c>
      <c r="P55">
        <f>Table4[[#This Row],[weight]]*(0.9155*Table2[[#This Row],[J56]]-E$9)^2</f>
        <v>1.2511596742623447E-3</v>
      </c>
      <c r="Q55">
        <f>Table4[[#This Row],[weight]]*(0.9155*Table2[[#This Row],[J67]]-F$9)^2</f>
        <v>5.9777710371636712E-2</v>
      </c>
      <c r="R55">
        <f>Table4[[#This Row],[weight]]*(0.9155*Table2[[#This Row],[J67'']]-G$9)^2</f>
        <v>8.652862853013657E-3</v>
      </c>
      <c r="S55">
        <f>Table2[[#This Row],[weight]]</f>
        <v>1.04232169145276E-3</v>
      </c>
      <c r="T55" t="str">
        <f>Table2[[#This Row],[classification]]</f>
        <v>5C12</v>
      </c>
    </row>
    <row r="56" spans="11:20" x14ac:dyDescent="0.25">
      <c r="K56" t="str">
        <f>Table2[[#This Row],[Column1]]</f>
        <v xml:space="preserve">Conf190   </v>
      </c>
      <c r="L56">
        <f>Table4[[#This Row],[weight]]*(0.9155*Table2[[#This Row],[J1,2]]-A$9)^2</f>
        <v>4.4212674264308803E-6</v>
      </c>
      <c r="M56">
        <f>Table4[[#This Row],[weight]]*(0.9155*Table2[[#This Row],[J2,3]]-B$9)^2</f>
        <v>6.9590021749944535E-8</v>
      </c>
      <c r="N56">
        <f>Table4[[#This Row],[weight]]*(0.9155*Table2[[#This Row],[J34]]-C$9)^2</f>
        <v>5.0173066496679625E-5</v>
      </c>
      <c r="O56">
        <f>Table4[[#This Row],[weight]]*(0.9155*Table2[[#This Row],[J45]]-D$9)^2</f>
        <v>1.2315425575522626E-3</v>
      </c>
      <c r="P56">
        <f>Table4[[#This Row],[weight]]*(0.9155*Table2[[#This Row],[J56]]-E$9)^2</f>
        <v>7.5235586837998978E-4</v>
      </c>
      <c r="Q56">
        <f>Table4[[#This Row],[weight]]*(0.9155*Table2[[#This Row],[J67]]-F$9)^2</f>
        <v>5.9846410001796399E-2</v>
      </c>
      <c r="R56">
        <f>Table4[[#This Row],[weight]]*(0.9155*Table2[[#This Row],[J67'']]-G$9)^2</f>
        <v>3.5731651457778117E-2</v>
      </c>
      <c r="S56">
        <f>Table2[[#This Row],[weight]]</f>
        <v>2.2383726649305704E-3</v>
      </c>
      <c r="T56" t="str">
        <f>Table2[[#This Row],[classification]]</f>
        <v>4H6</v>
      </c>
    </row>
    <row r="57" spans="11:20" x14ac:dyDescent="0.25">
      <c r="K57" t="str">
        <f>Table2[[#This Row],[Column1]]</f>
        <v xml:space="preserve">Conf199   </v>
      </c>
      <c r="L57">
        <f>Table4[[#This Row],[weight]]*(0.9155*Table2[[#This Row],[J1,2]]-A$9)^2</f>
        <v>0</v>
      </c>
      <c r="M57">
        <f>Table4[[#This Row],[weight]]*(0.9155*Table2[[#This Row],[J2,3]]-B$9)^2</f>
        <v>0</v>
      </c>
      <c r="N57">
        <f>Table4[[#This Row],[weight]]*(0.9155*Table2[[#This Row],[J34]]-C$9)^2</f>
        <v>0</v>
      </c>
      <c r="O57">
        <f>Table4[[#This Row],[weight]]*(0.9155*Table2[[#This Row],[J45]]-D$9)^2</f>
        <v>0</v>
      </c>
      <c r="P57">
        <f>Table4[[#This Row],[weight]]*(0.9155*Table2[[#This Row],[J56]]-E$9)^2</f>
        <v>0</v>
      </c>
      <c r="Q57">
        <f>Table4[[#This Row],[weight]]*(0.9155*Table2[[#This Row],[J67]]-F$9)^2</f>
        <v>0</v>
      </c>
      <c r="R57">
        <f>Table4[[#This Row],[weight]]*(0.9155*Table2[[#This Row],[J67'']]-G$9)^2</f>
        <v>0</v>
      </c>
      <c r="S57">
        <f>Table2[[#This Row],[weight]]</f>
        <v>0</v>
      </c>
      <c r="T57" t="str">
        <f>Table2[[#This Row],[classification]]</f>
        <v>4H6</v>
      </c>
    </row>
    <row r="58" spans="11:20" x14ac:dyDescent="0.25">
      <c r="K58" t="str">
        <f>Table2[[#This Row],[Column1]]</f>
        <v xml:space="preserve">Conf201   </v>
      </c>
      <c r="L58">
        <f>Table4[[#This Row],[weight]]*(0.9155*Table2[[#This Row],[J1,2]]-A$9)^2</f>
        <v>0</v>
      </c>
      <c r="M58">
        <f>Table4[[#This Row],[weight]]*(0.9155*Table2[[#This Row],[J2,3]]-B$9)^2</f>
        <v>0</v>
      </c>
      <c r="N58">
        <f>Table4[[#This Row],[weight]]*(0.9155*Table2[[#This Row],[J34]]-C$9)^2</f>
        <v>0</v>
      </c>
      <c r="O58">
        <f>Table4[[#This Row],[weight]]*(0.9155*Table2[[#This Row],[J45]]-D$9)^2</f>
        <v>0</v>
      </c>
      <c r="P58">
        <f>Table4[[#This Row],[weight]]*(0.9155*Table2[[#This Row],[J56]]-E$9)^2</f>
        <v>0</v>
      </c>
      <c r="Q58">
        <f>Table4[[#This Row],[weight]]*(0.9155*Table2[[#This Row],[J67]]-F$9)^2</f>
        <v>0</v>
      </c>
      <c r="R58">
        <f>Table4[[#This Row],[weight]]*(0.9155*Table2[[#This Row],[J67'']]-G$9)^2</f>
        <v>0</v>
      </c>
      <c r="S58">
        <f>Table2[[#This Row],[weight]]</f>
        <v>0</v>
      </c>
      <c r="T58" t="str">
        <f>Table2[[#This Row],[classification]]</f>
        <v>4H6</v>
      </c>
    </row>
    <row r="59" spans="11:20" x14ac:dyDescent="0.25">
      <c r="K59" t="str">
        <f>Table2[[#This Row],[Column1]]</f>
        <v xml:space="preserve">Conf205   </v>
      </c>
      <c r="L59">
        <f>Table4[[#This Row],[weight]]*(0.9155*Table2[[#This Row],[J1,2]]-A$9)^2</f>
        <v>1.7894234518382905E-5</v>
      </c>
      <c r="M59">
        <f>Table4[[#This Row],[weight]]*(0.9155*Table2[[#This Row],[J2,3]]-B$9)^2</f>
        <v>7.309855779326988E-3</v>
      </c>
      <c r="N59">
        <f>Table4[[#This Row],[weight]]*(0.9155*Table2[[#This Row],[J34]]-C$9)^2</f>
        <v>9.6719221774208786E-5</v>
      </c>
      <c r="O59">
        <f>Table4[[#This Row],[weight]]*(0.9155*Table2[[#This Row],[J45]]-D$9)^2</f>
        <v>1.2439011356037696E-2</v>
      </c>
      <c r="P59">
        <f>Table4[[#This Row],[weight]]*(0.9155*Table2[[#This Row],[J56]]-E$9)^2</f>
        <v>3.2464710052513591E-4</v>
      </c>
      <c r="Q59">
        <f>Table4[[#This Row],[weight]]*(0.9155*Table2[[#This Row],[J67]]-F$9)^2</f>
        <v>8.5858750495146005E-3</v>
      </c>
      <c r="R59">
        <f>Table4[[#This Row],[weight]]*(0.9155*Table2[[#This Row],[J67'']]-G$9)^2</f>
        <v>1.4743566643951557E-3</v>
      </c>
      <c r="S59">
        <f>Table2[[#This Row],[weight]]</f>
        <v>1.4985359940182793E-4</v>
      </c>
      <c r="T59" t="str">
        <f>Table2[[#This Row],[classification]]</f>
        <v>5C12</v>
      </c>
    </row>
    <row r="60" spans="11:20" x14ac:dyDescent="0.25">
      <c r="K60" t="str">
        <f>Table2[[#This Row],[Column1]]</f>
        <v xml:space="preserve">Conf217   </v>
      </c>
      <c r="L60">
        <f>Table4[[#This Row],[weight]]*(0.9155*Table2[[#This Row],[J1,2]]-A$9)^2</f>
        <v>0</v>
      </c>
      <c r="M60">
        <f>Table4[[#This Row],[weight]]*(0.9155*Table2[[#This Row],[J2,3]]-B$9)^2</f>
        <v>0</v>
      </c>
      <c r="N60">
        <f>Table4[[#This Row],[weight]]*(0.9155*Table2[[#This Row],[J34]]-C$9)^2</f>
        <v>0</v>
      </c>
      <c r="O60">
        <f>Table4[[#This Row],[weight]]*(0.9155*Table2[[#This Row],[J45]]-D$9)^2</f>
        <v>0</v>
      </c>
      <c r="P60">
        <f>Table4[[#This Row],[weight]]*(0.9155*Table2[[#This Row],[J56]]-E$9)^2</f>
        <v>0</v>
      </c>
      <c r="Q60">
        <f>Table4[[#This Row],[weight]]*(0.9155*Table2[[#This Row],[J67]]-F$9)^2</f>
        <v>0</v>
      </c>
      <c r="R60">
        <f>Table4[[#This Row],[weight]]*(0.9155*Table2[[#This Row],[J67'']]-G$9)^2</f>
        <v>0</v>
      </c>
      <c r="S60">
        <f>Table2[[#This Row],[weight]]</f>
        <v>0</v>
      </c>
      <c r="T60" t="str">
        <f>Table2[[#This Row],[classification]]</f>
        <v>E45</v>
      </c>
    </row>
    <row r="61" spans="11:20" x14ac:dyDescent="0.25">
      <c r="K61" t="str">
        <f>Table2[[#This Row],[Column1]]</f>
        <v xml:space="preserve">Conf225   </v>
      </c>
      <c r="L61">
        <f>Table4[[#This Row],[weight]]*(0.9155*Table2[[#This Row],[J1,2]]-A$9)^2</f>
        <v>0</v>
      </c>
      <c r="M61">
        <f>Table4[[#This Row],[weight]]*(0.9155*Table2[[#This Row],[J2,3]]-B$9)^2</f>
        <v>0</v>
      </c>
      <c r="N61">
        <f>Table4[[#This Row],[weight]]*(0.9155*Table2[[#This Row],[J34]]-C$9)^2</f>
        <v>0</v>
      </c>
      <c r="O61">
        <f>Table4[[#This Row],[weight]]*(0.9155*Table2[[#This Row],[J45]]-D$9)^2</f>
        <v>0</v>
      </c>
      <c r="P61">
        <f>Table4[[#This Row],[weight]]*(0.9155*Table2[[#This Row],[J56]]-E$9)^2</f>
        <v>0</v>
      </c>
      <c r="Q61">
        <f>Table4[[#This Row],[weight]]*(0.9155*Table2[[#This Row],[J67]]-F$9)^2</f>
        <v>0</v>
      </c>
      <c r="R61">
        <f>Table4[[#This Row],[weight]]*(0.9155*Table2[[#This Row],[J67'']]-G$9)^2</f>
        <v>0</v>
      </c>
      <c r="S61">
        <f>Table2[[#This Row],[weight]]</f>
        <v>0</v>
      </c>
      <c r="T61" t="str">
        <f>Table2[[#This Row],[classification]]</f>
        <v>E45</v>
      </c>
    </row>
    <row r="62" spans="11:20" x14ac:dyDescent="0.25">
      <c r="K62" t="str">
        <f>Table2[[#This Row],[Column1]]</f>
        <v xml:space="preserve">Conf247   </v>
      </c>
      <c r="L62">
        <f>Table4[[#This Row],[weight]]*(0.9155*Table2[[#This Row],[J1,2]]-A$9)^2</f>
        <v>1.5230724015636042E-5</v>
      </c>
      <c r="M62">
        <f>Table4[[#This Row],[weight]]*(0.9155*Table2[[#This Row],[J2,3]]-B$9)^2</f>
        <v>2.0219267249280424E-3</v>
      </c>
      <c r="N62">
        <f>Table4[[#This Row],[weight]]*(0.9155*Table2[[#This Row],[J34]]-C$9)^2</f>
        <v>1.6178086947007922E-3</v>
      </c>
      <c r="O62">
        <f>Table4[[#This Row],[weight]]*(0.9155*Table2[[#This Row],[J45]]-D$9)^2</f>
        <v>5.3420128741855644E-3</v>
      </c>
      <c r="P62">
        <f>Table4[[#This Row],[weight]]*(0.9155*Table2[[#This Row],[J56]]-E$9)^2</f>
        <v>1.0248064640069201E-4</v>
      </c>
      <c r="Q62">
        <f>Table4[[#This Row],[weight]]*(0.9155*Table2[[#This Row],[J67]]-F$9)^2</f>
        <v>9.1528009912063048E-6</v>
      </c>
      <c r="R62">
        <f>Table4[[#This Row],[weight]]*(0.9155*Table2[[#This Row],[J67'']]-G$9)^2</f>
        <v>3.7940808544921793E-4</v>
      </c>
      <c r="S62">
        <f>Table2[[#This Row],[weight]]</f>
        <v>6.9990312959703602E-5</v>
      </c>
      <c r="T62" t="str">
        <f>Table2[[#This Row],[classification]]</f>
        <v>5C12</v>
      </c>
    </row>
    <row r="63" spans="11:20" x14ac:dyDescent="0.25">
      <c r="K63" t="str">
        <f>Table2[[#This Row],[Column1]]</f>
        <v xml:space="preserve">Conf376   </v>
      </c>
      <c r="L63">
        <f>Table4[[#This Row],[weight]]*(0.9155*Table2[[#This Row],[J1,2]]-A$9)^2</f>
        <v>5.909033059802259E-9</v>
      </c>
      <c r="M63">
        <f>Table4[[#This Row],[weight]]*(0.9155*Table2[[#This Row],[J2,3]]-B$9)^2</f>
        <v>3.0075098149788302E-6</v>
      </c>
      <c r="N63">
        <f>Table4[[#This Row],[weight]]*(0.9155*Table2[[#This Row],[J34]]-C$9)^2</f>
        <v>1.6100622372762171E-5</v>
      </c>
      <c r="O63">
        <f>Table4[[#This Row],[weight]]*(0.9155*Table2[[#This Row],[J45]]-D$9)^2</f>
        <v>1.3219359536748392E-5</v>
      </c>
      <c r="P63">
        <f>Table4[[#This Row],[weight]]*(0.9155*Table2[[#This Row],[J56]]-E$9)^2</f>
        <v>2.48522250407011E-6</v>
      </c>
      <c r="Q63">
        <f>Table4[[#This Row],[weight]]*(0.9155*Table2[[#This Row],[J67]]-F$9)^2</f>
        <v>2.7012527233402615E-5</v>
      </c>
      <c r="R63">
        <f>Table4[[#This Row],[weight]]*(0.9155*Table2[[#This Row],[J67'']]-G$9)^2</f>
        <v>1.8620924942143414E-3</v>
      </c>
      <c r="S63">
        <f>Table2[[#This Row],[weight]]</f>
        <v>6.3396689828579256E-5</v>
      </c>
      <c r="T63" t="str">
        <f>Table2[[#This Row],[classification]]</f>
        <v>4H6</v>
      </c>
    </row>
    <row r="64" spans="11:20" x14ac:dyDescent="0.25">
      <c r="K64" t="str">
        <f>Table2[[#This Row],[Column1]]</f>
        <v xml:space="preserve">Conf387   </v>
      </c>
      <c r="L64">
        <f>Table4[[#This Row],[weight]]*(0.9155*Table2[[#This Row],[J1,2]]-A$9)^2</f>
        <v>5.4720130220144506E-4</v>
      </c>
      <c r="M64">
        <f>Table4[[#This Row],[weight]]*(0.9155*Table2[[#This Row],[J2,3]]-B$9)^2</f>
        <v>5.7884429949794864E-3</v>
      </c>
      <c r="N64">
        <f>Table4[[#This Row],[weight]]*(0.9155*Table2[[#This Row],[J34]]-C$9)^2</f>
        <v>4.9235433579114677E-3</v>
      </c>
      <c r="O64">
        <f>Table4[[#This Row],[weight]]*(0.9155*Table2[[#This Row],[J45]]-D$9)^2</f>
        <v>0.12636798056262688</v>
      </c>
      <c r="P64">
        <f>Table4[[#This Row],[weight]]*(0.9155*Table2[[#This Row],[J56]]-E$9)^2</f>
        <v>0.66604505288193405</v>
      </c>
      <c r="Q64">
        <f>Table4[[#This Row],[weight]]*(0.9155*Table2[[#This Row],[J67]]-F$9)^2</f>
        <v>4.161194157854313E-3</v>
      </c>
      <c r="R64">
        <f>Table4[[#This Row],[weight]]*(0.9155*Table2[[#This Row],[J67'']]-G$9)^2</f>
        <v>0.26427953520957015</v>
      </c>
      <c r="S64">
        <f>Table2[[#This Row],[weight]]</f>
        <v>9.4715556602746019E-3</v>
      </c>
      <c r="T64" t="str">
        <f>Table2[[#This Row],[classification]]</f>
        <v>12C5</v>
      </c>
    </row>
  </sheetData>
  <phoneticPr fontId="4" type="noConversion"/>
  <pageMargins left="0.7" right="0.7" top="0.75" bottom="0.75" header="0.3" footer="0.3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B9B92A-13D4-4ABE-A335-DD3FA08D2472}">
  <dimension ref="A1:T64"/>
  <sheetViews>
    <sheetView topLeftCell="A58" workbookViewId="0">
      <selection activeCell="I10" sqref="I10"/>
    </sheetView>
  </sheetViews>
  <sheetFormatPr defaultRowHeight="15" x14ac:dyDescent="0.25"/>
  <cols>
    <col min="11" max="11" width="10.5703125" customWidth="1"/>
    <col min="12" max="12" width="12" bestFit="1" customWidth="1"/>
    <col min="13" max="19" width="9.28515625" bestFit="1" customWidth="1"/>
    <col min="20" max="20" width="14" customWidth="1"/>
  </cols>
  <sheetData>
    <row r="1" spans="1:20" x14ac:dyDescent="0.25">
      <c r="A1" t="s">
        <v>46</v>
      </c>
      <c r="B1">
        <f>SUMIF(Table1[Classification],E1,Table1[weight])</f>
        <v>3.6758211701558893E-2</v>
      </c>
      <c r="D1" t="s">
        <v>11</v>
      </c>
      <c r="E1" t="s">
        <v>18</v>
      </c>
      <c r="G1">
        <f>COUNTIF(Table3[classification],E1)</f>
        <v>10</v>
      </c>
      <c r="K1" t="s">
        <v>45</v>
      </c>
      <c r="L1" t="s">
        <v>36</v>
      </c>
      <c r="M1" t="s">
        <v>37</v>
      </c>
      <c r="N1" t="s">
        <v>38</v>
      </c>
      <c r="O1" t="s">
        <v>39</v>
      </c>
      <c r="P1" t="s">
        <v>40</v>
      </c>
      <c r="Q1" t="s">
        <v>41</v>
      </c>
      <c r="R1" t="s">
        <v>43</v>
      </c>
      <c r="S1" t="s">
        <v>15</v>
      </c>
      <c r="T1" t="s">
        <v>44</v>
      </c>
    </row>
    <row r="2" spans="1:20" x14ac:dyDescent="0.25">
      <c r="K2" t="str">
        <f>Table2[[#This Row],[Column1]]</f>
        <v xml:space="preserve">Conf1   </v>
      </c>
      <c r="L2">
        <f>Table3[[#This Row],[weight]]*(0.9155*Table2[[#This Row],[J1,2]]-A$9)^2</f>
        <v>1.1694171085884261E-4</v>
      </c>
      <c r="M2">
        <f>Table3[[#This Row],[weight]]*(0.9155*Table2[[#This Row],[J2,3]]-B$9)^2</f>
        <v>3.1549653960592577E-4</v>
      </c>
      <c r="N2">
        <f>Table3[[#This Row],[weight]]*(0.9155*Table2[[#This Row],[J34]]-C$9)^2</f>
        <v>1.4372412397614204E-5</v>
      </c>
      <c r="O2">
        <f>Table3[[#This Row],[weight]]*(0.9155*Table2[[#This Row],[J45]]-D$9)^2</f>
        <v>3.3621155719170157E-4</v>
      </c>
      <c r="P2">
        <f>Table3[[#This Row],[weight]]*(0.9155*Table2[[#This Row],[J56]]-E$9)^2</f>
        <v>8.9387257688345375E-4</v>
      </c>
      <c r="Q2">
        <f>Table3[[#This Row],[weight]]*(0.9155*Table2[[#This Row],[J67]]-F$9)^2</f>
        <v>0.20799087895387919</v>
      </c>
      <c r="R2">
        <f>Table3[[#This Row],[weight]]*(0.9155*Table2[[#This Row],[J67'']]-G$9)^2</f>
        <v>0.54213194131095088</v>
      </c>
      <c r="S2">
        <f>Table2[[#This Row],[weight]]</f>
        <v>1.0272961753302522E-2</v>
      </c>
      <c r="T2" t="str">
        <f>Table2[[#This Row],[classification]]</f>
        <v>6H4</v>
      </c>
    </row>
    <row r="3" spans="1:20" x14ac:dyDescent="0.25">
      <c r="K3" t="str">
        <f>Table2[[#This Row],[Column1]]</f>
        <v xml:space="preserve">Conf2   </v>
      </c>
      <c r="L3">
        <f>Table3[[#This Row],[weight]]*(0.9155*Table2[[#This Row],[J1,2]]-A$9)^2</f>
        <v>2.0590178855382437E-3</v>
      </c>
      <c r="M3">
        <f>Table3[[#This Row],[weight]]*(0.9155*Table2[[#This Row],[J2,3]]-B$9)^2</f>
        <v>1.4159653589613621</v>
      </c>
      <c r="N3">
        <f>Table3[[#This Row],[weight]]*(0.9155*Table2[[#This Row],[J34]]-C$9)^2</f>
        <v>5.9972727410206535E-6</v>
      </c>
      <c r="O3">
        <f>Table3[[#This Row],[weight]]*(0.9155*Table2[[#This Row],[J45]]-D$9)^2</f>
        <v>2.1625043532280865</v>
      </c>
      <c r="P3">
        <f>Table3[[#This Row],[weight]]*(0.9155*Table2[[#This Row],[J56]]-E$9)^2</f>
        <v>3.9291722120512844</v>
      </c>
      <c r="Q3">
        <f>Table3[[#This Row],[weight]]*(0.9155*Table2[[#This Row],[J67]]-F$9)^2</f>
        <v>1.152991962234337</v>
      </c>
      <c r="R3">
        <f>Table3[[#This Row],[weight]]*(0.9155*Table2[[#This Row],[J67'']]-G$9)^2</f>
        <v>0.14460967557462376</v>
      </c>
      <c r="S3">
        <f>Table2[[#This Row],[weight]]</f>
        <v>4.1418984438592342E-2</v>
      </c>
      <c r="T3" t="str">
        <f>Table2[[#This Row],[classification]]</f>
        <v>4H6</v>
      </c>
    </row>
    <row r="4" spans="1:20" x14ac:dyDescent="0.25">
      <c r="A4" t="s">
        <v>36</v>
      </c>
      <c r="B4" t="s">
        <v>37</v>
      </c>
      <c r="C4" t="s">
        <v>38</v>
      </c>
      <c r="D4" t="s">
        <v>39</v>
      </c>
      <c r="E4" t="s">
        <v>40</v>
      </c>
      <c r="F4" t="s">
        <v>41</v>
      </c>
      <c r="G4" t="s">
        <v>43</v>
      </c>
      <c r="K4" t="str">
        <f>Table2[[#This Row],[Column1]]</f>
        <v xml:space="preserve">Conf4   </v>
      </c>
      <c r="L4">
        <f>Table3[[#This Row],[weight]]*(0.9155*Table2[[#This Row],[J1,2]]-A$9)^2</f>
        <v>1.0707200974909259E-2</v>
      </c>
      <c r="M4">
        <f>Table3[[#This Row],[weight]]*(0.9155*Table2[[#This Row],[J2,3]]-B$9)^2</f>
        <v>4.5479651051584185</v>
      </c>
      <c r="N4">
        <f>Table3[[#This Row],[weight]]*(0.9155*Table2[[#This Row],[J34]]-C$9)^2</f>
        <v>1.2817440695304173E-2</v>
      </c>
      <c r="O4">
        <f>Table3[[#This Row],[weight]]*(0.9155*Table2[[#This Row],[J45]]-D$9)^2</f>
        <v>7.8018744161099285</v>
      </c>
      <c r="P4">
        <f>Table3[[#This Row],[weight]]*(0.9155*Table2[[#This Row],[J56]]-E$9)^2</f>
        <v>13.524200483592315</v>
      </c>
      <c r="Q4">
        <f>Table3[[#This Row],[weight]]*(0.9155*Table2[[#This Row],[J67]]-F$9)^2</f>
        <v>1.8086791588936919</v>
      </c>
      <c r="R4">
        <f>Table3[[#This Row],[weight]]*(0.9155*Table2[[#This Row],[J67'']]-G$9)^2</f>
        <v>7.1902197327504682</v>
      </c>
      <c r="S4">
        <f>Table2[[#This Row],[weight]]</f>
        <v>0.12912337862648315</v>
      </c>
      <c r="T4" t="str">
        <f>Table2[[#This Row],[classification]]</f>
        <v>4H6</v>
      </c>
    </row>
    <row r="5" spans="1:20" x14ac:dyDescent="0.25">
      <c r="A5">
        <f>SUMIF(Table1[Classification],E1,Table2[J1,23])/$B$1</f>
        <v>7.2841382643501014</v>
      </c>
      <c r="B5">
        <f>SUMIF(Table1[Classification],E1,Table2[J2,34])/$B$1</f>
        <v>7.8527729550276542</v>
      </c>
      <c r="C5">
        <f>SUMIF(Table1[Classification],E1,Table2[J345])/$B$1</f>
        <v>2.0572600903306024</v>
      </c>
      <c r="D5">
        <f>SUMIF(Table1[Classification],E1,Table2[J456])/$B$1</f>
        <v>9.3578802962017384</v>
      </c>
      <c r="E5">
        <f>SUMIF(Table1[Classification],E1,Table2[J567])/$B$1</f>
        <v>0.46343023403198602</v>
      </c>
      <c r="F5">
        <f>SUMIF(Table1[Classification],E1,Table2[J678])/$B$1</f>
        <v>5.5791353412713693</v>
      </c>
      <c r="G5">
        <f>SUMIF(Table1[Classification],E1,Table2[J67''9])/$B$1</f>
        <v>9.3390051718953266</v>
      </c>
      <c r="K5" t="str">
        <f>Table2[[#This Row],[Column1]]</f>
        <v xml:space="preserve">Conf5   </v>
      </c>
      <c r="L5">
        <f>Table3[[#This Row],[weight]]*(0.9155*Table2[[#This Row],[J1,2]]-A$9)^2</f>
        <v>0</v>
      </c>
      <c r="M5">
        <f>Table3[[#This Row],[weight]]*(0.9155*Table2[[#This Row],[J2,3]]-B$9)^2</f>
        <v>0</v>
      </c>
      <c r="N5">
        <f>Table3[[#This Row],[weight]]*(0.9155*Table2[[#This Row],[J34]]-C$9)^2</f>
        <v>0</v>
      </c>
      <c r="O5">
        <f>Table3[[#This Row],[weight]]*(0.9155*Table2[[#This Row],[J45]]-D$9)^2</f>
        <v>0</v>
      </c>
      <c r="P5">
        <f>Table3[[#This Row],[weight]]*(0.9155*Table2[[#This Row],[J56]]-E$9)^2</f>
        <v>0</v>
      </c>
      <c r="Q5">
        <f>Table3[[#This Row],[weight]]*(0.9155*Table2[[#This Row],[J67]]-F$9)^2</f>
        <v>0</v>
      </c>
      <c r="R5">
        <f>Table3[[#This Row],[weight]]*(0.9155*Table2[[#This Row],[J67'']]-G$9)^2</f>
        <v>0</v>
      </c>
      <c r="S5">
        <f>Table2[[#This Row],[weight]]</f>
        <v>0</v>
      </c>
      <c r="T5" t="str">
        <f>Table2[[#This Row],[classification]]</f>
        <v>6H4</v>
      </c>
    </row>
    <row r="6" spans="1:20" x14ac:dyDescent="0.25">
      <c r="K6" t="str">
        <f>Table2[[#This Row],[Column1]]</f>
        <v xml:space="preserve">Conf8   </v>
      </c>
      <c r="L6">
        <f>Table3[[#This Row],[weight]]*(0.9155*Table2[[#This Row],[J1,2]]-A$9)^2</f>
        <v>0</v>
      </c>
      <c r="M6">
        <f>Table3[[#This Row],[weight]]*(0.9155*Table2[[#This Row],[J2,3]]-B$9)^2</f>
        <v>0</v>
      </c>
      <c r="N6">
        <f>Table3[[#This Row],[weight]]*(0.9155*Table2[[#This Row],[J34]]-C$9)^2</f>
        <v>0</v>
      </c>
      <c r="O6">
        <f>Table3[[#This Row],[weight]]*(0.9155*Table2[[#This Row],[J45]]-D$9)^2</f>
        <v>0</v>
      </c>
      <c r="P6">
        <f>Table3[[#This Row],[weight]]*(0.9155*Table2[[#This Row],[J56]]-E$9)^2</f>
        <v>0</v>
      </c>
      <c r="Q6">
        <f>Table3[[#This Row],[weight]]*(0.9155*Table2[[#This Row],[J67]]-F$9)^2</f>
        <v>0</v>
      </c>
      <c r="R6">
        <f>Table3[[#This Row],[weight]]*(0.9155*Table2[[#This Row],[J67'']]-G$9)^2</f>
        <v>0</v>
      </c>
      <c r="S6">
        <f>Table2[[#This Row],[weight]]</f>
        <v>0</v>
      </c>
      <c r="T6" t="str">
        <f>Table2[[#This Row],[classification]]</f>
        <v>6H4</v>
      </c>
    </row>
    <row r="7" spans="1:20" x14ac:dyDescent="0.25">
      <c r="A7" t="s">
        <v>61</v>
      </c>
      <c r="K7" t="str">
        <f>Table2[[#This Row],[Column1]]</f>
        <v xml:space="preserve">Conf14   </v>
      </c>
      <c r="L7">
        <f>Table3[[#This Row],[weight]]*(0.9155*Table2[[#This Row],[J1,2]]-A$9)^2</f>
        <v>2.856113440306473E-4</v>
      </c>
      <c r="M7">
        <f>Table3[[#This Row],[weight]]*(0.9155*Table2[[#This Row],[J2,3]]-B$9)^2</f>
        <v>2.7506203657987789E-2</v>
      </c>
      <c r="N7">
        <f>Table3[[#This Row],[weight]]*(0.9155*Table2[[#This Row],[J34]]-C$9)^2</f>
        <v>5.4267629849457559E-4</v>
      </c>
      <c r="O7">
        <f>Table3[[#This Row],[weight]]*(0.9155*Table2[[#This Row],[J45]]-D$9)^2</f>
        <v>6.1109655485784974E-2</v>
      </c>
      <c r="P7">
        <f>Table3[[#This Row],[weight]]*(0.9155*Table2[[#This Row],[J56]]-E$9)^2</f>
        <v>7.6427541893881318E-2</v>
      </c>
      <c r="Q7">
        <f>Table3[[#This Row],[weight]]*(0.9155*Table2[[#This Row],[J67]]-F$9)^2</f>
        <v>1.8130896484176578E-2</v>
      </c>
      <c r="R7">
        <f>Table3[[#This Row],[weight]]*(0.9155*Table2[[#This Row],[J67'']]-G$9)^2</f>
        <v>2.9678205285591699E-2</v>
      </c>
      <c r="S7">
        <f>Table2[[#This Row],[weight]]</f>
        <v>7.9783512323809073E-4</v>
      </c>
      <c r="T7" t="str">
        <f>Table2[[#This Row],[classification]]</f>
        <v>4H6</v>
      </c>
    </row>
    <row r="8" spans="1:20" x14ac:dyDescent="0.25">
      <c r="A8" t="s">
        <v>36</v>
      </c>
      <c r="B8" t="s">
        <v>37</v>
      </c>
      <c r="C8" t="s">
        <v>38</v>
      </c>
      <c r="D8" t="s">
        <v>39</v>
      </c>
      <c r="E8" t="s">
        <v>40</v>
      </c>
      <c r="F8" t="s">
        <v>41</v>
      </c>
      <c r="G8" t="s">
        <v>43</v>
      </c>
      <c r="K8" t="str">
        <f>Table2[[#This Row],[Column1]]</f>
        <v xml:space="preserve">Conf20   </v>
      </c>
      <c r="L8">
        <f>Table3[[#This Row],[weight]]*(0.9155*Table2[[#This Row],[J1,2]]-A$9)^2</f>
        <v>1.8084577443103466E-4</v>
      </c>
      <c r="M8">
        <f>Table3[[#This Row],[weight]]*(0.9155*Table2[[#This Row],[J2,3]]-B$9)^2</f>
        <v>2.8952229146031412E-4</v>
      </c>
      <c r="N8">
        <f>Table3[[#This Row],[weight]]*(0.9155*Table2[[#This Row],[J34]]-C$9)^2</f>
        <v>4.6906218388223725E-5</v>
      </c>
      <c r="O8">
        <f>Table3[[#This Row],[weight]]*(0.9155*Table2[[#This Row],[J45]]-D$9)^2</f>
        <v>4.3591272706354073E-3</v>
      </c>
      <c r="P8">
        <f>Table3[[#This Row],[weight]]*(0.9155*Table2[[#This Row],[J56]]-E$9)^2</f>
        <v>4.8834847673340784E-4</v>
      </c>
      <c r="Q8">
        <f>Table3[[#This Row],[weight]]*(0.9155*Table2[[#This Row],[J67]]-F$9)^2</f>
        <v>4.9752502261420035E-2</v>
      </c>
      <c r="R8">
        <f>Table3[[#This Row],[weight]]*(0.9155*Table2[[#This Row],[J67'']]-G$9)^2</f>
        <v>0.17422358680125444</v>
      </c>
      <c r="S8">
        <f>Table2[[#This Row],[weight]]</f>
        <v>2.2257703201222123E-2</v>
      </c>
      <c r="T8" t="str">
        <f>Table2[[#This Row],[classification]]</f>
        <v>6H4</v>
      </c>
    </row>
    <row r="9" spans="1:20" x14ac:dyDescent="0.25">
      <c r="A9">
        <f t="shared" ref="A9:G9" si="0">A5</f>
        <v>7.2841382643501014</v>
      </c>
      <c r="B9">
        <f t="shared" si="0"/>
        <v>7.8527729550276542</v>
      </c>
      <c r="C9">
        <f t="shared" si="0"/>
        <v>2.0572600903306024</v>
      </c>
      <c r="D9">
        <f t="shared" si="0"/>
        <v>9.3578802962017384</v>
      </c>
      <c r="E9">
        <f t="shared" si="0"/>
        <v>0.46343023403198602</v>
      </c>
      <c r="F9">
        <f t="shared" si="0"/>
        <v>5.5791353412713693</v>
      </c>
      <c r="G9">
        <f t="shared" si="0"/>
        <v>9.3390051718953266</v>
      </c>
      <c r="K9" t="str">
        <f>Table2[[#This Row],[Column1]]</f>
        <v xml:space="preserve">Conf21   </v>
      </c>
      <c r="L9">
        <f>Table3[[#This Row],[weight]]*(0.9155*Table2[[#This Row],[J1,2]]-A$9)^2</f>
        <v>1.0874778086525075E-2</v>
      </c>
      <c r="M9">
        <f>Table3[[#This Row],[weight]]*(0.9155*Table2[[#This Row],[J2,3]]-B$9)^2</f>
        <v>2.390219051339892</v>
      </c>
      <c r="N9">
        <f>Table3[[#This Row],[weight]]*(0.9155*Table2[[#This Row],[J34]]-C$9)^2</f>
        <v>8.8149687538099301E-4</v>
      </c>
      <c r="O9">
        <f>Table3[[#This Row],[weight]]*(0.9155*Table2[[#This Row],[J45]]-D$9)^2</f>
        <v>5.1017579935420789</v>
      </c>
      <c r="P9">
        <f>Table3[[#This Row],[weight]]*(0.9155*Table2[[#This Row],[J56]]-E$9)^2</f>
        <v>7.683488754295805</v>
      </c>
      <c r="Q9">
        <f>Table3[[#This Row],[weight]]*(0.9155*Table2[[#This Row],[J67]]-F$9)^2</f>
        <v>1.5167230245293719</v>
      </c>
      <c r="R9">
        <f>Table3[[#This Row],[weight]]*(0.9155*Table2[[#This Row],[J67'']]-G$9)^2</f>
        <v>2.6223634973630623</v>
      </c>
      <c r="S9">
        <f>Table2[[#This Row],[weight]]</f>
        <v>6.7465758719203059E-2</v>
      </c>
      <c r="T9" t="str">
        <f>Table2[[#This Row],[classification]]</f>
        <v>4H6</v>
      </c>
    </row>
    <row r="10" spans="1:20" x14ac:dyDescent="0.25">
      <c r="K10" t="str">
        <f>Table2[[#This Row],[Column1]]</f>
        <v xml:space="preserve">Conf25   </v>
      </c>
      <c r="L10">
        <f>Table3[[#This Row],[weight]]*(0.9155*Table2[[#This Row],[J1,2]]-A$9)^2</f>
        <v>8.5831436579673223E-5</v>
      </c>
      <c r="M10">
        <f>Table3[[#This Row],[weight]]*(0.9155*Table2[[#This Row],[J2,3]]-B$9)^2</f>
        <v>1.5206179194496995E-2</v>
      </c>
      <c r="N10">
        <f>Table3[[#This Row],[weight]]*(0.9155*Table2[[#This Row],[J34]]-C$9)^2</f>
        <v>1.5153297093912141E-4</v>
      </c>
      <c r="O10">
        <f>Table3[[#This Row],[weight]]*(0.9155*Table2[[#This Row],[J45]]-D$9)^2</f>
        <v>3.512977804421849E-2</v>
      </c>
      <c r="P10">
        <f>Table3[[#This Row],[weight]]*(0.9155*Table2[[#This Row],[J56]]-E$9)^2</f>
        <v>5.5908599709029387E-2</v>
      </c>
      <c r="Q10">
        <f>Table3[[#This Row],[weight]]*(0.9155*Table2[[#This Row],[J67]]-F$9)^2</f>
        <v>1.2954074057363422E-2</v>
      </c>
      <c r="R10">
        <f>Table3[[#This Row],[weight]]*(0.9155*Table2[[#This Row],[J67'']]-G$9)^2</f>
        <v>2.3306078086793728E-3</v>
      </c>
      <c r="S10">
        <f>Table2[[#This Row],[weight]]</f>
        <v>4.5284945585008989E-4</v>
      </c>
      <c r="T10" t="str">
        <f>Table2[[#This Row],[classification]]</f>
        <v>4H6</v>
      </c>
    </row>
    <row r="11" spans="1:20" x14ac:dyDescent="0.25">
      <c r="A11" t="s">
        <v>62</v>
      </c>
      <c r="K11" t="str">
        <f>Table2[[#This Row],[Column1]]</f>
        <v xml:space="preserve">Conf27   </v>
      </c>
      <c r="L11">
        <f>Table3[[#This Row],[weight]]*(0.9155*Table2[[#This Row],[J1,2]]-A$9)^2</f>
        <v>3.3040435670463717E-5</v>
      </c>
      <c r="M11">
        <f>Table3[[#This Row],[weight]]*(0.9155*Table2[[#This Row],[J2,3]]-B$9)^2</f>
        <v>6.1587595154517305E-3</v>
      </c>
      <c r="N11">
        <f>Table3[[#This Row],[weight]]*(0.9155*Table2[[#This Row],[J34]]-C$9)^2</f>
        <v>9.587882993712592E-5</v>
      </c>
      <c r="O11">
        <f>Table3[[#This Row],[weight]]*(0.9155*Table2[[#This Row],[J45]]-D$9)^2</f>
        <v>1.3977766857179958E-2</v>
      </c>
      <c r="P11">
        <f>Table3[[#This Row],[weight]]*(0.9155*Table2[[#This Row],[J56]]-E$9)^2</f>
        <v>1.8241895365942774E-2</v>
      </c>
      <c r="Q11">
        <f>Table3[[#This Row],[weight]]*(0.9155*Table2[[#This Row],[J67]]-F$9)^2</f>
        <v>2.3809746219052752E-3</v>
      </c>
      <c r="R11">
        <f>Table3[[#This Row],[weight]]*(0.9155*Table2[[#This Row],[J67'']]-G$9)^2</f>
        <v>1.0698140207203754E-2</v>
      </c>
      <c r="S11">
        <f>Table2[[#This Row],[weight]]</f>
        <v>1.7880601637319888E-4</v>
      </c>
      <c r="T11" t="str">
        <f>Table2[[#This Row],[classification]]</f>
        <v>4H6</v>
      </c>
    </row>
    <row r="12" spans="1:20" x14ac:dyDescent="0.25">
      <c r="A12" t="s">
        <v>36</v>
      </c>
      <c r="B12" t="s">
        <v>37</v>
      </c>
      <c r="C12" t="s">
        <v>38</v>
      </c>
      <c r="D12" t="s">
        <v>39</v>
      </c>
      <c r="E12" t="s">
        <v>40</v>
      </c>
      <c r="F12" t="s">
        <v>41</v>
      </c>
      <c r="G12" t="s">
        <v>43</v>
      </c>
      <c r="K12" t="str">
        <f>Table2[[#This Row],[Column1]]</f>
        <v xml:space="preserve">Conf29   </v>
      </c>
      <c r="L12">
        <f>Table3[[#This Row],[weight]]*(0.9155*Table2[[#This Row],[J1,2]]-A$9)^2</f>
        <v>2.0091786818151957E-4</v>
      </c>
      <c r="M12">
        <f>Table3[[#This Row],[weight]]*(0.9155*Table2[[#This Row],[J2,3]]-B$9)^2</f>
        <v>0.34157710444352807</v>
      </c>
      <c r="N12">
        <f>Table3[[#This Row],[weight]]*(0.9155*Table2[[#This Row],[J34]]-C$9)^2</f>
        <v>1.7201602633796939E-4</v>
      </c>
      <c r="O12">
        <f>Table3[[#This Row],[weight]]*(0.9155*Table2[[#This Row],[J45]]-D$9)^2</f>
        <v>0.42741397192279801</v>
      </c>
      <c r="P12">
        <f>Table3[[#This Row],[weight]]*(0.9155*Table2[[#This Row],[J56]]-E$9)^2</f>
        <v>0.65623448109719018</v>
      </c>
      <c r="Q12">
        <f>Table3[[#This Row],[weight]]*(0.9155*Table2[[#This Row],[J67]]-F$9)^2</f>
        <v>0.34096218693575536</v>
      </c>
      <c r="R12">
        <f>Table3[[#This Row],[weight]]*(0.9155*Table2[[#This Row],[J67'']]-G$9)^2</f>
        <v>0.20018717047048212</v>
      </c>
      <c r="S12">
        <f>Table2[[#This Row],[weight]]</f>
        <v>1.0302176735342018E-2</v>
      </c>
      <c r="T12" t="str">
        <f>Table2[[#This Row],[classification]]</f>
        <v>4H6</v>
      </c>
    </row>
    <row r="13" spans="1:20" x14ac:dyDescent="0.25">
      <c r="A13">
        <f>SQRT(SUMIF($T$2:$T$46,$E$1,L$2:L$46)/(($G$1-1)*$B$1/$G$1))</f>
        <v>0.12428883031173095</v>
      </c>
      <c r="B13">
        <f>SQRT(SUMIF($T$2:$T$46,$E$1,M$2:M$46)/(($G$1-1)*$B$1/$G$1))</f>
        <v>0.15517331784523847</v>
      </c>
      <c r="C13">
        <f>SQRT(SUMIF($T$2:$T$46,$E$1,N$2:N$46)/(($G$1-1)*$B$1/$G$1))</f>
        <v>7.2792143825274214E-2</v>
      </c>
      <c r="D13">
        <f t="shared" ref="D13:F13" si="1">SQRT(SUMIF($T$2:$T$46,$E$1,O$2:O$46)/(($G$1-1)*$B$1/$G$1))</f>
        <v>0.84394063775431527</v>
      </c>
      <c r="E13">
        <f t="shared" si="1"/>
        <v>0.23912403063526344</v>
      </c>
      <c r="F13">
        <f t="shared" si="1"/>
        <v>3.0012146601093299</v>
      </c>
      <c r="G13">
        <f>SQRT(SUMIF($T$2:$T$46,$E$1,R$2:R$46)/(($G$1-1)*$B$1/$G$1))</f>
        <v>4.8005552297574727</v>
      </c>
      <c r="K13" t="str">
        <f>Table2[[#This Row],[Column1]]</f>
        <v xml:space="preserve">Conf30   </v>
      </c>
      <c r="L13">
        <f>Table3[[#This Row],[weight]]*(0.9155*Table2[[#This Row],[J1,2]]-A$9)^2</f>
        <v>2.1144983793314637E-4</v>
      </c>
      <c r="M13">
        <f>Table3[[#This Row],[weight]]*(0.9155*Table2[[#This Row],[J2,3]]-B$9)^2</f>
        <v>1.4771729614596502E-4</v>
      </c>
      <c r="N13">
        <f>Table3[[#This Row],[weight]]*(0.9155*Table2[[#This Row],[J34]]-C$9)^2</f>
        <v>1.0860525411430342E-4</v>
      </c>
      <c r="O13">
        <f>Table3[[#This Row],[weight]]*(0.9155*Table2[[#This Row],[J45]]-D$9)^2</f>
        <v>1.8423074501680636E-2</v>
      </c>
      <c r="P13">
        <f>Table3[[#This Row],[weight]]*(0.9155*Table2[[#This Row],[J56]]-E$9)^2</f>
        <v>1.0901707338721565E-4</v>
      </c>
      <c r="Q13">
        <f>Table3[[#This Row],[weight]]*(0.9155*Table2[[#This Row],[J67]]-F$9)^2</f>
        <v>3.8710128696318853E-2</v>
      </c>
      <c r="R13">
        <f>Table3[[#This Row],[weight]]*(0.9155*Table2[[#This Row],[J67'']]-G$9)^2</f>
        <v>3.797594321016827E-2</v>
      </c>
      <c r="S13">
        <f>Table2[[#This Row],[weight]]</f>
        <v>3.8333394367693792E-3</v>
      </c>
      <c r="T13" t="str">
        <f>Table2[[#This Row],[classification]]</f>
        <v>6H4</v>
      </c>
    </row>
    <row r="14" spans="1:20" x14ac:dyDescent="0.25">
      <c r="K14" t="str">
        <f>Table2[[#This Row],[Column1]]</f>
        <v xml:space="preserve">Conf32   </v>
      </c>
      <c r="L14">
        <f>Table3[[#This Row],[weight]]*(0.9155*Table2[[#This Row],[J1,2]]-A$9)^2</f>
        <v>3.7760562509960653E-5</v>
      </c>
      <c r="M14">
        <f>Table3[[#This Row],[weight]]*(0.9155*Table2[[#This Row],[J2,3]]-B$9)^2</f>
        <v>2.8424984321967505E-2</v>
      </c>
      <c r="N14">
        <f>Table3[[#This Row],[weight]]*(0.9155*Table2[[#This Row],[J34]]-C$9)^2</f>
        <v>1.388640068907622E-4</v>
      </c>
      <c r="O14">
        <f>Table3[[#This Row],[weight]]*(0.9155*Table2[[#This Row],[J45]]-D$9)^2</f>
        <v>6.5162787404701786E-2</v>
      </c>
      <c r="P14">
        <f>Table3[[#This Row],[weight]]*(0.9155*Table2[[#This Row],[J56]]-E$9)^2</f>
        <v>9.9210676058481564E-2</v>
      </c>
      <c r="Q14">
        <f>Table3[[#This Row],[weight]]*(0.9155*Table2[[#This Row],[J67]]-F$9)^2</f>
        <v>1.6460954860905222E-2</v>
      </c>
      <c r="R14">
        <f>Table3[[#This Row],[weight]]*(0.9155*Table2[[#This Row],[J67'']]-G$9)^2</f>
        <v>1.974300477856843E-4</v>
      </c>
      <c r="S14">
        <f>Table2[[#This Row],[weight]]</f>
        <v>8.2602975100257733E-4</v>
      </c>
      <c r="T14" t="str">
        <f>Table2[[#This Row],[classification]]</f>
        <v>4H6</v>
      </c>
    </row>
    <row r="15" spans="1:20" x14ac:dyDescent="0.25">
      <c r="K15" t="str">
        <f>Table2[[#This Row],[Column1]]</f>
        <v xml:space="preserve">Conf35   </v>
      </c>
      <c r="L15">
        <f>Table3[[#This Row],[weight]]*(0.9155*Table2[[#This Row],[J1,2]]-A$9)^2</f>
        <v>1.7302451065567248E-6</v>
      </c>
      <c r="M15">
        <f>Table3[[#This Row],[weight]]*(0.9155*Table2[[#This Row],[J2,3]]-B$9)^2</f>
        <v>3.88659579831696E-5</v>
      </c>
      <c r="N15">
        <f>Table3[[#This Row],[weight]]*(0.9155*Table2[[#This Row],[J34]]-C$9)^2</f>
        <v>3.5721192838083856E-6</v>
      </c>
      <c r="O15">
        <f>Table3[[#This Row],[weight]]*(0.9155*Table2[[#This Row],[J45]]-D$9)^2</f>
        <v>1.5255237984448174E-4</v>
      </c>
      <c r="P15">
        <f>Table3[[#This Row],[weight]]*(0.9155*Table2[[#This Row],[J56]]-E$9)^2</f>
        <v>1.8566131795325918E-4</v>
      </c>
      <c r="Q15">
        <f>Table3[[#This Row],[weight]]*(0.9155*Table2[[#This Row],[J67]]-F$9)^2</f>
        <v>1.6510596779393776E-4</v>
      </c>
      <c r="R15">
        <f>Table3[[#This Row],[weight]]*(0.9155*Table2[[#This Row],[J67'']]-G$9)^2</f>
        <v>5.3452221950332796E-3</v>
      </c>
      <c r="S15">
        <f>Table2[[#This Row],[weight]]</f>
        <v>7.5332099155016408E-5</v>
      </c>
      <c r="T15" t="str">
        <f>Table2[[#This Row],[classification]]</f>
        <v>6H4</v>
      </c>
    </row>
    <row r="16" spans="1:20" x14ac:dyDescent="0.25">
      <c r="K16" t="str">
        <f>Table2[[#This Row],[Column1]]</f>
        <v xml:space="preserve">Conf36   </v>
      </c>
      <c r="L16">
        <f>Table3[[#This Row],[weight]]*(0.9155*Table2[[#This Row],[J1,2]]-A$9)^2</f>
        <v>1.8106249446270194E-4</v>
      </c>
      <c r="M16">
        <f>Table3[[#This Row],[weight]]*(0.9155*Table2[[#This Row],[J2,3]]-B$9)^2</f>
        <v>8.153032732069862E-2</v>
      </c>
      <c r="N16">
        <f>Table3[[#This Row],[weight]]*(0.9155*Table2[[#This Row],[J34]]-C$9)^2</f>
        <v>1.5362190983646994E-6</v>
      </c>
      <c r="O16">
        <f>Table3[[#This Row],[weight]]*(0.9155*Table2[[#This Row],[J45]]-D$9)^2</f>
        <v>0.1729312181006189</v>
      </c>
      <c r="P16">
        <f>Table3[[#This Row],[weight]]*(0.9155*Table2[[#This Row],[J56]]-E$9)^2</f>
        <v>0.27151321420875185</v>
      </c>
      <c r="Q16">
        <f>Table3[[#This Row],[weight]]*(0.9155*Table2[[#This Row],[J67]]-F$9)^2</f>
        <v>5.4800039622608836E-3</v>
      </c>
      <c r="R16">
        <f>Table3[[#This Row],[weight]]*(0.9155*Table2[[#This Row],[J67'']]-G$9)^2</f>
        <v>0.18342894790453326</v>
      </c>
      <c r="S16">
        <f>Table2[[#This Row],[weight]]</f>
        <v>2.3140512086136269E-3</v>
      </c>
      <c r="T16" t="str">
        <f>Table2[[#This Row],[classification]]</f>
        <v>4H6</v>
      </c>
    </row>
    <row r="17" spans="11:20" x14ac:dyDescent="0.25">
      <c r="K17" t="str">
        <f>Table2[[#This Row],[Column1]]</f>
        <v xml:space="preserve">Conf40   </v>
      </c>
      <c r="L17">
        <f>Table3[[#This Row],[weight]]*(0.9155*Table2[[#This Row],[J1,2]]-A$9)^2</f>
        <v>2.0545147090430362E-5</v>
      </c>
      <c r="M17">
        <f>Table3[[#This Row],[weight]]*(0.9155*Table2[[#This Row],[J2,3]]-B$9)^2</f>
        <v>6.5371940944917465E-3</v>
      </c>
      <c r="N17">
        <f>Table3[[#This Row],[weight]]*(0.9155*Table2[[#This Row],[J34]]-C$9)^2</f>
        <v>1.444978814113611E-4</v>
      </c>
      <c r="O17">
        <f>Table3[[#This Row],[weight]]*(0.9155*Table2[[#This Row],[J45]]-D$9)^2</f>
        <v>1.5319721976452086E-2</v>
      </c>
      <c r="P17">
        <f>Table3[[#This Row],[weight]]*(0.9155*Table2[[#This Row],[J56]]-E$9)^2</f>
        <v>2.3553447131514169E-2</v>
      </c>
      <c r="Q17">
        <f>Table3[[#This Row],[weight]]*(0.9155*Table2[[#This Row],[J67]]-F$9)^2</f>
        <v>5.4509243817198556E-3</v>
      </c>
      <c r="R17">
        <f>Table3[[#This Row],[weight]]*(0.9155*Table2[[#This Row],[J67'']]-G$9)^2</f>
        <v>1.0197519610260757E-3</v>
      </c>
      <c r="S17">
        <f>Table2[[#This Row],[weight]]</f>
        <v>1.9068434469591663E-4</v>
      </c>
      <c r="T17" t="str">
        <f>Table2[[#This Row],[classification]]</f>
        <v>4H6</v>
      </c>
    </row>
    <row r="18" spans="11:20" x14ac:dyDescent="0.25">
      <c r="K18" t="str">
        <f>Table2[[#This Row],[Column1]]</f>
        <v xml:space="preserve">Conf42   </v>
      </c>
      <c r="L18">
        <f>Table3[[#This Row],[weight]]*(0.9155*Table2[[#This Row],[J1,2]]-A$9)^2</f>
        <v>0</v>
      </c>
      <c r="M18">
        <f>Table3[[#This Row],[weight]]*(0.9155*Table2[[#This Row],[J2,3]]-B$9)^2</f>
        <v>0</v>
      </c>
      <c r="N18">
        <f>Table3[[#This Row],[weight]]*(0.9155*Table2[[#This Row],[J34]]-C$9)^2</f>
        <v>0</v>
      </c>
      <c r="O18">
        <f>Table3[[#This Row],[weight]]*(0.9155*Table2[[#This Row],[J45]]-D$9)^2</f>
        <v>0</v>
      </c>
      <c r="P18">
        <f>Table3[[#This Row],[weight]]*(0.9155*Table2[[#This Row],[J56]]-E$9)^2</f>
        <v>0</v>
      </c>
      <c r="Q18">
        <f>Table3[[#This Row],[weight]]*(0.9155*Table2[[#This Row],[J67]]-F$9)^2</f>
        <v>0</v>
      </c>
      <c r="R18">
        <f>Table3[[#This Row],[weight]]*(0.9155*Table2[[#This Row],[J67'']]-G$9)^2</f>
        <v>0</v>
      </c>
      <c r="S18">
        <f>Table2[[#This Row],[weight]]</f>
        <v>0</v>
      </c>
      <c r="T18" t="str">
        <f>Table2[[#This Row],[classification]]</f>
        <v>6H4</v>
      </c>
    </row>
    <row r="19" spans="11:20" x14ac:dyDescent="0.25">
      <c r="K19" t="str">
        <f>Table2[[#This Row],[Column1]]</f>
        <v xml:space="preserve">Conf43   </v>
      </c>
      <c r="L19">
        <f>Table3[[#This Row],[weight]]*(0.9155*Table2[[#This Row],[J1,2]]-A$9)^2</f>
        <v>3.654519728972102E-4</v>
      </c>
      <c r="M19">
        <f>Table3[[#This Row],[weight]]*(0.9155*Table2[[#This Row],[J2,3]]-B$9)^2</f>
        <v>7.2102333984927297E-2</v>
      </c>
      <c r="N19">
        <f>Table3[[#This Row],[weight]]*(0.9155*Table2[[#This Row],[J34]]-C$9)^2</f>
        <v>8.3510807107037028E-4</v>
      </c>
      <c r="O19">
        <f>Table3[[#This Row],[weight]]*(0.9155*Table2[[#This Row],[J45]]-D$9)^2</f>
        <v>5.5943180826936917E-2</v>
      </c>
      <c r="P19">
        <f>Table3[[#This Row],[weight]]*(0.9155*Table2[[#This Row],[J56]]-E$9)^2</f>
        <v>9.7377783530262912E-3</v>
      </c>
      <c r="Q19">
        <f>Table3[[#This Row],[weight]]*(0.9155*Table2[[#This Row],[J67]]-F$9)^2</f>
        <v>0.12456989697703059</v>
      </c>
      <c r="R19">
        <f>Table3[[#This Row],[weight]]*(0.9155*Table2[[#This Row],[J67'']]-G$9)^2</f>
        <v>5.8796545044392676E-2</v>
      </c>
      <c r="S19">
        <f>Table2[[#This Row],[weight]]</f>
        <v>2.8734747504188434E-3</v>
      </c>
      <c r="T19" t="str">
        <f>Table2[[#This Row],[classification]]</f>
        <v>12C5</v>
      </c>
    </row>
    <row r="20" spans="11:20" x14ac:dyDescent="0.25">
      <c r="K20" t="str">
        <f>Table2[[#This Row],[Column1]]</f>
        <v xml:space="preserve">Conf44   </v>
      </c>
      <c r="L20">
        <f>Table3[[#This Row],[weight]]*(0.9155*Table2[[#This Row],[J1,2]]-A$9)^2</f>
        <v>1.1236649260765324E-2</v>
      </c>
      <c r="M20">
        <f>Table3[[#This Row],[weight]]*(0.9155*Table2[[#This Row],[J2,3]]-B$9)^2</f>
        <v>2.3041234297079787</v>
      </c>
      <c r="N20">
        <f>Table3[[#This Row],[weight]]*(0.9155*Table2[[#This Row],[J34]]-C$9)^2</f>
        <v>1.2267431031278626E-3</v>
      </c>
      <c r="O20">
        <f>Table3[[#This Row],[weight]]*(0.9155*Table2[[#This Row],[J45]]-D$9)^2</f>
        <v>4.9327518559924126</v>
      </c>
      <c r="P20">
        <f>Table3[[#This Row],[weight]]*(0.9155*Table2[[#This Row],[J56]]-E$9)^2</f>
        <v>7.4711780340231861</v>
      </c>
      <c r="Q20">
        <f>Table3[[#This Row],[weight]]*(0.9155*Table2[[#This Row],[J67]]-F$9)^2</f>
        <v>1.4629816997023213</v>
      </c>
      <c r="R20">
        <f>Table3[[#This Row],[weight]]*(0.9155*Table2[[#This Row],[J67'']]-G$9)^2</f>
        <v>2.5155334078409717</v>
      </c>
      <c r="S20">
        <f>Table2[[#This Row],[weight]]</f>
        <v>6.5175913286183385E-2</v>
      </c>
      <c r="T20" t="str">
        <f>Table2[[#This Row],[classification]]</f>
        <v>4H6</v>
      </c>
    </row>
    <row r="21" spans="11:20" x14ac:dyDescent="0.25">
      <c r="K21" t="str">
        <f>Table2[[#This Row],[Column1]]</f>
        <v xml:space="preserve">Conf47   </v>
      </c>
      <c r="L21">
        <f>Table3[[#This Row],[weight]]*(0.9155*Table2[[#This Row],[J1,2]]-A$9)^2</f>
        <v>0</v>
      </c>
      <c r="M21">
        <f>Table3[[#This Row],[weight]]*(0.9155*Table2[[#This Row],[J2,3]]-B$9)^2</f>
        <v>0</v>
      </c>
      <c r="N21">
        <f>Table3[[#This Row],[weight]]*(0.9155*Table2[[#This Row],[J34]]-C$9)^2</f>
        <v>0</v>
      </c>
      <c r="O21">
        <f>Table3[[#This Row],[weight]]*(0.9155*Table2[[#This Row],[J45]]-D$9)^2</f>
        <v>0</v>
      </c>
      <c r="P21">
        <f>Table3[[#This Row],[weight]]*(0.9155*Table2[[#This Row],[J56]]-E$9)^2</f>
        <v>0</v>
      </c>
      <c r="Q21">
        <f>Table3[[#This Row],[weight]]*(0.9155*Table2[[#This Row],[J67]]-F$9)^2</f>
        <v>0</v>
      </c>
      <c r="R21">
        <f>Table3[[#This Row],[weight]]*(0.9155*Table2[[#This Row],[J67'']]-G$9)^2</f>
        <v>0</v>
      </c>
      <c r="S21">
        <f>Table2[[#This Row],[weight]]</f>
        <v>0</v>
      </c>
      <c r="T21" t="str">
        <f>Table2[[#This Row],[classification]]</f>
        <v>6H4</v>
      </c>
    </row>
    <row r="22" spans="11:20" x14ac:dyDescent="0.25">
      <c r="K22" t="str">
        <f>Table2[[#This Row],[Column1]]</f>
        <v xml:space="preserve">Conf51   </v>
      </c>
      <c r="L22">
        <f>Table3[[#This Row],[weight]]*(0.9155*Table2[[#This Row],[J1,2]]-A$9)^2</f>
        <v>0</v>
      </c>
      <c r="M22">
        <f>Table3[[#This Row],[weight]]*(0.9155*Table2[[#This Row],[J2,3]]-B$9)^2</f>
        <v>0</v>
      </c>
      <c r="N22">
        <f>Table3[[#This Row],[weight]]*(0.9155*Table2[[#This Row],[J34]]-C$9)^2</f>
        <v>0</v>
      </c>
      <c r="O22">
        <f>Table3[[#This Row],[weight]]*(0.9155*Table2[[#This Row],[J45]]-D$9)^2</f>
        <v>0</v>
      </c>
      <c r="P22">
        <f>Table3[[#This Row],[weight]]*(0.9155*Table2[[#This Row],[J56]]-E$9)^2</f>
        <v>0</v>
      </c>
      <c r="Q22">
        <f>Table3[[#This Row],[weight]]*(0.9155*Table2[[#This Row],[J67]]-F$9)^2</f>
        <v>0</v>
      </c>
      <c r="R22">
        <f>Table3[[#This Row],[weight]]*(0.9155*Table2[[#This Row],[J67'']]-G$9)^2</f>
        <v>0</v>
      </c>
      <c r="S22">
        <f>Table2[[#This Row],[weight]]</f>
        <v>0</v>
      </c>
      <c r="T22" t="str">
        <f>Table2[[#This Row],[classification]]</f>
        <v>45E</v>
      </c>
    </row>
    <row r="23" spans="11:20" x14ac:dyDescent="0.25">
      <c r="K23" t="str">
        <f>Table2[[#This Row],[Column1]]</f>
        <v xml:space="preserve">Conf52   </v>
      </c>
      <c r="L23">
        <f>Table3[[#This Row],[weight]]*(0.9155*Table2[[#This Row],[J1,2]]-A$9)^2</f>
        <v>2.4095485557558091E-3</v>
      </c>
      <c r="M23">
        <f>Table3[[#This Row],[weight]]*(0.9155*Table2[[#This Row],[J2,3]]-B$9)^2</f>
        <v>2.4373669655527839</v>
      </c>
      <c r="N23">
        <f>Table3[[#This Row],[weight]]*(0.9155*Table2[[#This Row],[J34]]-C$9)^2</f>
        <v>8.717191376003226E-3</v>
      </c>
      <c r="O23">
        <f>Table3[[#This Row],[weight]]*(0.9155*Table2[[#This Row],[J45]]-D$9)^2</f>
        <v>4.1034574791463001</v>
      </c>
      <c r="P23">
        <f>Table3[[#This Row],[weight]]*(0.9155*Table2[[#This Row],[J56]]-E$9)^2</f>
        <v>7.1206376968596974</v>
      </c>
      <c r="Q23">
        <f>Table3[[#This Row],[weight]]*(0.9155*Table2[[#This Row],[J67]]-F$9)^2</f>
        <v>0.69109258983586341</v>
      </c>
      <c r="R23">
        <f>Table3[[#This Row],[weight]]*(0.9155*Table2[[#This Row],[J67'']]-G$9)^2</f>
        <v>4.6848957328883545</v>
      </c>
      <c r="S23">
        <f>Table2[[#This Row],[weight]]</f>
        <v>6.9392959472931046E-2</v>
      </c>
      <c r="T23" t="str">
        <f>Table2[[#This Row],[classification]]</f>
        <v>4H6</v>
      </c>
    </row>
    <row r="24" spans="11:20" x14ac:dyDescent="0.25">
      <c r="K24" t="str">
        <f>Table2[[#This Row],[Column1]]</f>
        <v xml:space="preserve">Conf54   </v>
      </c>
      <c r="L24">
        <f>Table3[[#This Row],[weight]]*(0.9155*Table2[[#This Row],[J1,2]]-A$9)^2</f>
        <v>4.3670438772602073E-3</v>
      </c>
      <c r="M24">
        <f>Table3[[#This Row],[weight]]*(0.9155*Table2[[#This Row],[J2,3]]-B$9)^2</f>
        <v>4.402462032220698</v>
      </c>
      <c r="N24">
        <f>Table3[[#This Row],[weight]]*(0.9155*Table2[[#This Row],[J34]]-C$9)^2</f>
        <v>2.0143387125612075E-2</v>
      </c>
      <c r="O24">
        <f>Table3[[#This Row],[weight]]*(0.9155*Table2[[#This Row],[J45]]-D$9)^2</f>
        <v>7.0370804761585957</v>
      </c>
      <c r="P24">
        <f>Table3[[#This Row],[weight]]*(0.9155*Table2[[#This Row],[J56]]-E$9)^2</f>
        <v>13.952170848482462</v>
      </c>
      <c r="Q24">
        <f>Table3[[#This Row],[weight]]*(0.9155*Table2[[#This Row],[J67]]-F$9)^2</f>
        <v>2.3994869480911172</v>
      </c>
      <c r="R24">
        <f>Table3[[#This Row],[weight]]*(0.9155*Table2[[#This Row],[J67'']]-G$9)^2</f>
        <v>2.8285405951434788E-2</v>
      </c>
      <c r="S24">
        <f>Table2[[#This Row],[weight]]</f>
        <v>0.1257671683217744</v>
      </c>
      <c r="T24" t="str">
        <f>Table2[[#This Row],[classification]]</f>
        <v>4H6</v>
      </c>
    </row>
    <row r="25" spans="11:20" x14ac:dyDescent="0.25">
      <c r="K25" t="str">
        <f>Table2[[#This Row],[Column1]]</f>
        <v xml:space="preserve">Conf55   </v>
      </c>
      <c r="L25">
        <f>Table3[[#This Row],[weight]]*(0.9155*Table2[[#This Row],[J1,2]]-A$9)^2</f>
        <v>5.7109273332106065E-5</v>
      </c>
      <c r="M25">
        <f>Table3[[#This Row],[weight]]*(0.9155*Table2[[#This Row],[J2,3]]-B$9)^2</f>
        <v>3.3954837683448751E-2</v>
      </c>
      <c r="N25">
        <f>Table3[[#This Row],[weight]]*(0.9155*Table2[[#This Row],[J34]]-C$9)^2</f>
        <v>2.1594924271809571E-4</v>
      </c>
      <c r="O25">
        <f>Table3[[#This Row],[weight]]*(0.9155*Table2[[#This Row],[J45]]-D$9)^2</f>
        <v>3.072715466353124E-2</v>
      </c>
      <c r="P25">
        <f>Table3[[#This Row],[weight]]*(0.9155*Table2[[#This Row],[J56]]-E$9)^2</f>
        <v>2.9415604307085836E-3</v>
      </c>
      <c r="Q25">
        <f>Table3[[#This Row],[weight]]*(0.9155*Table2[[#This Row],[J67]]-F$9)^2</f>
        <v>4.7478187486850336E-2</v>
      </c>
      <c r="R25">
        <f>Table3[[#This Row],[weight]]*(0.9155*Table2[[#This Row],[J67'']]-G$9)^2</f>
        <v>2.3893053286163504E-2</v>
      </c>
      <c r="S25">
        <f>Table2[[#This Row],[weight]]</f>
        <v>1.4009139902914978E-3</v>
      </c>
      <c r="T25" t="str">
        <f>Table2[[#This Row],[classification]]</f>
        <v>12C5</v>
      </c>
    </row>
    <row r="26" spans="11:20" x14ac:dyDescent="0.25">
      <c r="K26" t="str">
        <f>Table2[[#This Row],[Column1]]</f>
        <v xml:space="preserve">Conf57   </v>
      </c>
      <c r="L26">
        <f>Table3[[#This Row],[weight]]*(0.9155*Table2[[#This Row],[J1,2]]-A$9)^2</f>
        <v>3.5405142367571824E-5</v>
      </c>
      <c r="M26">
        <f>Table3[[#This Row],[weight]]*(0.9155*Table2[[#This Row],[J2,3]]-B$9)^2</f>
        <v>6.8071729185090251E-3</v>
      </c>
      <c r="N26">
        <f>Table3[[#This Row],[weight]]*(0.9155*Table2[[#This Row],[J34]]-C$9)^2</f>
        <v>1.019403768728782E-4</v>
      </c>
      <c r="O26">
        <f>Table3[[#This Row],[weight]]*(0.9155*Table2[[#This Row],[J45]]-D$9)^2</f>
        <v>1.5444530757107819E-2</v>
      </c>
      <c r="P26">
        <f>Table3[[#This Row],[weight]]*(0.9155*Table2[[#This Row],[J56]]-E$9)^2</f>
        <v>2.0139949687231866E-2</v>
      </c>
      <c r="Q26">
        <f>Table3[[#This Row],[weight]]*(0.9155*Table2[[#This Row],[J67]]-F$9)^2</f>
        <v>2.6133826249427174E-3</v>
      </c>
      <c r="R26">
        <f>Table3[[#This Row],[weight]]*(0.9155*Table2[[#This Row],[J67'']]-G$9)^2</f>
        <v>1.1793847619593203E-2</v>
      </c>
      <c r="S26">
        <f>Table2[[#This Row],[weight]]</f>
        <v>1.9744642742672638E-4</v>
      </c>
      <c r="T26" t="str">
        <f>Table2[[#This Row],[classification]]</f>
        <v>4H6</v>
      </c>
    </row>
    <row r="27" spans="11:20" x14ac:dyDescent="0.25">
      <c r="K27" t="str">
        <f>Table2[[#This Row],[Column1]]</f>
        <v xml:space="preserve">Conf58   </v>
      </c>
      <c r="L27">
        <f>Table3[[#This Row],[weight]]*(0.9155*Table2[[#This Row],[J1,2]]-A$9)^2</f>
        <v>3.286902740429998E-5</v>
      </c>
      <c r="M27">
        <f>Table3[[#This Row],[weight]]*(0.9155*Table2[[#This Row],[J2,3]]-B$9)^2</f>
        <v>1.2003734959867772E-2</v>
      </c>
      <c r="N27">
        <f>Table3[[#This Row],[weight]]*(0.9155*Table2[[#This Row],[J34]]-C$9)^2</f>
        <v>2.8384753384326863E-4</v>
      </c>
      <c r="O27">
        <f>Table3[[#This Row],[weight]]*(0.9155*Table2[[#This Row],[J45]]-D$9)^2</f>
        <v>2.7294362321440085E-2</v>
      </c>
      <c r="P27">
        <f>Table3[[#This Row],[weight]]*(0.9155*Table2[[#This Row],[J56]]-E$9)^2</f>
        <v>3.9755518601675546E-2</v>
      </c>
      <c r="Q27">
        <f>Table3[[#This Row],[weight]]*(0.9155*Table2[[#This Row],[J67]]-F$9)^2</f>
        <v>6.4627680417585608E-3</v>
      </c>
      <c r="R27">
        <f>Table3[[#This Row],[weight]]*(0.9155*Table2[[#This Row],[J67'']]-G$9)^2</f>
        <v>1.6003639835241259E-4</v>
      </c>
      <c r="S27">
        <f>Table2[[#This Row],[weight]]</f>
        <v>3.4217458601206878E-4</v>
      </c>
      <c r="T27" t="str">
        <f>Table2[[#This Row],[classification]]</f>
        <v>4H6</v>
      </c>
    </row>
    <row r="28" spans="11:20" x14ac:dyDescent="0.25">
      <c r="K28" t="str">
        <f>Table2[[#This Row],[Column1]]</f>
        <v xml:space="preserve">Conf60   </v>
      </c>
      <c r="L28">
        <f>Table3[[#This Row],[weight]]*(0.9155*Table2[[#This Row],[J1,2]]-A$9)^2</f>
        <v>3.3994616590864678E-4</v>
      </c>
      <c r="M28">
        <f>Table3[[#This Row],[weight]]*(0.9155*Table2[[#This Row],[J2,3]]-B$9)^2</f>
        <v>9.1828050981877074E-2</v>
      </c>
      <c r="N28">
        <f>Table3[[#This Row],[weight]]*(0.9155*Table2[[#This Row],[J34]]-C$9)^2</f>
        <v>1.7979229309435905E-4</v>
      </c>
      <c r="O28">
        <f>Table3[[#This Row],[weight]]*(0.9155*Table2[[#This Row],[J45]]-D$9)^2</f>
        <v>9.9654778217526427E-2</v>
      </c>
      <c r="P28">
        <f>Table3[[#This Row],[weight]]*(0.9155*Table2[[#This Row],[J56]]-E$9)^2</f>
        <v>7.8588928341444143E-3</v>
      </c>
      <c r="Q28">
        <f>Table3[[#This Row],[weight]]*(0.9155*Table2[[#This Row],[J67]]-F$9)^2</f>
        <v>5.7574571974782419E-2</v>
      </c>
      <c r="R28">
        <f>Table3[[#This Row],[weight]]*(0.9155*Table2[[#This Row],[J67'']]-G$9)^2</f>
        <v>1.126433368353257E-2</v>
      </c>
      <c r="S28">
        <f>Table2[[#This Row],[weight]]</f>
        <v>4.6778212638561483E-3</v>
      </c>
      <c r="T28" t="str">
        <f>Table2[[#This Row],[classification]]</f>
        <v>12C5</v>
      </c>
    </row>
    <row r="29" spans="11:20" x14ac:dyDescent="0.25">
      <c r="K29" t="str">
        <f>Table2[[#This Row],[Column1]]</f>
        <v xml:space="preserve">Conf65   </v>
      </c>
      <c r="L29">
        <f>Table3[[#This Row],[weight]]*(0.9155*Table2[[#This Row],[J1,2]]-A$9)^2</f>
        <v>2.5318941547479598E-5</v>
      </c>
      <c r="M29">
        <f>Table3[[#This Row],[weight]]*(0.9155*Table2[[#This Row],[J2,3]]-B$9)^2</f>
        <v>0.21221522368326776</v>
      </c>
      <c r="N29">
        <f>Table3[[#This Row],[weight]]*(0.9155*Table2[[#This Row],[J34]]-C$9)^2</f>
        <v>1.6899770571921029E-3</v>
      </c>
      <c r="O29">
        <f>Table3[[#This Row],[weight]]*(0.9155*Table2[[#This Row],[J45]]-D$9)^2</f>
        <v>0.27790459395870842</v>
      </c>
      <c r="P29">
        <f>Table3[[#This Row],[weight]]*(0.9155*Table2[[#This Row],[J56]]-E$9)^2</f>
        <v>0.48269107184998933</v>
      </c>
      <c r="Q29">
        <f>Table3[[#This Row],[weight]]*(0.9155*Table2[[#This Row],[J67]]-F$9)^2</f>
        <v>0.13917965793030937</v>
      </c>
      <c r="R29">
        <f>Table3[[#This Row],[weight]]*(0.9155*Table2[[#This Row],[J67'']]-G$9)^2</f>
        <v>0.1235089849820878</v>
      </c>
      <c r="S29">
        <f>Table2[[#This Row],[weight]]</f>
        <v>6.2466570880075397E-3</v>
      </c>
      <c r="T29" t="str">
        <f>Table2[[#This Row],[classification]]</f>
        <v>4H6</v>
      </c>
    </row>
    <row r="30" spans="11:20" x14ac:dyDescent="0.25">
      <c r="K30" t="str">
        <f>Table2[[#This Row],[Column1]]</f>
        <v xml:space="preserve">Conf69   </v>
      </c>
      <c r="L30">
        <f>Table3[[#This Row],[weight]]*(0.9155*Table2[[#This Row],[J1,2]]-A$9)^2</f>
        <v>1.7643114251295668E-8</v>
      </c>
      <c r="M30">
        <f>Table3[[#This Row],[weight]]*(0.9155*Table2[[#This Row],[J2,3]]-B$9)^2</f>
        <v>2.3227936347813515E-6</v>
      </c>
      <c r="N30">
        <f>Table3[[#This Row],[weight]]*(0.9155*Table2[[#This Row],[J34]]-C$9)^2</f>
        <v>1.0763749190064397E-6</v>
      </c>
      <c r="O30">
        <f>Table3[[#This Row],[weight]]*(0.9155*Table2[[#This Row],[J45]]-D$9)^2</f>
        <v>1.4754405030686728E-4</v>
      </c>
      <c r="P30">
        <f>Table3[[#This Row],[weight]]*(0.9155*Table2[[#This Row],[J56]]-E$9)^2</f>
        <v>1.1231010264895356E-4</v>
      </c>
      <c r="Q30">
        <f>Table3[[#This Row],[weight]]*(0.9155*Table2[[#This Row],[J67]]-F$9)^2</f>
        <v>5.0115248407953106E-4</v>
      </c>
      <c r="R30">
        <f>Table3[[#This Row],[weight]]*(0.9155*Table2[[#This Row],[J67'']]-G$9)^2</f>
        <v>1.0362890247348697E-3</v>
      </c>
      <c r="S30">
        <f>Table2[[#This Row],[weight]]</f>
        <v>1.5804318205865528E-4</v>
      </c>
      <c r="T30" t="str">
        <f>Table2[[#This Row],[classification]]</f>
        <v>6H4</v>
      </c>
    </row>
    <row r="31" spans="11:20" x14ac:dyDescent="0.25">
      <c r="K31" t="str">
        <f>Table2[[#This Row],[Column1]]</f>
        <v xml:space="preserve">Conf70   </v>
      </c>
      <c r="L31">
        <f>Table3[[#This Row],[weight]]*(0.9155*Table2[[#This Row],[J1,2]]-A$9)^2</f>
        <v>1.1319019827128655E-2</v>
      </c>
      <c r="M31">
        <f>Table3[[#This Row],[weight]]*(0.9155*Table2[[#This Row],[J2,3]]-B$9)^2</f>
        <v>2.2818742738363089</v>
      </c>
      <c r="N31">
        <f>Table3[[#This Row],[weight]]*(0.9155*Table2[[#This Row],[J34]]-C$9)^2</f>
        <v>1.0986292373256609E-3</v>
      </c>
      <c r="O31">
        <f>Table3[[#This Row],[weight]]*(0.9155*Table2[[#This Row],[J45]]-D$9)^2</f>
        <v>4.8764976730791156</v>
      </c>
      <c r="P31">
        <f>Table3[[#This Row],[weight]]*(0.9155*Table2[[#This Row],[J56]]-E$9)^2</f>
        <v>7.3576767301248971</v>
      </c>
      <c r="Q31">
        <f>Table3[[#This Row],[weight]]*(0.9155*Table2[[#This Row],[J67]]-F$9)^2</f>
        <v>1.4306201372236154</v>
      </c>
      <c r="R31">
        <f>Table3[[#This Row],[weight]]*(0.9155*Table2[[#This Row],[J67'']]-G$9)^2</f>
        <v>2.5105297190788614</v>
      </c>
      <c r="S31">
        <f>Table2[[#This Row],[weight]]</f>
        <v>6.4229697849314968E-2</v>
      </c>
      <c r="T31" t="str">
        <f>Table2[[#This Row],[classification]]</f>
        <v>4H6</v>
      </c>
    </row>
    <row r="32" spans="11:20" x14ac:dyDescent="0.25">
      <c r="K32" t="str">
        <f>Table2[[#This Row],[Column1]]</f>
        <v xml:space="preserve">Conf86   </v>
      </c>
      <c r="L32">
        <f>Table3[[#This Row],[weight]]*(0.9155*Table2[[#This Row],[J1,2]]-A$9)^2</f>
        <v>7.1704671872190087E-6</v>
      </c>
      <c r="M32">
        <f>Table3[[#This Row],[weight]]*(0.9155*Table2[[#This Row],[J2,3]]-B$9)^2</f>
        <v>6.0923909780908805E-3</v>
      </c>
      <c r="N32">
        <f>Table3[[#This Row],[weight]]*(0.9155*Table2[[#This Row],[J34]]-C$9)^2</f>
        <v>1.3075805773076488E-4</v>
      </c>
      <c r="O32">
        <f>Table3[[#This Row],[weight]]*(0.9155*Table2[[#This Row],[J45]]-D$9)^2</f>
        <v>2.1893901344571524E-4</v>
      </c>
      <c r="P32">
        <f>Table3[[#This Row],[weight]]*(0.9155*Table2[[#This Row],[J56]]-E$9)^2</f>
        <v>4.7815656886964333E-2</v>
      </c>
      <c r="Q32">
        <f>Table3[[#This Row],[weight]]*(0.9155*Table2[[#This Row],[J67]]-F$9)^2</f>
        <v>1.0103847194640952E-2</v>
      </c>
      <c r="R32">
        <f>Table3[[#This Row],[weight]]*(0.9155*Table2[[#This Row],[J67'']]-G$9)^2</f>
        <v>3.7903159032624464E-2</v>
      </c>
      <c r="S32">
        <f>Table2[[#This Row],[weight]]</f>
        <v>6.6362959010697685E-4</v>
      </c>
      <c r="T32" t="str">
        <f>Table2[[#This Row],[classification]]</f>
        <v>56E</v>
      </c>
    </row>
    <row r="33" spans="11:20" x14ac:dyDescent="0.25">
      <c r="K33" t="str">
        <f>Table2[[#This Row],[Column1]]</f>
        <v xml:space="preserve">Conf89   </v>
      </c>
      <c r="L33">
        <f>Table3[[#This Row],[weight]]*(0.9155*Table2[[#This Row],[J1,2]]-A$9)^2</f>
        <v>0</v>
      </c>
      <c r="M33">
        <f>Table3[[#This Row],[weight]]*(0.9155*Table2[[#This Row],[J2,3]]-B$9)^2</f>
        <v>0</v>
      </c>
      <c r="N33">
        <f>Table3[[#This Row],[weight]]*(0.9155*Table2[[#This Row],[J34]]-C$9)^2</f>
        <v>0</v>
      </c>
      <c r="O33">
        <f>Table3[[#This Row],[weight]]*(0.9155*Table2[[#This Row],[J45]]-D$9)^2</f>
        <v>0</v>
      </c>
      <c r="P33">
        <f>Table3[[#This Row],[weight]]*(0.9155*Table2[[#This Row],[J56]]-E$9)^2</f>
        <v>0</v>
      </c>
      <c r="Q33">
        <f>Table3[[#This Row],[weight]]*(0.9155*Table2[[#This Row],[J67]]-F$9)^2</f>
        <v>0</v>
      </c>
      <c r="R33">
        <f>Table3[[#This Row],[weight]]*(0.9155*Table2[[#This Row],[J67'']]-G$9)^2</f>
        <v>0</v>
      </c>
      <c r="S33">
        <f>Table2[[#This Row],[weight]]</f>
        <v>0</v>
      </c>
      <c r="T33" t="str">
        <f>Table2[[#This Row],[classification]]</f>
        <v>4H6</v>
      </c>
    </row>
    <row r="34" spans="11:20" x14ac:dyDescent="0.25">
      <c r="K34" t="str">
        <f>Table2[[#This Row],[Column1]]</f>
        <v xml:space="preserve">Conf90   </v>
      </c>
      <c r="L34">
        <f>Table3[[#This Row],[weight]]*(0.9155*Table2[[#This Row],[J1,2]]-A$9)^2</f>
        <v>0</v>
      </c>
      <c r="M34">
        <f>Table3[[#This Row],[weight]]*(0.9155*Table2[[#This Row],[J2,3]]-B$9)^2</f>
        <v>0</v>
      </c>
      <c r="N34">
        <f>Table3[[#This Row],[weight]]*(0.9155*Table2[[#This Row],[J34]]-C$9)^2</f>
        <v>0</v>
      </c>
      <c r="O34">
        <f>Table3[[#This Row],[weight]]*(0.9155*Table2[[#This Row],[J45]]-D$9)^2</f>
        <v>0</v>
      </c>
      <c r="P34">
        <f>Table3[[#This Row],[weight]]*(0.9155*Table2[[#This Row],[J56]]-E$9)^2</f>
        <v>0</v>
      </c>
      <c r="Q34">
        <f>Table3[[#This Row],[weight]]*(0.9155*Table2[[#This Row],[J67]]-F$9)^2</f>
        <v>0</v>
      </c>
      <c r="R34">
        <f>Table3[[#This Row],[weight]]*(0.9155*Table2[[#This Row],[J67'']]-G$9)^2</f>
        <v>0</v>
      </c>
      <c r="S34">
        <f>Table2[[#This Row],[weight]]</f>
        <v>0</v>
      </c>
      <c r="T34" t="str">
        <f>Table2[[#This Row],[classification]]</f>
        <v>4H6</v>
      </c>
    </row>
    <row r="35" spans="11:20" x14ac:dyDescent="0.25">
      <c r="K35" t="str">
        <f>Table2[[#This Row],[Column1]]</f>
        <v xml:space="preserve">Conf92   </v>
      </c>
      <c r="L35">
        <f>Table3[[#This Row],[weight]]*(0.9155*Table2[[#This Row],[J1,2]]-A$9)^2</f>
        <v>1.2183126254346375E-2</v>
      </c>
      <c r="M35">
        <f>Table3[[#This Row],[weight]]*(0.9155*Table2[[#This Row],[J2,3]]-B$9)^2</f>
        <v>0.19356915668047195</v>
      </c>
      <c r="N35">
        <f>Table3[[#This Row],[weight]]*(0.9155*Table2[[#This Row],[J34]]-C$9)^2</f>
        <v>0.14558838024514562</v>
      </c>
      <c r="O35">
        <f>Table3[[#This Row],[weight]]*(0.9155*Table2[[#This Row],[J45]]-D$9)^2</f>
        <v>0.2712489530716552</v>
      </c>
      <c r="P35">
        <f>Table3[[#This Row],[weight]]*(0.9155*Table2[[#This Row],[J56]]-E$9)^2</f>
        <v>17.071135097557711</v>
      </c>
      <c r="Q35">
        <f>Table3[[#This Row],[weight]]*(0.9155*Table2[[#This Row],[J67]]-F$9)^2</f>
        <v>3.5006541134000688</v>
      </c>
      <c r="R35">
        <f>Table3[[#This Row],[weight]]*(0.9155*Table2[[#This Row],[J67'']]-G$9)^2</f>
        <v>10.730451608215732</v>
      </c>
      <c r="S35">
        <f>Table2[[#This Row],[weight]]</f>
        <v>0.2030773709245009</v>
      </c>
      <c r="T35" t="str">
        <f>Table2[[#This Row],[classification]]</f>
        <v>5C12</v>
      </c>
    </row>
    <row r="36" spans="11:20" x14ac:dyDescent="0.25">
      <c r="K36" t="str">
        <f>Table2[[#This Row],[Column1]]</f>
        <v xml:space="preserve">Conf93   </v>
      </c>
      <c r="L36">
        <f>Table3[[#This Row],[weight]]*(0.9155*Table2[[#This Row],[J1,2]]-A$9)^2</f>
        <v>5.8889029682372301E-5</v>
      </c>
      <c r="M36">
        <f>Table3[[#This Row],[weight]]*(0.9155*Table2[[#This Row],[J2,3]]-B$9)^2</f>
        <v>2.1102648579889579E-2</v>
      </c>
      <c r="N36">
        <f>Table3[[#This Row],[weight]]*(0.9155*Table2[[#This Row],[J34]]-C$9)^2</f>
        <v>2.7180386876192729E-4</v>
      </c>
      <c r="O36">
        <f>Table3[[#This Row],[weight]]*(0.9155*Table2[[#This Row],[J45]]-D$9)^2</f>
        <v>1.7588351896319583E-2</v>
      </c>
      <c r="P36">
        <f>Table3[[#This Row],[weight]]*(0.9155*Table2[[#This Row],[J56]]-E$9)^2</f>
        <v>2.5448848203101252E-3</v>
      </c>
      <c r="Q36">
        <f>Table3[[#This Row],[weight]]*(0.9155*Table2[[#This Row],[J67]]-F$9)^2</f>
        <v>2.9730204356758719E-2</v>
      </c>
      <c r="R36">
        <f>Table3[[#This Row],[weight]]*(0.9155*Table2[[#This Row],[J67'']]-G$9)^2</f>
        <v>1.0380714371250287E-2</v>
      </c>
      <c r="S36">
        <f>Table2[[#This Row],[weight]]</f>
        <v>8.8640984616944951E-4</v>
      </c>
      <c r="T36" t="str">
        <f>Table2[[#This Row],[classification]]</f>
        <v>12C5</v>
      </c>
    </row>
    <row r="37" spans="11:20" x14ac:dyDescent="0.25">
      <c r="K37" t="str">
        <f>Table2[[#This Row],[Column1]]</f>
        <v xml:space="preserve">Conf95   </v>
      </c>
      <c r="L37">
        <f>Table3[[#This Row],[weight]]*(0.9155*Table2[[#This Row],[J1,2]]-A$9)^2</f>
        <v>6.2074095755788763E-8</v>
      </c>
      <c r="M37">
        <f>Table3[[#This Row],[weight]]*(0.9155*Table2[[#This Row],[J2,3]]-B$9)^2</f>
        <v>2.6580157303219376E-6</v>
      </c>
      <c r="N37">
        <f>Table3[[#This Row],[weight]]*(0.9155*Table2[[#This Row],[J34]]-C$9)^2</f>
        <v>7.6115798134613573E-7</v>
      </c>
      <c r="O37">
        <f>Table3[[#This Row],[weight]]*(0.9155*Table2[[#This Row],[J45]]-D$9)^2</f>
        <v>1.4395312814582581E-4</v>
      </c>
      <c r="P37">
        <f>Table3[[#This Row],[weight]]*(0.9155*Table2[[#This Row],[J56]]-E$9)^2</f>
        <v>1.0245153476291518E-4</v>
      </c>
      <c r="Q37">
        <f>Table3[[#This Row],[weight]]*(0.9155*Table2[[#This Row],[J67]]-F$9)^2</f>
        <v>8.6289838946609367E-4</v>
      </c>
      <c r="R37">
        <f>Table3[[#This Row],[weight]]*(0.9155*Table2[[#This Row],[J67'']]-G$9)^2</f>
        <v>1.6816414456707512E-3</v>
      </c>
      <c r="S37">
        <f>Table2[[#This Row],[weight]]</f>
        <v>1.6083202905120859E-4</v>
      </c>
      <c r="T37" t="str">
        <f>Table2[[#This Row],[classification]]</f>
        <v>6H4</v>
      </c>
    </row>
    <row r="38" spans="11:20" x14ac:dyDescent="0.25">
      <c r="K38" t="str">
        <f>Table2[[#This Row],[Column1]]</f>
        <v xml:space="preserve">Conf100   </v>
      </c>
      <c r="L38">
        <f>Table3[[#This Row],[weight]]*(0.9155*Table2[[#This Row],[J1,2]]-A$9)^2</f>
        <v>1.4128926987037214E-3</v>
      </c>
      <c r="M38">
        <f>Table3[[#This Row],[weight]]*(0.9155*Table2[[#This Row],[J2,3]]-B$9)^2</f>
        <v>3.6713085195953399E-2</v>
      </c>
      <c r="N38">
        <f>Table3[[#This Row],[weight]]*(0.9155*Table2[[#This Row],[J34]]-C$9)^2</f>
        <v>2.3380362707862746E-2</v>
      </c>
      <c r="O38">
        <f>Table3[[#This Row],[weight]]*(0.9155*Table2[[#This Row],[J45]]-D$9)^2</f>
        <v>3.8333328259538536E-2</v>
      </c>
      <c r="P38">
        <f>Table3[[#This Row],[weight]]*(0.9155*Table2[[#This Row],[J56]]-E$9)^2</f>
        <v>3.4714808999413731</v>
      </c>
      <c r="Q38">
        <f>Table3[[#This Row],[weight]]*(0.9155*Table2[[#This Row],[J67]]-F$9)^2</f>
        <v>0.45453654743131411</v>
      </c>
      <c r="R38">
        <f>Table3[[#This Row],[weight]]*(0.9155*Table2[[#This Row],[J67'']]-G$9)^2</f>
        <v>3.4014953111899386E-2</v>
      </c>
      <c r="S38">
        <f>Table2[[#This Row],[weight]]</f>
        <v>3.9548008203148202E-2</v>
      </c>
      <c r="T38" t="str">
        <f>Table2[[#This Row],[classification]]</f>
        <v>5C12</v>
      </c>
    </row>
    <row r="39" spans="11:20" x14ac:dyDescent="0.25">
      <c r="K39" t="str">
        <f>Table2[[#This Row],[Column1]]</f>
        <v xml:space="preserve">Conf112   </v>
      </c>
      <c r="L39">
        <f>Table3[[#This Row],[weight]]*(0.9155*Table2[[#This Row],[J1,2]]-A$9)^2</f>
        <v>0</v>
      </c>
      <c r="M39">
        <f>Table3[[#This Row],[weight]]*(0.9155*Table2[[#This Row],[J2,3]]-B$9)^2</f>
        <v>0</v>
      </c>
      <c r="N39">
        <f>Table3[[#This Row],[weight]]*(0.9155*Table2[[#This Row],[J34]]-C$9)^2</f>
        <v>0</v>
      </c>
      <c r="O39">
        <f>Table3[[#This Row],[weight]]*(0.9155*Table2[[#This Row],[J45]]-D$9)^2</f>
        <v>0</v>
      </c>
      <c r="P39">
        <f>Table3[[#This Row],[weight]]*(0.9155*Table2[[#This Row],[J56]]-E$9)^2</f>
        <v>0</v>
      </c>
      <c r="Q39">
        <f>Table3[[#This Row],[weight]]*(0.9155*Table2[[#This Row],[J67]]-F$9)^2</f>
        <v>0</v>
      </c>
      <c r="R39">
        <f>Table3[[#This Row],[weight]]*(0.9155*Table2[[#This Row],[J67'']]-G$9)^2</f>
        <v>0</v>
      </c>
      <c r="S39">
        <f>Table2[[#This Row],[weight]]</f>
        <v>0</v>
      </c>
      <c r="T39" t="str">
        <f>Table2[[#This Row],[classification]]</f>
        <v>4H6</v>
      </c>
    </row>
    <row r="40" spans="11:20" x14ac:dyDescent="0.25">
      <c r="K40" t="str">
        <f>Table2[[#This Row],[Column1]]</f>
        <v xml:space="preserve">Conf115   </v>
      </c>
      <c r="L40">
        <f>Table3[[#This Row],[weight]]*(0.9155*Table2[[#This Row],[J1,2]]-A$9)^2</f>
        <v>0</v>
      </c>
      <c r="M40">
        <f>Table3[[#This Row],[weight]]*(0.9155*Table2[[#This Row],[J2,3]]-B$9)^2</f>
        <v>0</v>
      </c>
      <c r="N40">
        <f>Table3[[#This Row],[weight]]*(0.9155*Table2[[#This Row],[J34]]-C$9)^2</f>
        <v>0</v>
      </c>
      <c r="O40">
        <f>Table3[[#This Row],[weight]]*(0.9155*Table2[[#This Row],[J45]]-D$9)^2</f>
        <v>0</v>
      </c>
      <c r="P40">
        <f>Table3[[#This Row],[weight]]*(0.9155*Table2[[#This Row],[J56]]-E$9)^2</f>
        <v>0</v>
      </c>
      <c r="Q40">
        <f>Table3[[#This Row],[weight]]*(0.9155*Table2[[#This Row],[J67]]-F$9)^2</f>
        <v>0</v>
      </c>
      <c r="R40">
        <f>Table3[[#This Row],[weight]]*(0.9155*Table2[[#This Row],[J67'']]-G$9)^2</f>
        <v>0</v>
      </c>
      <c r="S40">
        <f>Table2[[#This Row],[weight]]</f>
        <v>0</v>
      </c>
      <c r="T40" t="str">
        <f>Table2[[#This Row],[classification]]</f>
        <v>12C5</v>
      </c>
    </row>
    <row r="41" spans="11:20" x14ac:dyDescent="0.25">
      <c r="K41" t="str">
        <f>Table2[[#This Row],[Column1]]</f>
        <v xml:space="preserve">Conf117   </v>
      </c>
      <c r="L41">
        <f>Table3[[#This Row],[weight]]*(0.9155*Table2[[#This Row],[J1,2]]-A$9)^2</f>
        <v>0</v>
      </c>
      <c r="M41">
        <f>Table3[[#This Row],[weight]]*(0.9155*Table2[[#This Row],[J2,3]]-B$9)^2</f>
        <v>0</v>
      </c>
      <c r="N41">
        <f>Table3[[#This Row],[weight]]*(0.9155*Table2[[#This Row],[J34]]-C$9)^2</f>
        <v>0</v>
      </c>
      <c r="O41">
        <f>Table3[[#This Row],[weight]]*(0.9155*Table2[[#This Row],[J45]]-D$9)^2</f>
        <v>0</v>
      </c>
      <c r="P41">
        <f>Table3[[#This Row],[weight]]*(0.9155*Table2[[#This Row],[J56]]-E$9)^2</f>
        <v>0</v>
      </c>
      <c r="Q41">
        <f>Table3[[#This Row],[weight]]*(0.9155*Table2[[#This Row],[J67]]-F$9)^2</f>
        <v>0</v>
      </c>
      <c r="R41">
        <f>Table3[[#This Row],[weight]]*(0.9155*Table2[[#This Row],[J67'']]-G$9)^2</f>
        <v>0</v>
      </c>
      <c r="S41">
        <f>Table2[[#This Row],[weight]]</f>
        <v>0</v>
      </c>
      <c r="T41" t="str">
        <f>Table2[[#This Row],[classification]]</f>
        <v>12C5</v>
      </c>
    </row>
    <row r="42" spans="11:20" x14ac:dyDescent="0.25">
      <c r="K42" t="str">
        <f>Table2[[#This Row],[Column1]]</f>
        <v xml:space="preserve">Conf118   </v>
      </c>
      <c r="L42">
        <f>Table3[[#This Row],[weight]]*(0.9155*Table2[[#This Row],[J1,2]]-A$9)^2</f>
        <v>3.3043850909825353E-4</v>
      </c>
      <c r="M42">
        <f>Table3[[#This Row],[weight]]*(0.9155*Table2[[#This Row],[J2,3]]-B$9)^2</f>
        <v>2.0412085431713257E-3</v>
      </c>
      <c r="N42">
        <f>Table3[[#This Row],[weight]]*(0.9155*Table2[[#This Row],[J34]]-C$9)^2</f>
        <v>2.1994496302663738E-3</v>
      </c>
      <c r="O42">
        <f>Table3[[#This Row],[weight]]*(0.9155*Table2[[#This Row],[J45]]-D$9)^2</f>
        <v>4.8617629977567543E-3</v>
      </c>
      <c r="P42">
        <f>Table3[[#This Row],[weight]]*(0.9155*Table2[[#This Row],[J56]]-E$9)^2</f>
        <v>0.15324068287338269</v>
      </c>
      <c r="Q42">
        <f>Table3[[#This Row],[weight]]*(0.9155*Table2[[#This Row],[J67]]-F$9)^2</f>
        <v>4.6585639737715068E-2</v>
      </c>
      <c r="R42">
        <f>Table3[[#This Row],[weight]]*(0.9155*Table2[[#This Row],[J67'']]-G$9)^2</f>
        <v>0.11081796127327279</v>
      </c>
      <c r="S42">
        <f>Table2[[#This Row],[weight]]</f>
        <v>2.3854228270174319E-3</v>
      </c>
      <c r="T42" t="str">
        <f>Table2[[#This Row],[classification]]</f>
        <v>5C12</v>
      </c>
    </row>
    <row r="43" spans="11:20" x14ac:dyDescent="0.25">
      <c r="K43" t="str">
        <f>Table2[[#This Row],[Column1]]</f>
        <v xml:space="preserve">Conf120   </v>
      </c>
      <c r="L43">
        <f>Table3[[#This Row],[weight]]*(0.9155*Table2[[#This Row],[J1,2]]-A$9)^2</f>
        <v>1.7107857442448177E-5</v>
      </c>
      <c r="M43">
        <f>Table3[[#This Row],[weight]]*(0.9155*Table2[[#This Row],[J2,3]]-B$9)^2</f>
        <v>0.24205192336097126</v>
      </c>
      <c r="N43">
        <f>Table3[[#This Row],[weight]]*(0.9155*Table2[[#This Row],[J34]]-C$9)^2</f>
        <v>1.7735588415674643E-3</v>
      </c>
      <c r="O43">
        <f>Table3[[#This Row],[weight]]*(0.9155*Table2[[#This Row],[J45]]-D$9)^2</f>
        <v>0.31974146365305728</v>
      </c>
      <c r="P43">
        <f>Table3[[#This Row],[weight]]*(0.9155*Table2[[#This Row],[J56]]-E$9)^2</f>
        <v>0.56196183115104448</v>
      </c>
      <c r="Q43">
        <f>Table3[[#This Row],[weight]]*(0.9155*Table2[[#This Row],[J67]]-F$9)^2</f>
        <v>0.16586710089684945</v>
      </c>
      <c r="R43">
        <f>Table3[[#This Row],[weight]]*(0.9155*Table2[[#This Row],[J67'']]-G$9)^2</f>
        <v>0.13612883689444716</v>
      </c>
      <c r="S43">
        <f>Table2[[#This Row],[weight]]</f>
        <v>7.1204403410527117E-3</v>
      </c>
      <c r="T43" t="str">
        <f>Table2[[#This Row],[classification]]</f>
        <v>4H6</v>
      </c>
    </row>
    <row r="44" spans="11:20" x14ac:dyDescent="0.25">
      <c r="K44" t="str">
        <f>Table2[[#This Row],[Column1]]</f>
        <v xml:space="preserve">Conf122   </v>
      </c>
      <c r="L44">
        <f>Table3[[#This Row],[weight]]*(0.9155*Table2[[#This Row],[J1,2]]-A$9)^2</f>
        <v>5.1922645791902724E-3</v>
      </c>
      <c r="M44">
        <f>Table3[[#This Row],[weight]]*(0.9155*Table2[[#This Row],[J2,3]]-B$9)^2</f>
        <v>2.4537311825372075E-2</v>
      </c>
      <c r="N44">
        <f>Table3[[#This Row],[weight]]*(0.9155*Table2[[#This Row],[J34]]-C$9)^2</f>
        <v>2.6116105067072612E-2</v>
      </c>
      <c r="O44">
        <f>Table3[[#This Row],[weight]]*(0.9155*Table2[[#This Row],[J45]]-D$9)^2</f>
        <v>5.256913137995798E-2</v>
      </c>
      <c r="P44">
        <f>Table3[[#This Row],[weight]]*(0.9155*Table2[[#This Row],[J56]]-E$9)^2</f>
        <v>2.6918760073427563</v>
      </c>
      <c r="Q44">
        <f>Table3[[#This Row],[weight]]*(0.9155*Table2[[#This Row],[J67]]-F$9)^2</f>
        <v>0.50851644872602186</v>
      </c>
      <c r="R44">
        <f>Table3[[#This Row],[weight]]*(0.9155*Table2[[#This Row],[J67'']]-G$9)^2</f>
        <v>1.9733831716401673</v>
      </c>
      <c r="S44">
        <f>Table2[[#This Row],[weight]]</f>
        <v>3.389102395072556E-2</v>
      </c>
      <c r="T44" t="str">
        <f>Table2[[#This Row],[classification]]</f>
        <v>5C12</v>
      </c>
    </row>
    <row r="45" spans="11:20" x14ac:dyDescent="0.25">
      <c r="K45" t="str">
        <f>Table2[[#This Row],[Column1]]</f>
        <v xml:space="preserve">Conf124   </v>
      </c>
      <c r="L45">
        <f>Table3[[#This Row],[weight]]*(0.9155*Table2[[#This Row],[J1,2]]-A$9)^2</f>
        <v>0</v>
      </c>
      <c r="M45">
        <f>Table3[[#This Row],[weight]]*(0.9155*Table2[[#This Row],[J2,3]]-B$9)^2</f>
        <v>0</v>
      </c>
      <c r="N45">
        <f>Table3[[#This Row],[weight]]*(0.9155*Table2[[#This Row],[J34]]-C$9)^2</f>
        <v>0</v>
      </c>
      <c r="O45">
        <f>Table3[[#This Row],[weight]]*(0.9155*Table2[[#This Row],[J45]]-D$9)^2</f>
        <v>0</v>
      </c>
      <c r="P45">
        <f>Table3[[#This Row],[weight]]*(0.9155*Table2[[#This Row],[J56]]-E$9)^2</f>
        <v>0</v>
      </c>
      <c r="Q45">
        <f>Table3[[#This Row],[weight]]*(0.9155*Table2[[#This Row],[J67]]-F$9)^2</f>
        <v>0</v>
      </c>
      <c r="R45">
        <f>Table3[[#This Row],[weight]]*(0.9155*Table2[[#This Row],[J67'']]-G$9)^2</f>
        <v>0</v>
      </c>
      <c r="S45">
        <f>Table2[[#This Row],[weight]]</f>
        <v>0</v>
      </c>
      <c r="T45" t="str">
        <f>Table2[[#This Row],[classification]]</f>
        <v>12C5</v>
      </c>
    </row>
    <row r="46" spans="11:20" x14ac:dyDescent="0.25">
      <c r="K46" t="str">
        <f>Table2[[#This Row],[Column1]]</f>
        <v xml:space="preserve">Conf125   </v>
      </c>
      <c r="L46">
        <f>Table3[[#This Row],[weight]]*(0.9155*Table2[[#This Row],[J1,2]]-A$9)^2</f>
        <v>0</v>
      </c>
      <c r="M46">
        <f>Table3[[#This Row],[weight]]*(0.9155*Table2[[#This Row],[J2,3]]-B$9)^2</f>
        <v>0</v>
      </c>
      <c r="N46">
        <f>Table3[[#This Row],[weight]]*(0.9155*Table2[[#This Row],[J34]]-C$9)^2</f>
        <v>0</v>
      </c>
      <c r="O46">
        <f>Table3[[#This Row],[weight]]*(0.9155*Table2[[#This Row],[J45]]-D$9)^2</f>
        <v>0</v>
      </c>
      <c r="P46">
        <f>Table3[[#This Row],[weight]]*(0.9155*Table2[[#This Row],[J56]]-E$9)^2</f>
        <v>0</v>
      </c>
      <c r="Q46">
        <f>Table3[[#This Row],[weight]]*(0.9155*Table2[[#This Row],[J67]]-F$9)^2</f>
        <v>0</v>
      </c>
      <c r="R46">
        <f>Table3[[#This Row],[weight]]*(0.9155*Table2[[#This Row],[J67'']]-G$9)^2</f>
        <v>0</v>
      </c>
      <c r="S46">
        <f>Table2[[#This Row],[weight]]</f>
        <v>0</v>
      </c>
      <c r="T46" t="str">
        <f>Table2[[#This Row],[classification]]</f>
        <v>12C5</v>
      </c>
    </row>
    <row r="47" spans="11:20" x14ac:dyDescent="0.25">
      <c r="K47" t="str">
        <f>Table2[[#This Row],[Column1]]</f>
        <v xml:space="preserve">Conf126   </v>
      </c>
      <c r="L47">
        <f>Table3[[#This Row],[weight]]*(0.9155*Table2[[#This Row],[J1,2]]-A$9)^2</f>
        <v>0</v>
      </c>
      <c r="M47">
        <f>Table3[[#This Row],[weight]]*(0.9155*Table2[[#This Row],[J2,3]]-B$9)^2</f>
        <v>0</v>
      </c>
      <c r="N47">
        <f>Table3[[#This Row],[weight]]*(0.9155*Table2[[#This Row],[J34]]-C$9)^2</f>
        <v>0</v>
      </c>
      <c r="O47">
        <f>Table3[[#This Row],[weight]]*(0.9155*Table2[[#This Row],[J45]]-D$9)^2</f>
        <v>0</v>
      </c>
      <c r="P47">
        <f>Table3[[#This Row],[weight]]*(0.9155*Table2[[#This Row],[J56]]-E$9)^2</f>
        <v>0</v>
      </c>
      <c r="Q47">
        <f>Table3[[#This Row],[weight]]*(0.9155*Table2[[#This Row],[J67]]-F$9)^2</f>
        <v>0</v>
      </c>
      <c r="R47">
        <f>Table3[[#This Row],[weight]]*(0.9155*Table2[[#This Row],[J67'']]-G$9)^2</f>
        <v>0</v>
      </c>
      <c r="S47">
        <f>Table2[[#This Row],[weight]]</f>
        <v>0</v>
      </c>
      <c r="T47" t="str">
        <f>Table2[[#This Row],[classification]]</f>
        <v>5C12</v>
      </c>
    </row>
    <row r="48" spans="11:20" x14ac:dyDescent="0.25">
      <c r="K48" t="str">
        <f>Table2[[#This Row],[Column1]]</f>
        <v xml:space="preserve">Conf129   </v>
      </c>
      <c r="L48">
        <f>Table3[[#This Row],[weight]]*(0.9155*Table2[[#This Row],[J1,2]]-A$9)^2</f>
        <v>1.9523220083006695E-4</v>
      </c>
      <c r="M48">
        <f>Table3[[#This Row],[weight]]*(0.9155*Table2[[#This Row],[J2,3]]-B$9)^2</f>
        <v>6.5620492195955383E-3</v>
      </c>
      <c r="N48">
        <f>Table3[[#This Row],[weight]]*(0.9155*Table2[[#This Row],[J34]]-C$9)^2</f>
        <v>6.2312256304438828E-3</v>
      </c>
      <c r="O48">
        <f>Table3[[#This Row],[weight]]*(0.9155*Table2[[#This Row],[J45]]-D$9)^2</f>
        <v>1.1685469168534331E-2</v>
      </c>
      <c r="P48">
        <f>Table3[[#This Row],[weight]]*(0.9155*Table2[[#This Row],[J56]]-E$9)^2</f>
        <v>0.6377406376471253</v>
      </c>
      <c r="Q48">
        <f>Table3[[#This Row],[weight]]*(0.9155*Table2[[#This Row],[J67]]-F$9)^2</f>
        <v>0.10718524967836156</v>
      </c>
      <c r="R48">
        <f>Table3[[#This Row],[weight]]*(0.9155*Table2[[#This Row],[J67'']]-G$9)^2</f>
        <v>0.40552713370373616</v>
      </c>
      <c r="S48">
        <f>Table2[[#This Row],[weight]]</f>
        <v>7.2327591341994988E-3</v>
      </c>
      <c r="T48" t="str">
        <f>Table2[[#This Row],[classification]]</f>
        <v>5C12</v>
      </c>
    </row>
    <row r="49" spans="11:20" x14ac:dyDescent="0.25">
      <c r="K49" t="str">
        <f>Table2[[#This Row],[Column1]]</f>
        <v xml:space="preserve">Conf144   </v>
      </c>
      <c r="L49">
        <f>Table3[[#This Row],[weight]]*(0.9155*Table2[[#This Row],[J1,2]]-A$9)^2</f>
        <v>4.914348780779302E-5</v>
      </c>
      <c r="M49">
        <f>Table3[[#This Row],[weight]]*(0.9155*Table2[[#This Row],[J2,3]]-B$9)^2</f>
        <v>1.9417391778529431E-4</v>
      </c>
      <c r="N49">
        <f>Table3[[#This Row],[weight]]*(0.9155*Table2[[#This Row],[J34]]-C$9)^2</f>
        <v>7.1951161670571383E-5</v>
      </c>
      <c r="O49">
        <f>Table3[[#This Row],[weight]]*(0.9155*Table2[[#This Row],[J45]]-D$9)^2</f>
        <v>2.4416683529641903E-4</v>
      </c>
      <c r="P49">
        <f>Table3[[#This Row],[weight]]*(0.9155*Table2[[#This Row],[J56]]-E$9)^2</f>
        <v>2.1513642123063687E-2</v>
      </c>
      <c r="Q49">
        <f>Table3[[#This Row],[weight]]*(0.9155*Table2[[#This Row],[J67]]-F$9)^2</f>
        <v>6.0302937157256037E-3</v>
      </c>
      <c r="R49">
        <f>Table3[[#This Row],[weight]]*(0.9155*Table2[[#This Row],[J67'']]-G$9)^2</f>
        <v>1.4789205818118477E-3</v>
      </c>
      <c r="S49">
        <f>Table2[[#This Row],[weight]]</f>
        <v>2.083749674702386E-4</v>
      </c>
      <c r="T49" t="str">
        <f>Table2[[#This Row],[classification]]</f>
        <v>5C12</v>
      </c>
    </row>
    <row r="50" spans="11:20" x14ac:dyDescent="0.25">
      <c r="K50" t="str">
        <f>Table2[[#This Row],[Column1]]</f>
        <v xml:space="preserve">Conf155   </v>
      </c>
      <c r="L50">
        <f>Table3[[#This Row],[weight]]*(0.9155*Table2[[#This Row],[J1,2]]-A$9)^2</f>
        <v>4.6669466327205677E-4</v>
      </c>
      <c r="M50">
        <f>Table3[[#This Row],[weight]]*(0.9155*Table2[[#This Row],[J2,3]]-B$9)^2</f>
        <v>4.4209613569927295E-2</v>
      </c>
      <c r="N50">
        <f>Table3[[#This Row],[weight]]*(0.9155*Table2[[#This Row],[J34]]-C$9)^2</f>
        <v>3.1025358411915664E-2</v>
      </c>
      <c r="O50">
        <f>Table3[[#This Row],[weight]]*(0.9155*Table2[[#This Row],[J45]]-D$9)^2</f>
        <v>4.3863337124740387E-2</v>
      </c>
      <c r="P50">
        <f>Table3[[#This Row],[weight]]*(0.9155*Table2[[#This Row],[J56]]-E$9)^2</f>
        <v>4.4559862523631431</v>
      </c>
      <c r="Q50">
        <f>Table3[[#This Row],[weight]]*(0.9155*Table2[[#This Row],[J67]]-F$9)^2</f>
        <v>0.7590551480450225</v>
      </c>
      <c r="R50">
        <f>Table3[[#This Row],[weight]]*(0.9155*Table2[[#This Row],[J67'']]-G$9)^2</f>
        <v>7.5125026605559031E-2</v>
      </c>
      <c r="S50">
        <f>Table2[[#This Row],[weight]]</f>
        <v>5.0066633606989631E-2</v>
      </c>
      <c r="T50" t="str">
        <f>Table2[[#This Row],[classification]]</f>
        <v>5C12</v>
      </c>
    </row>
    <row r="51" spans="11:20" x14ac:dyDescent="0.25">
      <c r="K51" t="str">
        <f>Table2[[#This Row],[Column1]]</f>
        <v xml:space="preserve">Conf159   </v>
      </c>
      <c r="L51">
        <f>Table3[[#This Row],[weight]]*(0.9155*Table2[[#This Row],[J1,2]]-A$9)^2</f>
        <v>6.099937940952186E-7</v>
      </c>
      <c r="M51">
        <f>Table3[[#This Row],[weight]]*(0.9155*Table2[[#This Row],[J2,3]]-B$9)^2</f>
        <v>3.6895144307744302E-4</v>
      </c>
      <c r="N51">
        <f>Table3[[#This Row],[weight]]*(0.9155*Table2[[#This Row],[J34]]-C$9)^2</f>
        <v>2.3857044800009965E-4</v>
      </c>
      <c r="O51">
        <f>Table3[[#This Row],[weight]]*(0.9155*Table2[[#This Row],[J45]]-D$9)^2</f>
        <v>5.474881338067999E-4</v>
      </c>
      <c r="P51">
        <f>Table3[[#This Row],[weight]]*(0.9155*Table2[[#This Row],[J56]]-E$9)^2</f>
        <v>2.7230726162531176E-2</v>
      </c>
      <c r="Q51">
        <f>Table3[[#This Row],[weight]]*(0.9155*Table2[[#This Row],[J67]]-F$9)^2</f>
        <v>5.3310179346180491E-3</v>
      </c>
      <c r="R51">
        <f>Table3[[#This Row],[weight]]*(0.9155*Table2[[#This Row],[J67'']]-G$9)^2</f>
        <v>2.1555969682610809E-2</v>
      </c>
      <c r="S51">
        <f>Table2[[#This Row],[weight]]</f>
        <v>3.6685112455900641E-4</v>
      </c>
      <c r="T51" t="str">
        <f>Table2[[#This Row],[classification]]</f>
        <v>5C12</v>
      </c>
    </row>
    <row r="52" spans="11:20" x14ac:dyDescent="0.25">
      <c r="K52" t="str">
        <f>Table2[[#This Row],[Column1]]</f>
        <v xml:space="preserve">Conf164   </v>
      </c>
      <c r="L52">
        <f>Table3[[#This Row],[weight]]*(0.9155*Table2[[#This Row],[J1,2]]-A$9)^2</f>
        <v>4.2903663387407445E-5</v>
      </c>
      <c r="M52">
        <f>Table3[[#This Row],[weight]]*(0.9155*Table2[[#This Row],[J2,3]]-B$9)^2</f>
        <v>9.6120044790439136E-4</v>
      </c>
      <c r="N52">
        <f>Table3[[#This Row],[weight]]*(0.9155*Table2[[#This Row],[J34]]-C$9)^2</f>
        <v>6.3695388218208519E-4</v>
      </c>
      <c r="O52">
        <f>Table3[[#This Row],[weight]]*(0.9155*Table2[[#This Row],[J45]]-D$9)^2</f>
        <v>1.5852571402388887E-3</v>
      </c>
      <c r="P52">
        <f>Table3[[#This Row],[weight]]*(0.9155*Table2[[#This Row],[J56]]-E$9)^2</f>
        <v>7.833022583472217E-2</v>
      </c>
      <c r="Q52">
        <f>Table3[[#This Row],[weight]]*(0.9155*Table2[[#This Row],[J67]]-F$9)^2</f>
        <v>1.7084364855406122E-2</v>
      </c>
      <c r="R52">
        <f>Table3[[#This Row],[weight]]*(0.9155*Table2[[#This Row],[J67'']]-G$9)^2</f>
        <v>1.0530245704749982E-3</v>
      </c>
      <c r="S52">
        <f>Table2[[#This Row],[weight]]</f>
        <v>1.0160227235357724E-3</v>
      </c>
      <c r="T52" t="str">
        <f>Table2[[#This Row],[classification]]</f>
        <v>5C12</v>
      </c>
    </row>
    <row r="53" spans="11:20" x14ac:dyDescent="0.25">
      <c r="K53" t="str">
        <f>Table2[[#This Row],[Column1]]</f>
        <v xml:space="preserve">Conf170   </v>
      </c>
      <c r="L53">
        <f>Table3[[#This Row],[weight]]*(0.9155*Table2[[#This Row],[J1,2]]-A$9)^2</f>
        <v>5.211988219533834E-6</v>
      </c>
      <c r="M53">
        <f>Table3[[#This Row],[weight]]*(0.9155*Table2[[#This Row],[J2,3]]-B$9)^2</f>
        <v>6.3575849342237885E-4</v>
      </c>
      <c r="N53">
        <f>Table3[[#This Row],[weight]]*(0.9155*Table2[[#This Row],[J34]]-C$9)^2</f>
        <v>4.2258288712839912E-5</v>
      </c>
      <c r="O53">
        <f>Table3[[#This Row],[weight]]*(0.9155*Table2[[#This Row],[J45]]-D$9)^2</f>
        <v>2.1972103301568948E-5</v>
      </c>
      <c r="P53">
        <f>Table3[[#This Row],[weight]]*(0.9155*Table2[[#This Row],[J56]]-E$9)^2</f>
        <v>5.465684878100889E-3</v>
      </c>
      <c r="Q53">
        <f>Table3[[#This Row],[weight]]*(0.9155*Table2[[#This Row],[J67]]-F$9)^2</f>
        <v>7.300985461624281E-4</v>
      </c>
      <c r="R53">
        <f>Table3[[#This Row],[weight]]*(0.9155*Table2[[#This Row],[J67'']]-G$9)^2</f>
        <v>4.2466006924154484E-3</v>
      </c>
      <c r="S53">
        <f>Table2[[#This Row],[weight]]</f>
        <v>6.6177406450344546E-5</v>
      </c>
      <c r="T53" t="str">
        <f>Table2[[#This Row],[classification]]</f>
        <v>56E</v>
      </c>
    </row>
    <row r="54" spans="11:20" x14ac:dyDescent="0.25">
      <c r="K54" t="str">
        <f>Table2[[#This Row],[Column1]]</f>
        <v xml:space="preserve">Conf184   </v>
      </c>
      <c r="L54">
        <f>Table3[[#This Row],[weight]]*(0.9155*Table2[[#This Row],[J1,2]]-A$9)^2</f>
        <v>2.7834393722035901E-4</v>
      </c>
      <c r="M54">
        <f>Table3[[#This Row],[weight]]*(0.9155*Table2[[#This Row],[J2,3]]-B$9)^2</f>
        <v>0.34071582740912421</v>
      </c>
      <c r="N54">
        <f>Table3[[#This Row],[weight]]*(0.9155*Table2[[#This Row],[J34]]-C$9)^2</f>
        <v>9.0090340272849909E-5</v>
      </c>
      <c r="O54">
        <f>Table3[[#This Row],[weight]]*(0.9155*Table2[[#This Row],[J45]]-D$9)^2</f>
        <v>0.43364198687787497</v>
      </c>
      <c r="P54">
        <f>Table3[[#This Row],[weight]]*(0.9155*Table2[[#This Row],[J56]]-E$9)^2</f>
        <v>0.66758826452057751</v>
      </c>
      <c r="Q54">
        <f>Table3[[#This Row],[weight]]*(0.9155*Table2[[#This Row],[J67]]-F$9)^2</f>
        <v>0.34010167958791326</v>
      </c>
      <c r="R54">
        <f>Table3[[#This Row],[weight]]*(0.9155*Table2[[#This Row],[J67'']]-G$9)^2</f>
        <v>0.20302854273381632</v>
      </c>
      <c r="S54">
        <f>Table2[[#This Row],[weight]]</f>
        <v>1.030239157805673E-2</v>
      </c>
      <c r="T54" t="str">
        <f>Table2[[#This Row],[classification]]</f>
        <v>4H6</v>
      </c>
    </row>
    <row r="55" spans="11:20" x14ac:dyDescent="0.25">
      <c r="K55" t="str">
        <f>Table2[[#This Row],[Column1]]</f>
        <v xml:space="preserve">Conf189   </v>
      </c>
      <c r="L55">
        <f>Table3[[#This Row],[weight]]*(0.9155*Table2[[#This Row],[J1,2]]-A$9)^2</f>
        <v>1.5560177981759373E-5</v>
      </c>
      <c r="M55">
        <f>Table3[[#This Row],[weight]]*(0.9155*Table2[[#This Row],[J2,3]]-B$9)^2</f>
        <v>9.9724956223089744E-4</v>
      </c>
      <c r="N55">
        <f>Table3[[#This Row],[weight]]*(0.9155*Table2[[#This Row],[J34]]-C$9)^2</f>
        <v>7.7662158069048898E-4</v>
      </c>
      <c r="O55">
        <f>Table3[[#This Row],[weight]]*(0.9155*Table2[[#This Row],[J45]]-D$9)^2</f>
        <v>1.5954472274970169E-3</v>
      </c>
      <c r="P55">
        <f>Table3[[#This Row],[weight]]*(0.9155*Table2[[#This Row],[J56]]-E$9)^2</f>
        <v>8.8303631857261658E-2</v>
      </c>
      <c r="Q55">
        <f>Table3[[#This Row],[weight]]*(0.9155*Table2[[#This Row],[J67]]-F$9)^2</f>
        <v>1.578640346780177E-2</v>
      </c>
      <c r="R55">
        <f>Table3[[#This Row],[weight]]*(0.9155*Table2[[#This Row],[J67'']]-G$9)^2</f>
        <v>6.3579514665491568E-2</v>
      </c>
      <c r="S55">
        <f>Table2[[#This Row],[weight]]</f>
        <v>1.04232169145276E-3</v>
      </c>
      <c r="T55" t="str">
        <f>Table2[[#This Row],[classification]]</f>
        <v>5C12</v>
      </c>
    </row>
    <row r="56" spans="11:20" x14ac:dyDescent="0.25">
      <c r="K56" t="str">
        <f>Table2[[#This Row],[Column1]]</f>
        <v xml:space="preserve">Conf190   </v>
      </c>
      <c r="L56">
        <f>Table3[[#This Row],[weight]]*(0.9155*Table2[[#This Row],[J1,2]]-A$9)^2</f>
        <v>2.3848875952062161E-4</v>
      </c>
      <c r="M56">
        <f>Table3[[#This Row],[weight]]*(0.9155*Table2[[#This Row],[J2,3]]-B$9)^2</f>
        <v>7.8620880728199935E-2</v>
      </c>
      <c r="N56">
        <f>Table3[[#This Row],[weight]]*(0.9155*Table2[[#This Row],[J34]]-C$9)^2</f>
        <v>3.752989723234829E-7</v>
      </c>
      <c r="O56">
        <f>Table3[[#This Row],[weight]]*(0.9155*Table2[[#This Row],[J45]]-D$9)^2</f>
        <v>0.16759471133892503</v>
      </c>
      <c r="P56">
        <f>Table3[[#This Row],[weight]]*(0.9155*Table2[[#This Row],[J56]]-E$9)^2</f>
        <v>0.26494725792991247</v>
      </c>
      <c r="Q56">
        <f>Table3[[#This Row],[weight]]*(0.9155*Table2[[#This Row],[J67]]-F$9)^2</f>
        <v>4.9656775174405235E-3</v>
      </c>
      <c r="R56">
        <f>Table3[[#This Row],[weight]]*(0.9155*Table2[[#This Row],[J67'']]-G$9)^2</f>
        <v>0.17827035390143933</v>
      </c>
      <c r="S56">
        <f>Table2[[#This Row],[weight]]</f>
        <v>2.2383726649305704E-3</v>
      </c>
      <c r="T56" t="str">
        <f>Table2[[#This Row],[classification]]</f>
        <v>4H6</v>
      </c>
    </row>
    <row r="57" spans="11:20" x14ac:dyDescent="0.25">
      <c r="K57" t="str">
        <f>Table2[[#This Row],[Column1]]</f>
        <v xml:space="preserve">Conf199   </v>
      </c>
      <c r="L57">
        <f>Table3[[#This Row],[weight]]*(0.9155*Table2[[#This Row],[J1,2]]-A$9)^2</f>
        <v>0</v>
      </c>
      <c r="M57">
        <f>Table3[[#This Row],[weight]]*(0.9155*Table2[[#This Row],[J2,3]]-B$9)^2</f>
        <v>0</v>
      </c>
      <c r="N57">
        <f>Table3[[#This Row],[weight]]*(0.9155*Table2[[#This Row],[J34]]-C$9)^2</f>
        <v>0</v>
      </c>
      <c r="O57">
        <f>Table3[[#This Row],[weight]]*(0.9155*Table2[[#This Row],[J45]]-D$9)^2</f>
        <v>0</v>
      </c>
      <c r="P57">
        <f>Table3[[#This Row],[weight]]*(0.9155*Table2[[#This Row],[J56]]-E$9)^2</f>
        <v>0</v>
      </c>
      <c r="Q57">
        <f>Table3[[#This Row],[weight]]*(0.9155*Table2[[#This Row],[J67]]-F$9)^2</f>
        <v>0</v>
      </c>
      <c r="R57">
        <f>Table3[[#This Row],[weight]]*(0.9155*Table2[[#This Row],[J67'']]-G$9)^2</f>
        <v>0</v>
      </c>
      <c r="S57">
        <f>Table2[[#This Row],[weight]]</f>
        <v>0</v>
      </c>
      <c r="T57" t="str">
        <f>Table2[[#This Row],[classification]]</f>
        <v>4H6</v>
      </c>
    </row>
    <row r="58" spans="11:20" x14ac:dyDescent="0.25">
      <c r="K58" t="str">
        <f>Table2[[#This Row],[Column1]]</f>
        <v xml:space="preserve">Conf201   </v>
      </c>
      <c r="L58">
        <f>Table3[[#This Row],[weight]]*(0.9155*Table2[[#This Row],[J1,2]]-A$9)^2</f>
        <v>0</v>
      </c>
      <c r="M58">
        <f>Table3[[#This Row],[weight]]*(0.9155*Table2[[#This Row],[J2,3]]-B$9)^2</f>
        <v>0</v>
      </c>
      <c r="N58">
        <f>Table3[[#This Row],[weight]]*(0.9155*Table2[[#This Row],[J34]]-C$9)^2</f>
        <v>0</v>
      </c>
      <c r="O58">
        <f>Table3[[#This Row],[weight]]*(0.9155*Table2[[#This Row],[J45]]-D$9)^2</f>
        <v>0</v>
      </c>
      <c r="P58">
        <f>Table3[[#This Row],[weight]]*(0.9155*Table2[[#This Row],[J56]]-E$9)^2</f>
        <v>0</v>
      </c>
      <c r="Q58">
        <f>Table3[[#This Row],[weight]]*(0.9155*Table2[[#This Row],[J67]]-F$9)^2</f>
        <v>0</v>
      </c>
      <c r="R58">
        <f>Table3[[#This Row],[weight]]*(0.9155*Table2[[#This Row],[J67'']]-G$9)^2</f>
        <v>0</v>
      </c>
      <c r="S58">
        <f>Table2[[#This Row],[weight]]</f>
        <v>0</v>
      </c>
      <c r="T58" t="str">
        <f>Table2[[#This Row],[classification]]</f>
        <v>4H6</v>
      </c>
    </row>
    <row r="59" spans="11:20" x14ac:dyDescent="0.25">
      <c r="K59" t="str">
        <f>Table2[[#This Row],[Column1]]</f>
        <v xml:space="preserve">Conf205   </v>
      </c>
      <c r="L59">
        <f>Table3[[#This Row],[weight]]*(0.9155*Table2[[#This Row],[J1,2]]-A$9)^2</f>
        <v>6.0595672554617091E-7</v>
      </c>
      <c r="M59">
        <f>Table3[[#This Row],[weight]]*(0.9155*Table2[[#This Row],[J2,3]]-B$9)^2</f>
        <v>1.6941963080247937E-4</v>
      </c>
      <c r="N59">
        <f>Table3[[#This Row],[weight]]*(0.9155*Table2[[#This Row],[J34]]-C$9)^2</f>
        <v>6.1517911688047038E-5</v>
      </c>
      <c r="O59">
        <f>Table3[[#This Row],[weight]]*(0.9155*Table2[[#This Row],[J45]]-D$9)^2</f>
        <v>2.1566897071153158E-4</v>
      </c>
      <c r="P59">
        <f>Table3[[#This Row],[weight]]*(0.9155*Table2[[#This Row],[J56]]-E$9)^2</f>
        <v>1.1678573218333155E-2</v>
      </c>
      <c r="Q59">
        <f>Table3[[#This Row],[weight]]*(0.9155*Table2[[#This Row],[J67]]-F$9)^2</f>
        <v>2.2653269773329448E-3</v>
      </c>
      <c r="R59">
        <f>Table3[[#This Row],[weight]]*(0.9155*Table2[[#This Row],[J67'']]-G$9)^2</f>
        <v>9.7484278284488916E-3</v>
      </c>
      <c r="S59">
        <f>Table2[[#This Row],[weight]]</f>
        <v>1.4985359940182793E-4</v>
      </c>
      <c r="T59" t="str">
        <f>Table2[[#This Row],[classification]]</f>
        <v>5C12</v>
      </c>
    </row>
    <row r="60" spans="11:20" x14ac:dyDescent="0.25">
      <c r="K60" t="str">
        <f>Table2[[#This Row],[Column1]]</f>
        <v xml:space="preserve">Conf217   </v>
      </c>
      <c r="L60">
        <f>Table3[[#This Row],[weight]]*(0.9155*Table2[[#This Row],[J1,2]]-A$9)^2</f>
        <v>0</v>
      </c>
      <c r="M60">
        <f>Table3[[#This Row],[weight]]*(0.9155*Table2[[#This Row],[J2,3]]-B$9)^2</f>
        <v>0</v>
      </c>
      <c r="N60">
        <f>Table3[[#This Row],[weight]]*(0.9155*Table2[[#This Row],[J34]]-C$9)^2</f>
        <v>0</v>
      </c>
      <c r="O60">
        <f>Table3[[#This Row],[weight]]*(0.9155*Table2[[#This Row],[J45]]-D$9)^2</f>
        <v>0</v>
      </c>
      <c r="P60">
        <f>Table3[[#This Row],[weight]]*(0.9155*Table2[[#This Row],[J56]]-E$9)^2</f>
        <v>0</v>
      </c>
      <c r="Q60">
        <f>Table3[[#This Row],[weight]]*(0.9155*Table2[[#This Row],[J67]]-F$9)^2</f>
        <v>0</v>
      </c>
      <c r="R60">
        <f>Table3[[#This Row],[weight]]*(0.9155*Table2[[#This Row],[J67'']]-G$9)^2</f>
        <v>0</v>
      </c>
      <c r="S60">
        <f>Table2[[#This Row],[weight]]</f>
        <v>0</v>
      </c>
      <c r="T60" t="str">
        <f>Table2[[#This Row],[classification]]</f>
        <v>E45</v>
      </c>
    </row>
    <row r="61" spans="11:20" x14ac:dyDescent="0.25">
      <c r="K61" t="str">
        <f>Table2[[#This Row],[Column1]]</f>
        <v xml:space="preserve">Conf225   </v>
      </c>
      <c r="L61">
        <f>Table3[[#This Row],[weight]]*(0.9155*Table2[[#This Row],[J1,2]]-A$9)^2</f>
        <v>0</v>
      </c>
      <c r="M61">
        <f>Table3[[#This Row],[weight]]*(0.9155*Table2[[#This Row],[J2,3]]-B$9)^2</f>
        <v>0</v>
      </c>
      <c r="N61">
        <f>Table3[[#This Row],[weight]]*(0.9155*Table2[[#This Row],[J34]]-C$9)^2</f>
        <v>0</v>
      </c>
      <c r="O61">
        <f>Table3[[#This Row],[weight]]*(0.9155*Table2[[#This Row],[J45]]-D$9)^2</f>
        <v>0</v>
      </c>
      <c r="P61">
        <f>Table3[[#This Row],[weight]]*(0.9155*Table2[[#This Row],[J56]]-E$9)^2</f>
        <v>0</v>
      </c>
      <c r="Q61">
        <f>Table3[[#This Row],[weight]]*(0.9155*Table2[[#This Row],[J67]]-F$9)^2</f>
        <v>0</v>
      </c>
      <c r="R61">
        <f>Table3[[#This Row],[weight]]*(0.9155*Table2[[#This Row],[J67'']]-G$9)^2</f>
        <v>0</v>
      </c>
      <c r="S61">
        <f>Table2[[#This Row],[weight]]</f>
        <v>0</v>
      </c>
      <c r="T61" t="str">
        <f>Table2[[#This Row],[classification]]</f>
        <v>E45</v>
      </c>
    </row>
    <row r="62" spans="11:20" x14ac:dyDescent="0.25">
      <c r="K62" t="str">
        <f>Table2[[#This Row],[Column1]]</f>
        <v xml:space="preserve">Conf247   </v>
      </c>
      <c r="L62">
        <f>Table3[[#This Row],[weight]]*(0.9155*Table2[[#This Row],[J1,2]]-A$9)^2</f>
        <v>3.9207906940201595E-5</v>
      </c>
      <c r="M62">
        <f>Table3[[#This Row],[weight]]*(0.9155*Table2[[#This Row],[J2,3]]-B$9)^2</f>
        <v>2.0878032591839488E-5</v>
      </c>
      <c r="N62">
        <f>Table3[[#This Row],[weight]]*(0.9155*Table2[[#This Row],[J34]]-C$9)^2</f>
        <v>1.5101877836306099E-3</v>
      </c>
      <c r="O62">
        <f>Table3[[#This Row],[weight]]*(0.9155*Table2[[#This Row],[J45]]-D$9)^2</f>
        <v>4.7663283262618034E-5</v>
      </c>
      <c r="P62">
        <f>Table3[[#This Row],[weight]]*(0.9155*Table2[[#This Row],[J56]]-E$9)^2</f>
        <v>5.7829277034652368E-3</v>
      </c>
      <c r="Q62">
        <f>Table3[[#This Row],[weight]]*(0.9155*Table2[[#This Row],[J67]]-F$9)^2</f>
        <v>1.1440094009378635E-3</v>
      </c>
      <c r="R62">
        <f>Table3[[#This Row],[weight]]*(0.9155*Table2[[#This Row],[J67'']]-G$9)^2</f>
        <v>3.6861339502298166E-3</v>
      </c>
      <c r="S62">
        <f>Table2[[#This Row],[weight]]</f>
        <v>6.9990312959703602E-5</v>
      </c>
      <c r="T62" t="str">
        <f>Table2[[#This Row],[classification]]</f>
        <v>5C12</v>
      </c>
    </row>
    <row r="63" spans="11:20" x14ac:dyDescent="0.25">
      <c r="K63" t="str">
        <f>Table2[[#This Row],[Column1]]</f>
        <v xml:space="preserve">Conf376   </v>
      </c>
      <c r="L63">
        <f>Table3[[#This Row],[weight]]*(0.9155*Table2[[#This Row],[J1,2]]-A$9)^2</f>
        <v>5.3915521389674912E-6</v>
      </c>
      <c r="M63">
        <f>Table3[[#This Row],[weight]]*(0.9155*Table2[[#This Row],[J2,3]]-B$9)^2</f>
        <v>2.0620565947768459E-3</v>
      </c>
      <c r="N63">
        <f>Table3[[#This Row],[weight]]*(0.9155*Table2[[#This Row],[J34]]-C$9)^2</f>
        <v>2.8171989328355074E-5</v>
      </c>
      <c r="O63">
        <f>Table3[[#This Row],[weight]]*(0.9155*Table2[[#This Row],[J45]]-D$9)^2</f>
        <v>3.5229795467676922E-3</v>
      </c>
      <c r="P63">
        <f>Table3[[#This Row],[weight]]*(0.9155*Table2[[#This Row],[J56]]-E$9)^2</f>
        <v>6.9866246711831051E-3</v>
      </c>
      <c r="Q63">
        <f>Table3[[#This Row],[weight]]*(0.9155*Table2[[#This Row],[J67]]-F$9)^2</f>
        <v>1.1908456850781189E-3</v>
      </c>
      <c r="R63">
        <f>Table3[[#This Row],[weight]]*(0.9155*Table2[[#This Row],[J67'']]-G$9)^2</f>
        <v>1.5266206771799897E-5</v>
      </c>
      <c r="S63">
        <f>Table2[[#This Row],[weight]]</f>
        <v>6.3396689828579256E-5</v>
      </c>
      <c r="T63" t="str">
        <f>Table2[[#This Row],[classification]]</f>
        <v>4H6</v>
      </c>
    </row>
    <row r="64" spans="11:20" x14ac:dyDescent="0.25">
      <c r="K64" t="str">
        <f>Table2[[#This Row],[Column1]]</f>
        <v xml:space="preserve">Conf387   </v>
      </c>
      <c r="L64">
        <f>Table3[[#This Row],[weight]]*(0.9155*Table2[[#This Row],[J1,2]]-A$9)^2</f>
        <v>2.5841138759942358E-3</v>
      </c>
      <c r="M64">
        <f>Table3[[#This Row],[weight]]*(0.9155*Table2[[#This Row],[J2,3]]-B$9)^2</f>
        <v>0.25015983746671339</v>
      </c>
      <c r="N64">
        <f>Table3[[#This Row],[weight]]*(0.9155*Table2[[#This Row],[J34]]-C$9)^2</f>
        <v>2.9525209703080788E-3</v>
      </c>
      <c r="O64">
        <f>Table3[[#This Row],[weight]]*(0.9155*Table2[[#This Row],[J45]]-D$9)^2</f>
        <v>0.17176863235964365</v>
      </c>
      <c r="P64">
        <f>Table3[[#This Row],[weight]]*(0.9155*Table2[[#This Row],[J56]]-E$9)^2</f>
        <v>3.4702528531929067E-2</v>
      </c>
      <c r="Q64">
        <f>Table3[[#This Row],[weight]]*(0.9155*Table2[[#This Row],[J67]]-F$9)^2</f>
        <v>0.17874179323879744</v>
      </c>
      <c r="R64">
        <f>Table3[[#This Row],[weight]]*(0.9155*Table2[[#This Row],[J67'']]-G$9)^2</f>
        <v>1.1828726974866281E-3</v>
      </c>
      <c r="S64">
        <f>Table2[[#This Row],[weight]]</f>
        <v>9.4715556602746019E-3</v>
      </c>
      <c r="T64" t="str">
        <f>Table2[[#This Row],[classification]]</f>
        <v>12C5</v>
      </c>
    </row>
  </sheetData>
  <conditionalFormatting sqref="T1:T1048576">
    <cfRule type="cellIs" dxfId="7" priority="1" operator="equal">
      <formula>$E$1</formula>
    </cfRule>
  </conditionalFormatting>
  <pageMargins left="0.7" right="0.7" top="0.75" bottom="0.75" header="0.3" footer="0.3"/>
  <tableParts count="1">
    <tablePart r:id="rId1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E73AAF-50B6-41FA-9681-242F5669750F}">
  <dimension ref="A5:N22"/>
  <sheetViews>
    <sheetView tabSelected="1" workbookViewId="0">
      <selection activeCell="N9" sqref="N9:N10"/>
    </sheetView>
  </sheetViews>
  <sheetFormatPr defaultRowHeight="15" x14ac:dyDescent="0.25"/>
  <sheetData>
    <row r="5" spans="1:14" x14ac:dyDescent="0.25">
      <c r="H5">
        <v>8.8838102302465298</v>
      </c>
      <c r="I5">
        <v>3.0039517567231768</v>
      </c>
      <c r="J5">
        <v>10.380233435697541</v>
      </c>
      <c r="K5">
        <v>9.6877655363424058</v>
      </c>
    </row>
    <row r="7" spans="1:14" x14ac:dyDescent="0.25">
      <c r="B7" t="s">
        <v>18</v>
      </c>
      <c r="C7" t="s">
        <v>17</v>
      </c>
      <c r="D7" t="s">
        <v>20</v>
      </c>
    </row>
    <row r="8" spans="1:14" x14ac:dyDescent="0.25">
      <c r="A8" t="s">
        <v>63</v>
      </c>
      <c r="B8">
        <f>'6H4'!B5</f>
        <v>7.8527729550276542</v>
      </c>
      <c r="C8">
        <f>halfchair!B5</f>
        <v>1.9317878013069862</v>
      </c>
      <c r="D8">
        <f>chair!B5</f>
        <v>8.8085148067762606</v>
      </c>
      <c r="F8" t="s">
        <v>63</v>
      </c>
    </row>
    <row r="9" spans="1:14" x14ac:dyDescent="0.25">
      <c r="A9" t="s">
        <v>38</v>
      </c>
      <c r="B9">
        <f>'6H4'!C5</f>
        <v>2.0572600903306024</v>
      </c>
      <c r="C9">
        <f>halfchair!C5</f>
        <v>1.8945951861597921</v>
      </c>
      <c r="D9">
        <f>chair!$C5</f>
        <v>2.8921265030240368</v>
      </c>
      <c r="F9" t="s">
        <v>38</v>
      </c>
      <c r="M9" t="s">
        <v>17</v>
      </c>
      <c r="N9" s="7">
        <v>0.66500000000000004</v>
      </c>
    </row>
    <row r="10" spans="1:14" x14ac:dyDescent="0.25">
      <c r="A10" t="s">
        <v>39</v>
      </c>
      <c r="B10">
        <f>'6H4'!D5</f>
        <v>9.3578802962017384</v>
      </c>
      <c r="C10">
        <f>halfchair!D5</f>
        <v>1.4466866400558369</v>
      </c>
      <c r="D10">
        <f>chair!$D5</f>
        <v>10.475037632024963</v>
      </c>
      <c r="F10" t="s">
        <v>39</v>
      </c>
      <c r="M10" t="s">
        <v>20</v>
      </c>
      <c r="N10" s="8">
        <v>0.33500000000000002</v>
      </c>
    </row>
    <row r="11" spans="1:14" x14ac:dyDescent="0.25">
      <c r="A11" t="s">
        <v>40</v>
      </c>
      <c r="B11">
        <f>'6H4'!E5</f>
        <v>0.46343023403198602</v>
      </c>
      <c r="C11">
        <f>halfchair!E5</f>
        <v>10.763288722729843</v>
      </c>
      <c r="D11">
        <f>chair!$E5</f>
        <v>9.6643447895259111</v>
      </c>
      <c r="F11" t="s">
        <v>40</v>
      </c>
      <c r="N11" s="7"/>
    </row>
    <row r="14" spans="1:14" x14ac:dyDescent="0.25">
      <c r="A14" t="s">
        <v>64</v>
      </c>
    </row>
    <row r="15" spans="1:14" x14ac:dyDescent="0.25">
      <c r="B15" t="s">
        <v>18</v>
      </c>
      <c r="C15" t="s">
        <v>17</v>
      </c>
      <c r="D15" t="s">
        <v>20</v>
      </c>
    </row>
    <row r="16" spans="1:14" x14ac:dyDescent="0.25">
      <c r="A16" t="s">
        <v>63</v>
      </c>
      <c r="B16">
        <f>'6H4'!B13</f>
        <v>0.15517331784523847</v>
      </c>
      <c r="C16">
        <f>halfchair!B13</f>
        <v>3.8505589765357756E-2</v>
      </c>
      <c r="D16">
        <f>chair!B13</f>
        <v>3.8468826142150352E-2</v>
      </c>
      <c r="G16">
        <f t="shared" ref="G16:I19" si="0">(B16/B8)^2</f>
        <v>3.9047030370680511E-4</v>
      </c>
      <c r="H16">
        <f t="shared" si="0"/>
        <v>3.9730929056313479E-4</v>
      </c>
      <c r="I16">
        <f t="shared" si="0"/>
        <v>1.907271376075162E-5</v>
      </c>
    </row>
    <row r="17" spans="1:9" x14ac:dyDescent="0.25">
      <c r="A17" t="s">
        <v>38</v>
      </c>
      <c r="B17">
        <f>'6H4'!C13</f>
        <v>7.2792143825274214E-2</v>
      </c>
      <c r="C17">
        <f>halfchair!C13</f>
        <v>0.24194378419501075</v>
      </c>
      <c r="D17">
        <f>chair!$C13</f>
        <v>3.0995355922129778E-2</v>
      </c>
      <c r="G17">
        <f t="shared" si="0"/>
        <v>1.2519604744916815E-3</v>
      </c>
      <c r="H17">
        <f t="shared" si="0"/>
        <v>1.6307826381146775E-2</v>
      </c>
      <c r="I17">
        <f t="shared" si="0"/>
        <v>1.1485732168900676E-4</v>
      </c>
    </row>
    <row r="18" spans="1:9" x14ac:dyDescent="0.25">
      <c r="A18" t="s">
        <v>39</v>
      </c>
      <c r="B18">
        <f>'6H4'!D13</f>
        <v>0.84394063775431527</v>
      </c>
      <c r="C18">
        <f>halfchair!D13</f>
        <v>0.64324991193402326</v>
      </c>
      <c r="D18">
        <f>chair!$D13</f>
        <v>0.10789984481784598</v>
      </c>
      <c r="G18">
        <f t="shared" si="0"/>
        <v>8.1333381424094579E-3</v>
      </c>
      <c r="H18">
        <f t="shared" si="0"/>
        <v>0.19770175710037749</v>
      </c>
      <c r="I18">
        <f t="shared" si="0"/>
        <v>1.0610368234753667E-4</v>
      </c>
    </row>
    <row r="19" spans="1:9" x14ac:dyDescent="0.25">
      <c r="A19" t="s">
        <v>40</v>
      </c>
      <c r="B19">
        <f>'6H4'!E13</f>
        <v>0.23912403063526344</v>
      </c>
      <c r="C19">
        <f>halfchair!E13</f>
        <v>0.48838631591949205</v>
      </c>
      <c r="D19">
        <f>chair!$E13</f>
        <v>0.15490859351379066</v>
      </c>
      <c r="G19">
        <f t="shared" si="0"/>
        <v>0.26624270545880119</v>
      </c>
      <c r="H19">
        <f t="shared" si="0"/>
        <v>2.0589082478020332E-3</v>
      </c>
      <c r="I19">
        <f t="shared" si="0"/>
        <v>2.5692489654396283E-4</v>
      </c>
    </row>
    <row r="22" spans="1:9" x14ac:dyDescent="0.25">
      <c r="H22">
        <f>SQRT(SUM(G16:I19))</f>
        <v>0.7021262237045699</v>
      </c>
    </row>
  </sheetData>
  <sortState xmlns:xlrd2="http://schemas.microsoft.com/office/spreadsheetml/2017/richdata2" ref="M9:N11">
    <sortCondition descending="1" ref="N9:N11"/>
  </sortState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chloroform</vt:lpstr>
      <vt:lpstr>js-chloroform</vt:lpstr>
      <vt:lpstr>chair</vt:lpstr>
      <vt:lpstr>halfchair</vt:lpstr>
      <vt:lpstr>6H4</vt:lpstr>
      <vt:lpstr>Sheet6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Caleb Griesbach</dc:creator>
  <cp:lastModifiedBy>Caleb Griesbach</cp:lastModifiedBy>
  <dcterms:created xsi:type="dcterms:W3CDTF">2020-06-17T13:36:29Z</dcterms:created>
  <dcterms:modified xsi:type="dcterms:W3CDTF">2021-09-23T12:29:00Z</dcterms:modified>
</cp:coreProperties>
</file>